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firstSheet="2" activeTab="19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'beruházás'!$A$1:$E$216</definedName>
    <definedName name="_xlnm.Print_Area" localSheetId="0">'bevétfő '!$A$1:$I$92</definedName>
    <definedName name="_xlnm.Print_Area" localSheetId="15">'felújítás'!$A$1:$E$143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'!$A$1:$H$81</definedName>
    <definedName name="_xlnm.Print_Area" localSheetId="19">'kötelező feladatok'!$B$1:$L$67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8">'pályázatok'!$A$1:$L$28</definedName>
    <definedName name="_xlnm.Print_Area" localSheetId="14">'segélyek'!$A$1:$H$31</definedName>
    <definedName name="_xlnm.Print_Area" localSheetId="13">'támogatások'!$A$1:$F$80</definedName>
    <definedName name="_xlnm.Print_Area" localSheetId="17">'tartalék'!$A$1:$F$36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<sst xmlns="http://schemas.openxmlformats.org/spreadsheetml/2006/main" count="2396" uniqueCount="953">
  <si>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</si>
  <si>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</si>
  <si>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</si>
  <si>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</si>
  <si>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</si>
  <si>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</si>
  <si>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</si>
  <si>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</si>
  <si>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</si>
  <si>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</si>
  <si>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</si>
  <si>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</si>
  <si>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</si>
  <si>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</si>
  <si>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</si>
  <si>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</si>
  <si>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</si>
  <si>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</si>
  <si>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</si>
  <si>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</si>
  <si>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</si>
  <si>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</si>
  <si>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</si>
  <si>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</si>
  <si>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</si>
  <si>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</si>
  <si>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</si>
  <si>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</si>
  <si>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</si>
  <si>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</si>
  <si>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</si>
  <si>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</si>
  <si>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</si>
  <si>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</si>
  <si>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</si>
  <si>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</si>
  <si>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</si>
  <si>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</si>
  <si>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</si>
  <si>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</si>
  <si>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</si>
  <si>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</si>
  <si>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</si>
  <si>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</si>
  <si>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</si>
  <si>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</si>
  <si>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</si>
  <si>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</si>
  <si>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</si>
  <si>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</si>
  <si>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</si>
  <si>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</si>
  <si>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</si>
  <si>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</si>
  <si>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</si>
  <si>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</si>
  <si>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</si>
  <si>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</si>
  <si>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</si>
  <si>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</si>
  <si>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</si>
  <si>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</si>
  <si>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</si>
  <si>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</si>
  <si>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</si>
  <si>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</si>
  <si>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</si>
  <si>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</si>
  <si>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</si>
  <si>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</si>
  <si>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</si>
  <si>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</si>
  <si>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</si>
  <si>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</si>
  <si>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</si>
  <si>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</si>
  <si>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</si>
  <si>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</si>
  <si>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</si>
  <si>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</si>
  <si>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</si>
  <si>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</si>
  <si>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</si>
  <si>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</si>
  <si>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</si>
  <si>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</si>
  <si>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</si>
  <si>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</si>
  <si>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</si>
  <si>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</si>
  <si>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</si>
  <si>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</si>
  <si>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</si>
  <si>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</si>
  <si>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</si>
  <si>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</si>
  <si>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</si>
  <si>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</si>
  <si>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</si>
  <si>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</si>
  <si>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</si>
  <si>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</si>
  <si>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</si>
  <si>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</si>
  <si>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</si>
  <si>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</si>
  <si>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</si>
  <si>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</si>
  <si>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</si>
  <si>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</si>
  <si>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</si>
  <si>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</si>
  <si>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</si>
  <si>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</si>
  <si>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</si>
  <si>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</si>
  <si>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</si>
  <si>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</si>
  <si>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</si>
  <si>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</si>
  <si>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</si>
  <si>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</si>
  <si>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</si>
  <si>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</si>
  <si>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</si>
  <si>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</si>
  <si>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</si>
  <si>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</si>
  <si>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</si>
  <si>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</si>
  <si>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</si>
  <si>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</si>
  <si>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</si>
  <si>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</si>
  <si>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</si>
  <si>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</si>
  <si>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</si>
  <si>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</si>
  <si>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</si>
  <si>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</si>
  <si>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</si>
  <si>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</si>
  <si>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</si>
  <si>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</si>
  <si>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</si>
  <si>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</si>
  <si>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</si>
  <si>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</si>
  <si>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</si>
  <si>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</si>
  <si>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</si>
  <si>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</si>
  <si>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</si>
  <si>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</si>
  <si>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</si>
  <si>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</si>
  <si>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</si>
  <si>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</si>
  <si>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</si>
  <si>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</si>
  <si>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</si>
  <si>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</si>
  <si>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</si>
  <si>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</si>
  <si>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</si>
  <si>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</si>
  <si>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</si>
  <si>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</si>
  <si>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</si>
  <si>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</si>
  <si>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</si>
  <si>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</si>
  <si>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</si>
  <si>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</si>
  <si>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</si>
  <si>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</si>
  <si>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</si>
  <si>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</si>
  <si>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</si>
  <si>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</si>
  <si>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</si>
  <si>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</si>
  <si>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</si>
  <si>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</si>
  <si>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</si>
  <si>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</si>
  <si>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</si>
  <si>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</si>
  <si>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</si>
  <si>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</si>
  <si>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</si>
  <si>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</si>
  <si>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</si>
  <si>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</si>
  <si>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</si>
  <si>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</si>
  <si>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</si>
  <si>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</si>
  <si>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</si>
  <si>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</si>
  <si>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</si>
  <si>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</si>
  <si>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</si>
  <si>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</si>
  <si>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</si>
  <si>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</si>
  <si>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</si>
  <si>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</si>
  <si>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</si>
  <si>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</si>
  <si>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</si>
  <si>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</si>
  <si>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</si>
  <si>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</si>
  <si>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</si>
  <si>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</si>
  <si>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</si>
  <si>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>nem kötelező</t>
  </si>
  <si>
    <t>állíg</t>
  </si>
  <si>
    <t>éphat + pv + igazgatás + segély + anyakönyv</t>
  </si>
  <si>
    <t>bérlet+költségtér</t>
  </si>
  <si>
    <t>kötelező</t>
  </si>
  <si>
    <t>fenntartás</t>
  </si>
  <si>
    <t>KT döntött</t>
  </si>
  <si>
    <t>dologi</t>
  </si>
  <si>
    <t>közterületi jelenlét</t>
  </si>
  <si>
    <t>hiv-os kisaj+utcanyitás</t>
  </si>
  <si>
    <t>Hazai forrásból megvalósuló pályázatok</t>
  </si>
  <si>
    <t xml:space="preserve">    Szent Bernát Alapítvány</t>
  </si>
  <si>
    <t>FELÚJÍTÁSI KIADÁSOK ÖSSZESEN (A+B):</t>
  </si>
  <si>
    <t>.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</si>
  <si>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</si>
  <si>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</si>
  <si>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</si>
  <si>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</si>
  <si>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</si>
  <si>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</si>
  <si>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</si>
  <si>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</si>
  <si>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</si>
  <si>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</si>
  <si>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</si>
  <si>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</si>
  <si>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</si>
  <si>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</si>
  <si>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</si>
  <si>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</si>
  <si>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</si>
  <si>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</si>
  <si>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</si>
  <si>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</si>
  <si>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</si>
  <si>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</si>
  <si>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</si>
  <si>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</si>
  <si>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</si>
  <si>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</si>
  <si>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</si>
  <si>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</si>
  <si>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</si>
  <si>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</si>
  <si>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</si>
  <si>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</si>
  <si>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</si>
  <si>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</si>
  <si>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</si>
  <si>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</si>
  <si>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</si>
  <si>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</si>
  <si>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</si>
  <si>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</si>
  <si>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</si>
  <si>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</si>
  <si>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</si>
  <si>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</si>
  <si>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</si>
  <si>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</si>
  <si>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</si>
  <si>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</si>
  <si>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</si>
  <si>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</si>
  <si>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</si>
  <si>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</si>
  <si>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</si>
  <si>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</si>
  <si>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</si>
  <si>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</si>
  <si>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</si>
  <si>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</si>
  <si>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</si>
  <si>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</si>
  <si>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</si>
  <si>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</si>
  <si>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</si>
  <si>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</si>
  <si>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</si>
  <si>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</si>
  <si>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</si>
  <si>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</si>
  <si>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</si>
  <si>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</si>
  <si>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</si>
  <si>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</si>
  <si>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</si>
  <si>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</si>
  <si>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</si>
  <si>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</si>
  <si>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</si>
  <si>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</si>
  <si>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</si>
  <si>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</si>
  <si>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</si>
  <si>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</si>
  <si>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</si>
  <si>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</si>
  <si>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</si>
  <si>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</si>
  <si>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</si>
  <si>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</si>
  <si>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</si>
  <si>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</si>
  <si>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</si>
  <si>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</si>
  <si>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HACCP+CSAO+HSNY</t>
  </si>
  <si>
    <t>állati tetemek</t>
  </si>
  <si>
    <t>Főépítészi, városrendezési feladatok</t>
  </si>
  <si>
    <t>VI.</t>
  </si>
  <si>
    <t>VII.</t>
  </si>
  <si>
    <t>l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</si>
  <si>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</si>
  <si>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</si>
  <si>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</si>
  <si>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</si>
  <si>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</si>
  <si>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</si>
  <si>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</si>
  <si>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</si>
  <si>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</si>
  <si>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</si>
  <si>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</si>
  <si>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</si>
  <si>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</si>
  <si>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</si>
  <si>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</si>
  <si>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</si>
  <si>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</si>
  <si>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pályázati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</si>
  <si>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</si>
  <si>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</si>
  <si>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</si>
  <si>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</si>
  <si>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</si>
  <si>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</si>
  <si>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</si>
  <si>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</si>
  <si>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</si>
  <si>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</si>
  <si>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</si>
  <si>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</si>
  <si>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</si>
  <si>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</si>
  <si>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</si>
  <si>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</si>
  <si>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</si>
  <si>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</si>
  <si>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</si>
  <si>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</si>
  <si>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</si>
  <si>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</si>
  <si>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</si>
  <si>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</si>
  <si>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</si>
  <si>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</si>
  <si>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</si>
  <si>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</si>
  <si>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</si>
  <si>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</si>
  <si>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</si>
  <si>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</si>
  <si>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</si>
  <si>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</si>
  <si>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</si>
  <si>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</si>
  <si>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</si>
  <si>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</si>
  <si>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</si>
  <si>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</si>
  <si>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</si>
  <si>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</si>
  <si>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</si>
  <si>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</si>
  <si>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</si>
  <si>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</si>
  <si>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</si>
  <si>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</si>
  <si>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</si>
  <si>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</si>
  <si>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</si>
  <si>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</si>
  <si>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</si>
  <si>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</si>
  <si>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</si>
  <si>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</si>
  <si>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</si>
  <si>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</si>
  <si>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</si>
  <si>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</si>
  <si>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</si>
  <si>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</si>
  <si>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</si>
  <si>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</si>
  <si>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</si>
  <si>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</si>
  <si>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</si>
  <si>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</si>
  <si>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</si>
  <si>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</si>
  <si>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</si>
  <si>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</si>
  <si>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</si>
  <si>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</si>
  <si>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</si>
  <si>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</si>
  <si>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</si>
  <si>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</si>
  <si>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</si>
  <si>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</si>
  <si>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</si>
  <si>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</si>
  <si>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</si>
  <si>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</si>
  <si>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cafetéria + bérlet  +isik besz.keret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</si>
  <si>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</si>
  <si>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</si>
  <si>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</si>
  <si>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</si>
  <si>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</si>
  <si>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</si>
  <si>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</si>
  <si>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</si>
  <si>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</si>
  <si>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</si>
  <si>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</si>
  <si>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</si>
  <si>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</si>
  <si>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</si>
  <si>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</si>
  <si>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</si>
  <si>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</si>
  <si>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</si>
  <si>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</si>
  <si>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</si>
  <si>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</si>
  <si>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</si>
  <si>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t xml:space="preserve">    Moldvai Magyarok a Moldvai Magyarokért Szövetség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</si>
  <si>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</si>
  <si>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</si>
  <si>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</si>
  <si>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</si>
  <si>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</si>
  <si>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</si>
  <si>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</si>
  <si>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</si>
  <si>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</si>
  <si>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</si>
  <si>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</si>
  <si>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</si>
  <si>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</si>
  <si>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</si>
  <si>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</si>
  <si>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</si>
  <si>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</si>
  <si>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</si>
  <si>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klik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</si>
  <si>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</si>
  <si>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</si>
  <si>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</si>
  <si>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</si>
  <si>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</si>
  <si>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</si>
  <si>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</si>
  <si>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</si>
  <si>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</si>
  <si>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Bursa,</t>
  </si>
  <si>
    <t>tervtanács+ped. tovább+plakett</t>
  </si>
  <si>
    <t>üdülő</t>
  </si>
  <si>
    <t>saját</t>
  </si>
  <si>
    <t xml:space="preserve">Halacska, Demjén, sulivár, SZEB, verseny, </t>
  </si>
  <si>
    <t>támogatások</t>
  </si>
  <si>
    <t xml:space="preserve">dologi </t>
  </si>
  <si>
    <t>k</t>
  </si>
  <si>
    <t>főváros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</si>
  <si>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</si>
  <si>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</si>
  <si>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</si>
  <si>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</si>
  <si>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</si>
  <si>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</si>
  <si>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</si>
  <si>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</si>
  <si>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</si>
  <si>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</si>
  <si>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</si>
  <si>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</si>
  <si>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</si>
  <si>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</si>
  <si>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</si>
  <si>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</si>
  <si>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</si>
  <si>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</si>
  <si>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</si>
  <si>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</si>
  <si>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</si>
  <si>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</si>
  <si>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</si>
  <si>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>akadálymentesítés összesen:</t>
  </si>
  <si>
    <t>egyéb intézményi beruházások összesen:</t>
  </si>
  <si>
    <t>i</t>
  </si>
  <si>
    <t>intézményekbe egyedi bútorok beszerzése:</t>
  </si>
  <si>
    <t>Vagyongazdálkodási feladatok:</t>
  </si>
  <si>
    <t>Egészségügyi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</si>
  <si>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</si>
  <si>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</si>
  <si>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</si>
  <si>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</si>
  <si>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</si>
  <si>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</si>
  <si>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</si>
  <si>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</si>
  <si>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</si>
  <si>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</si>
  <si>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</si>
  <si>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Dél-budai Egészségügyi Szolgálat:</t>
  </si>
  <si>
    <t>Városüzemeltetési feladatok összesen (1+…+6):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</si>
  <si>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</si>
  <si>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</si>
  <si>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</si>
  <si>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</si>
  <si>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</si>
  <si>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Meglévő közterületi sportpálya burkolatok karbantartása, felújítása</t>
  </si>
  <si>
    <t>Kisebb zöldterület fejlesztési munkák</t>
  </si>
  <si>
    <t>BKISZ VI. - VII. nyomvonalon felüli aszfaltburkolatok helyreállítása</t>
  </si>
  <si>
    <t>Szennyvízcsatorna tervezés és építés összesen:</t>
  </si>
  <si>
    <t xml:space="preserve">Szennyvízcsatorna tervezés </t>
  </si>
  <si>
    <t>Vízvezeték tervezések</t>
  </si>
  <si>
    <t>Parkolók Összesen:</t>
  </si>
  <si>
    <t>Közterület-felügyeleti feladatok:</t>
  </si>
  <si>
    <t>program 2019. évi ütemezése</t>
  </si>
  <si>
    <t>KÖFOP-1.2.1-VEKOP-16</t>
  </si>
  <si>
    <t>XXII. kerületi Egyesített Óvoda Bartók Tagóvoda és az Egyesített Bölcsőde Napraforgó Tagbölcsőde infrastruktúra-fejlesztése</t>
  </si>
  <si>
    <t>VEKOP-6.1.1-15-BP1-2016-00003</t>
  </si>
  <si>
    <t xml:space="preserve">Budapest XXII. kerület, Városház tér 11. szám alatti épület egyes felújítási munkái - folyosói padlólap rekonstrukció </t>
  </si>
  <si>
    <t>"Építészeti Örökségvédelmi Támogatás 2017"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</si>
  <si>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</si>
  <si>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</si>
  <si>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</si>
  <si>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</si>
  <si>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</si>
  <si>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>Intézményekben tervezett felújítások (a+b+..+l) :</t>
  </si>
  <si>
    <t>2019. évi tervezett bevételei</t>
  </si>
  <si>
    <t>2019. évi tervezett kiadásai</t>
  </si>
  <si>
    <t>2019. évi tervezett előirányzatai</t>
  </si>
  <si>
    <t>2019. évi önkormányzati feladatainak tervezett előirányzatai</t>
  </si>
  <si>
    <t>2019. évi tervezett támogatások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</si>
  <si>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</si>
  <si>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</si>
  <si>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</si>
  <si>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</si>
  <si>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2019. évben lakosságnak önkormányzat által nyújtott 
szociális és rászorultsági ellátások</t>
  </si>
  <si>
    <t>2019. évi tervezett felújítási kiadásai</t>
  </si>
  <si>
    <t>egyéb intézményi feladatok összesen:</t>
  </si>
  <si>
    <t>2019. évi tervezett beruházási kiadásai</t>
  </si>
  <si>
    <t>2019. évi tervezett tartalék előirányzata</t>
  </si>
  <si>
    <t>program 2020. évi ütemezése</t>
  </si>
  <si>
    <t>pályázati forrásokból megvalósuló feladatai és azok 2019. évi üteme</t>
  </si>
  <si>
    <t>2019. évi költségvetési bevételei és kiadásai</t>
  </si>
  <si>
    <t>Finanszírozási bevételek</t>
  </si>
  <si>
    <t>2019. évi iparűzési adó beszedésével kapcsolatos költségek (forrásmegosztás alapján)</t>
  </si>
  <si>
    <t>Pályázatok önrésze</t>
  </si>
  <si>
    <t>2019. évi létszámelőirányzat / fő</t>
  </si>
  <si>
    <t>Közfoglalkoztatottak 2019. évi létszámelőirányzata</t>
  </si>
  <si>
    <t>Kőbányász park felújítása</t>
  </si>
  <si>
    <t>Útfelújítások kivitelezése</t>
  </si>
  <si>
    <t>Intézményekben árnyékolás javítása</t>
  </si>
  <si>
    <t>Intézményekben magastetők és csapadékvíz elvezetés felülvizsgálata és javítása</t>
  </si>
  <si>
    <t>Intézményekben lapostetők és csapadékvíz elvezetés felülvizsgálata és javítása</t>
  </si>
  <si>
    <t>Intézményekben pincei vízszigetelés felülvizsgálata és javítása</t>
  </si>
  <si>
    <t>Intézményekben elektromos vezetékek, berendezések felülvizsgálata és javítása</t>
  </si>
  <si>
    <t>Intézményekben gépészeti vezetékek, berendezések felülvizsgálata és javítása</t>
  </si>
  <si>
    <t>Lakás felújítások bérbeszámítással</t>
  </si>
  <si>
    <t>Nem lakás célú helyiség felújítása bérbeszámítással</t>
  </si>
  <si>
    <t>Balatonakali üdülőházak cseréje</t>
  </si>
  <si>
    <t>Kossuth Lajos utcai homlokzatfelújítások és utcakép tervezés</t>
  </si>
  <si>
    <t>Csicsergő Tagóvoda -Vöröskereszt utca tetőfelújítás, csapadékvíz elvezető rendszer felújítása</t>
  </si>
  <si>
    <t>Napraforgó Tagbölcsőde - tető-és homlokzatszigetelési munkák, nyílászárók cseréje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</si>
  <si>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</si>
  <si>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</si>
  <si>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Kossuth L. u. 26. - pergola építése</t>
  </si>
  <si>
    <t>Új játszótér építése Jósika utcában</t>
  </si>
  <si>
    <t>Gyalogátkelőhelyek létesítése közvilágítással</t>
  </si>
  <si>
    <t>Intézmények bútorozási és lambéria csere munkái</t>
  </si>
  <si>
    <t xml:space="preserve">Intézményekben hőérzet javítás </t>
  </si>
  <si>
    <t>Hajó utca – Duna-parti sétány környezetének fejlesztése című városrehabilitációs projekt megvalósítására</t>
  </si>
  <si>
    <t>Fővárosi TÉR_KÖZ Pályázat 2016</t>
  </si>
  <si>
    <t>Mementó Szmolenszkért-Kaczynski Emlékmű</t>
  </si>
  <si>
    <t>KV-0000/254/2018</t>
  </si>
  <si>
    <t>TÉR_KÖZ 2018 pályázat</t>
  </si>
  <si>
    <t xml:space="preserve">Tündérkert Tagóvoda - feljáró oldalsó támfalának megerősítése </t>
  </si>
  <si>
    <t>Tündérkert Tagóvóda - rézsűs terület lekerítése, felújítása, megtámasztása II.,csapadékvíz elvez.</t>
  </si>
  <si>
    <t xml:space="preserve">Szivárvány Tagóvoda - pincevilágítás kiépítése és az épület sötétedés utáni kivilágításának korszerűsítése </t>
  </si>
  <si>
    <t>Rózsakert Tagóvoda - tető felülvizsgálata és felújítása</t>
  </si>
  <si>
    <t xml:space="preserve">Szociális Szolgálat (Nagytétényi út 266.) - tető (4 db) gyors javítása a szakvélemény szerint </t>
  </si>
  <si>
    <t>Polgármesteri Hivatal (Városház tér) - pincei vízszigetelés I. és II. ütem</t>
  </si>
  <si>
    <t xml:space="preserve">Mocorgó Tagbölcsőde - alapvezetékek, tető, csapadékvíz elvezető rendszer felújítása </t>
  </si>
  <si>
    <t xml:space="preserve">Csicsergő Tagóvoda - alapvezetékek, tető, csapadékvíz elvezető rendszer felújítása </t>
  </si>
  <si>
    <t>Gyár utcai szennyvízcsatorna</t>
  </si>
  <si>
    <t xml:space="preserve">Hegybíró utca csapadékvízelvezetés </t>
  </si>
  <si>
    <t>Csicsergő Tagóvoda - Felnőtt öltöző és mosdó helyiségben tolóajtó, vagy harmonika ajtó felszerelése</t>
  </si>
  <si>
    <t>XI.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</si>
  <si>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</si>
  <si>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</si>
  <si>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>Szent István tér fejlesztése II. ütem</t>
  </si>
  <si>
    <t xml:space="preserve">Játszó- és sporteszközök telepítése, pótlása és cseréje közterületen és intézményekben </t>
  </si>
  <si>
    <t>"Régi idők új kapui" és "Budafok-Belváros megújul" pályázatokhoz fedezet biztosítás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</si>
  <si>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</si>
  <si>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</si>
  <si>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</si>
  <si>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</si>
  <si>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</si>
  <si>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</si>
  <si>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</si>
  <si>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</si>
  <si>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</si>
  <si>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</si>
  <si>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</si>
  <si>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</si>
  <si>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</si>
  <si>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</si>
  <si>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</si>
  <si>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</si>
  <si>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</si>
  <si>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</si>
  <si>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</si>
  <si>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</si>
  <si>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>Polgármesteri Hivatal (Városház tér) - külső csatona felújítása</t>
  </si>
  <si>
    <t>Csicsergő Tagóvoda -Vöröskereszt utca kerítés javítása utcafronton</t>
  </si>
  <si>
    <t>Leányka utca 38. sz. mögött gépkocsi parkoló építés + közvilágítás</t>
  </si>
  <si>
    <t xml:space="preserve">Budafok-Tétény Budapest XXII. kerület Önkormányzata </t>
  </si>
  <si>
    <t>Budafok-Tétény Budapest XXII. kerület Önkormányzata</t>
  </si>
  <si>
    <t>Budafok-Tétény Budapest, XXII. kerület Önkormányzata</t>
  </si>
  <si>
    <t>Budafok-Tétény Budapest XXII. kerület Önkormányzata ASP központhoz való csatlakozása</t>
  </si>
  <si>
    <t xml:space="preserve">Budafoki Művészeti és Helytörténeti Galéria kialakítása 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</si>
  <si>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</si>
  <si>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</si>
  <si>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</si>
  <si>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</si>
  <si>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</si>
  <si>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</si>
  <si>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Módosított előirányzat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</si>
  <si>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</si>
  <si>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</si>
  <si>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</si>
  <si>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</si>
  <si>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</si>
  <si>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</si>
  <si>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</si>
  <si>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Előző évi működési támogatások elszámolása</t>
  </si>
  <si>
    <t xml:space="preserve">2018. évi rendszeres gyermekvédelmi támogatás elszámolása </t>
  </si>
  <si>
    <t>Nádasdy Művészeti Iskola - dobogó és színpad hátsó felületének akusztikai borítása</t>
  </si>
  <si>
    <t>Szent István tér komplex fejlesztése</t>
  </si>
  <si>
    <t>Kisegítő mezőgazdasági szolgáltatások:</t>
  </si>
  <si>
    <t>Intézményekbe egyedi bútorok beszerzése:</t>
  </si>
  <si>
    <t>Intézményi beruházások, felújítások tervezése:</t>
  </si>
  <si>
    <t>Kerületi feladatok:</t>
  </si>
  <si>
    <t>Budafoki Művészeti és Helytörténeti Galéria:</t>
  </si>
  <si>
    <t>Szakorvosi rendelő - gépészet és mosdók felújítása I. ütem</t>
  </si>
  <si>
    <t xml:space="preserve">Szakorvosi rendelő - felújítás III. ütem + belső funkciómegtartó felújítás folytatása IV. ütem </t>
  </si>
  <si>
    <t>Vagyongazdálkodási feladatok tervezett kiadásai összesen (a+...+d):</t>
  </si>
  <si>
    <t>Rózsakert lakótelep felújítása</t>
  </si>
  <si>
    <t>BKISZ keretében végzett szennyvízcsatorna építések utáni útfelújítások - Árpád u.</t>
  </si>
  <si>
    <t>Hosszúhegy utca 8. közterületi támfal megerősítése</t>
  </si>
  <si>
    <t>Leányka Tagóvoda - dajka öltöző és zuhanyzó felújítása</t>
  </si>
  <si>
    <t>Klauzál Ház - mosdó, vizesblokk felújítás</t>
  </si>
  <si>
    <t>Polgármesteri Hivatal (Városház tér) - pince külső oldalfali vízszigetelés és külső közmű felújítás</t>
  </si>
  <si>
    <t>Mocorgó Tagbölcsőde - fűtésrendszer korszerűsítése</t>
  </si>
  <si>
    <t>Árnyaskert Tagóvoda - udvar komplex felújítása</t>
  </si>
  <si>
    <t xml:space="preserve">Árnyaskert Tagóvoda - udvari kisház külső felújítása, külső-belső festése, a kisház környékén műfüvezése, járda javítása </t>
  </si>
  <si>
    <t>Huncutka Tagóvoda - udvari játszóeszköz burkolatok kialakítása, felújítása</t>
  </si>
  <si>
    <t>Huncutka Tagóvoda - hátsó kerítés javítás</t>
  </si>
  <si>
    <t>Leányka Tagóvoda - bejáratánál lévő kockás hidegburkolat cseréje járólapra</t>
  </si>
  <si>
    <t>Leányka Tagóvoda - Süni és a Napocska csoportok udvarán a kerítés melletti járda felújítása</t>
  </si>
  <si>
    <t>Rózsakert Tagóvoda - udvari játszóeszköz burkolatok kialakítása, felújítása</t>
  </si>
  <si>
    <t>Szivárvány Tagóvoda - felpúposodott térburkolat javítása a kis- és középső csoport külső bejáratainál</t>
  </si>
  <si>
    <t>Tündérkert Tagóvoda - dekoraszfalt készítése, javítása</t>
  </si>
  <si>
    <t>Zöldecske Tagóvoda - udvari játszóeszköz burkolatok kialakítása, felújítása</t>
  </si>
  <si>
    <t>Rózsakert Tagóvoda - tető összefolyó javítás (2 db)</t>
  </si>
  <si>
    <t>Varázskastély Tagóvoda - épületén teljes tetőcsere</t>
  </si>
  <si>
    <t>Zöldecske Tagóvoda - tetőszerkezet felújítása, hőszigetelése</t>
  </si>
  <si>
    <t>Varázskastély Tagóvoda - csoportszobákban és az öltözőkben a lámpatestek cseréje</t>
  </si>
  <si>
    <t>Leányka Tagbölcsőde - I. csoport teraszán a burkolat cseréje</t>
  </si>
  <si>
    <t>Leányka Tagbölcsőde - előtérből leválasztott helyiség műanyag lambéria fala átalakítása</t>
  </si>
  <si>
    <t xml:space="preserve">Mocorgó Tagbölcsőde - csoportszobák parketta cseréje </t>
  </si>
  <si>
    <t>Napraforgó Tagbölcsőde - 3. csoport árnyékolójának fém-szerkezeti és vászon felújítása</t>
  </si>
  <si>
    <t xml:space="preserve">Napraforgó Tagbölcsőde - Katica csoport teraszának járólap cseréje </t>
  </si>
  <si>
    <t>Rózsakert Tagbölcsőde - dolgozók öltözőszekrényeinek cseréje</t>
  </si>
  <si>
    <t>Csemetekert Tagóvoda - alagsor teljes felújítása</t>
  </si>
  <si>
    <t>Csicsergő Tagóvoda - fa nyílászárók és erkélyajtó keret műanyagra cserélése két csoportban</t>
  </si>
  <si>
    <t>Csicsergő Tagóvoda - ablakpárkányon a bádog cseréje</t>
  </si>
  <si>
    <t>Napocska Napközi Tagóvoda - elektromos hálózat komplett felújítása</t>
  </si>
  <si>
    <t>Varázskastély Tagóvoda - pincei falak vizesedésének megszüntetése</t>
  </si>
  <si>
    <t>Zöldecske Tagóvoda - bejárati lépcsők karbantartása, festése</t>
  </si>
  <si>
    <t>Szociális Szolgálat (XVI. u. 22.) - nyílászárók cseréje</t>
  </si>
  <si>
    <t>Bartók Tagóvoda - tető-és homlokzatszigetelési munkák, nyílászárók cseréje</t>
  </si>
  <si>
    <t>Polgármesteri Hivatal - folyosói padlóburkolat rekonstrukciója (pályázat)</t>
  </si>
  <si>
    <t>Általános állagmegóvó intézményi beruházások</t>
  </si>
  <si>
    <t>Péter Pál utcai játszótér felújítása</t>
  </si>
  <si>
    <t>Pécsi utca közvilágítás II</t>
  </si>
  <si>
    <t>Jósika utca (zsákutca szakasz)</t>
  </si>
  <si>
    <t>Gyula vezér út (Névtelen u.-X. u.)</t>
  </si>
  <si>
    <t>Pécsi u. II. ütem (részben 2017. évi forrásból)</t>
  </si>
  <si>
    <t xml:space="preserve">Előre nem tervezhető járda és park felújításfelújítás </t>
  </si>
  <si>
    <t>Egyéb útfenntartási kiadások:</t>
  </si>
  <si>
    <t xml:space="preserve"> -- Zsoldos forduló - útszerkezetet megámasztó mélycölöp támasztó sor építése</t>
  </si>
  <si>
    <t xml:space="preserve"> -- Tatár forduló - szikkasztó elemek kiépítése</t>
  </si>
  <si>
    <t xml:space="preserve">Egyéb forgalomtechnikai létesítmények </t>
  </si>
  <si>
    <t>Huncutka Tagóvoda - épület süllyedésének megállapítása, alapvezeték kiváltása, fürdőszobák felújításával, iroda szárnyban</t>
  </si>
  <si>
    <t>Tündérkert Tagóvoda - fedett udvarrész falának teljes szigetelése, vakolása, festése, vízelvezetés megoldása</t>
  </si>
  <si>
    <t>Mocorgó Tagbölcsőde - bejárati kapunál biztonsági zár vagy lekerítés</t>
  </si>
  <si>
    <t xml:space="preserve">Mocorgó Tagbölcsőde - udvari ivókút kialakítása </t>
  </si>
  <si>
    <t>Mocorgó Tagbölcsőde - játszókertbe napvitorla kialakítása</t>
  </si>
  <si>
    <t>Mocorgó Tagbölcsőde - gazdasági bejáratnál fedett kukatároló kialakítása</t>
  </si>
  <si>
    <t>Rózsakert Tagbölcsőde - homokozók fölé napvitorla kialakítása</t>
  </si>
  <si>
    <t>Rózsakert Tagbölcsőde - I. egység párakapu kiépítése</t>
  </si>
  <si>
    <t>Csemetekert Tagóvoda - árnyékolók elhelyezése a homokozók fölé</t>
  </si>
  <si>
    <t>Rózsakert Tagóvoda - udvari pancsoló megszüntetése, helyette vízköpő, spriccelő kiépítése</t>
  </si>
  <si>
    <t>Szivárvány Tagóvoda - kerti játékok, műanyag motorok stb. tárolására alkalmas udvari tároló kialakítása</t>
  </si>
  <si>
    <t>Klauzál Ház - napvitorla, árnyékoló az udvari programokhoz</t>
  </si>
  <si>
    <t>Szociális Szolgálat (Anna u. 10.) - épület főbejáratánál előtető kialakítása</t>
  </si>
  <si>
    <t>Család- és Gyermekjóléti Központ (Nagytétényi út 276.) - mennyezeti világítótestek cseréje</t>
  </si>
  <si>
    <t xml:space="preserve">Mocorgó Tagbölcsőde - mozgásérzékelő világítás kihelyezése </t>
  </si>
  <si>
    <t>Huncutka Tagóvoda - elektromos hálózat bővítése</t>
  </si>
  <si>
    <t>Szivárvány Tagóvoda - pincevilágítás kiépítése</t>
  </si>
  <si>
    <t>Szivárvány Tagóvoda - alkonyatvilágítás korszerűsítése</t>
  </si>
  <si>
    <t>Napraforgó Tagbölcsőde - mozgásérzékelő világítás kihelyezése a teraszoknál (játszókert felöl)</t>
  </si>
  <si>
    <t xml:space="preserve">Leányka Tagbölcsőde - 1. egység tálalókonyhában konyhaszekrény cseréje </t>
  </si>
  <si>
    <t>Leányka Tagbölcsőde - 2 db tálalókonyhában konyhaszekrény kialakítása, tálalókonyha átalakítása</t>
  </si>
  <si>
    <t xml:space="preserve">Mocorgó Tagbölcsőde - konyhaszekrény cseréje </t>
  </si>
  <si>
    <t>Maci Tagóvoda - konyhában lévő bútorok cseréje</t>
  </si>
  <si>
    <t>Leányka Tagbölcsőde - vasút felöli kerítés lábazatának kialakítása</t>
  </si>
  <si>
    <t>Mocorgó Tagbölcsőde - fejlesztő szobában falon kívül futó kábelek felülvizsgálata, elburkolása</t>
  </si>
  <si>
    <t>Rózsakert Tagbölcsőde - iroda felőli bejáratnál rámpás védőkorlát felszerelése és beléptető ajtózár szerelése</t>
  </si>
  <si>
    <t>Bartók Tagóvoda - klímaberendezés elhelyezése a Pitypang és Csillagvirág csoportokban</t>
  </si>
  <si>
    <t>Csemetekert Tagóvoda - klímaberendezés elhelyezése, a Maci, Nyuszi, Süni, Csiga és Katica csoportokba</t>
  </si>
  <si>
    <t>Leányka Tagóvoda - Mackó és a Füles csoportokba klímaberendezés elhelyezése</t>
  </si>
  <si>
    <t>Tündérkert Tagóvoda - három csoportban a bukó ablakok kinyithatóvá tétele</t>
  </si>
  <si>
    <t>Szociális Szolgálat 22. (XII. u. 28.) - melléképületben válaszfal felhúzása</t>
  </si>
  <si>
    <t>Család- és Gyermekjóléti Központ (Nagytétényi út 261.) - klímaberendezés felszerelése</t>
  </si>
  <si>
    <t>Család- és Gyermekjóléti Központ (Nagytétényi út 276.) - klímaberendezés felszerelése</t>
  </si>
  <si>
    <t>Önkormányzati igazgatás:</t>
  </si>
  <si>
    <t>XII.</t>
  </si>
  <si>
    <t>Egyéb pályázatok:</t>
  </si>
  <si>
    <t>XIII.</t>
  </si>
  <si>
    <t>Hajó utca - Duna parti sétány környezetének fejl.-e:</t>
  </si>
  <si>
    <t>Memento Szmolenszkért emlékmű:</t>
  </si>
  <si>
    <t>XIV.</t>
  </si>
  <si>
    <t>XV.</t>
  </si>
  <si>
    <t>Általános hibaelhárítás</t>
  </si>
  <si>
    <t>Intézményekben tervezett beruházások (a+b+...+l):</t>
  </si>
  <si>
    <t>Külső ellenőrzések által előírt feladatok (NÉBIH HACCP)</t>
  </si>
  <si>
    <t>Védőnői Szolgálat (Káldor A. u.)</t>
  </si>
  <si>
    <t>- ebből: Napraforgó Tagbölcsőde - víz alapvezeték cseréje</t>
  </si>
  <si>
    <t xml:space="preserve">- ebből: Szociális Szolgálat (XII. u.) - klimatízálás </t>
  </si>
  <si>
    <t>- ebből: Baross Gábos Általános Iskola - udvari sátor világítás tervezése és kiépítése</t>
  </si>
  <si>
    <t>Kulturális feladatok:</t>
  </si>
  <si>
    <t>Környezetvédelem:</t>
  </si>
  <si>
    <t>Ingatlanok vásárlása:</t>
  </si>
  <si>
    <t>BERUHÁZÁSI KIADÁSOK ÖSSZESEN  (A+B):</t>
  </si>
  <si>
    <t>Városüzemeltetés feladatok összesen (1-től 10-ig) :</t>
  </si>
  <si>
    <t>Egyéb intézményi feladatok összesen</t>
  </si>
  <si>
    <t>- ebből: Huncutka Tagóvoda - rozsdamentes konyhai eszközök, bútorok beszerzése</t>
  </si>
  <si>
    <t xml:space="preserve">               Leányka Tagóvoda - rozsdamentes konyhai eszközök, bútorok beszerzése</t>
  </si>
  <si>
    <t xml:space="preserve">              Napocska Napközi Tagóvoda - rozsdamentes konyhai eszközök, bútorok beszerzése</t>
  </si>
  <si>
    <t>K914</t>
  </si>
  <si>
    <t>Államháztartáson belüli megelőlegezések visszafizetése</t>
  </si>
  <si>
    <t>Út-, járda- és közterületek fejlesztése</t>
  </si>
  <si>
    <t>Üzemeltetési és karbantartási kiadások tartaléka</t>
  </si>
  <si>
    <t>Terv utcai játszótér</t>
  </si>
  <si>
    <t>a „Szent István tér komplex fejlesztése” című városrehabilitációs projekt megvalósítására</t>
  </si>
  <si>
    <t>Felhalmozási kiadások (beruházások és felújítások) tartaléka</t>
  </si>
  <si>
    <t>József Attila lakótelepi játszótér felújítása</t>
  </si>
  <si>
    <t>Érvényes előiárnyzat</t>
  </si>
  <si>
    <t>módosítás
( ± )</t>
  </si>
  <si>
    <t xml:space="preserve">Érvényes előirányzat          </t>
  </si>
  <si>
    <t>I. félév</t>
  </si>
  <si>
    <t xml:space="preserve">Parkfenntartási részleg anyag és szerszám szükséglet </t>
  </si>
  <si>
    <t xml:space="preserve"> -- Hegesztőgép beszerzése parkfenntartás részére</t>
  </si>
  <si>
    <t>Közterületi útburkolati hibák lámpázása</t>
  </si>
  <si>
    <t xml:space="preserve">              Védőnői Szolgálat - behatolásjelző rendszer visszaépítése</t>
  </si>
  <si>
    <t xml:space="preserve">              Védőnői Szolgálat - Gyermekorvosi rendelővel összekötő informatikai rendszer kiépítése</t>
  </si>
  <si>
    <t>Lakáskarbantartás</t>
  </si>
  <si>
    <t>Nem lakás célú ingatlan karbantartása</t>
  </si>
  <si>
    <t>-- Tisza u.</t>
  </si>
  <si>
    <t>-- Kőbányász park</t>
  </si>
  <si>
    <t>-- Tőr u.</t>
  </si>
  <si>
    <t>-- Tűzmester u.</t>
  </si>
  <si>
    <t>-- Szlatina u.</t>
  </si>
  <si>
    <t>-- Zala u.</t>
  </si>
  <si>
    <t>-- Vitéz u.</t>
  </si>
  <si>
    <t>-- Dallam u.</t>
  </si>
  <si>
    <t>-- Aranytallér u.</t>
  </si>
  <si>
    <t>-- Szigetvári u.</t>
  </si>
  <si>
    <t>-- Rosta u. és Kender u.</t>
  </si>
  <si>
    <t>-- Só u.</t>
  </si>
  <si>
    <t>-- Karéj u.</t>
  </si>
  <si>
    <t>-- Szelence u.</t>
  </si>
  <si>
    <t>-- Muhi u.</t>
  </si>
  <si>
    <t>-- Klauzál Gábor u.</t>
  </si>
  <si>
    <t>-- Sándor u.</t>
  </si>
  <si>
    <t>-- Fenyőtoboz u.</t>
  </si>
  <si>
    <t>-- Méz u.</t>
  </si>
  <si>
    <t>-- Villa u.</t>
  </si>
  <si>
    <t>-- Fejedelem u.</t>
  </si>
  <si>
    <t>-- Csipkebogyó u.</t>
  </si>
  <si>
    <t>-- Kinizsi u.</t>
  </si>
  <si>
    <t>-- Szikla u.</t>
  </si>
  <si>
    <t>-- Barót köz</t>
  </si>
  <si>
    <t>-- Hanna u.</t>
  </si>
  <si>
    <t>-- Márvány u.</t>
  </si>
  <si>
    <t>-- Mandula u.</t>
  </si>
  <si>
    <t>-- Temesvári u.</t>
  </si>
  <si>
    <t>-- Naprét u.</t>
  </si>
  <si>
    <t>-- Kiskőbánya u.</t>
  </si>
  <si>
    <t>-- Angolna u.</t>
  </si>
  <si>
    <t>-- Márna u.</t>
  </si>
  <si>
    <t>-- Pikó u.</t>
  </si>
  <si>
    <t>-- Compó u.</t>
  </si>
  <si>
    <t>-- Törpeharcsa u.</t>
  </si>
  <si>
    <t>-- Zakariás u.</t>
  </si>
  <si>
    <t>-- Naphal u.</t>
  </si>
  <si>
    <t>-- Dévér park</t>
  </si>
  <si>
    <t>"Főváros kerületi belterületi szilárd burkolat nélküli utak szilárd burkolattal történő ellátása" pályázat - 2018, melyből:</t>
  </si>
  <si>
    <t xml:space="preserve"> -- Szakorvosi Rendelőintézet melletti parkoló nagyjavítása</t>
  </si>
  <si>
    <t>Intézményekben burkolatok (hideg és meleg) felújítása</t>
  </si>
  <si>
    <t>- ebből: Napocska Napközi Tagóvóda - hőközpont átalakítása</t>
  </si>
  <si>
    <t>Felügyeleti díj</t>
  </si>
  <si>
    <t>Környezetvédelem - szennyvízcsatorna rákötési támogatás</t>
  </si>
  <si>
    <t>Környezetvédelem - környezetvédelmi pályázatok</t>
  </si>
  <si>
    <t>Egészségügyi és szociális feladatok - Eü.-i, közbiztonsági és balesetmegelőzési prevenciós programok, szolgáltatások</t>
  </si>
  <si>
    <t xml:space="preserve">    Bolgár Nemzetiségi Önkormányzat</t>
  </si>
  <si>
    <t xml:space="preserve">    Görög Nemzetiségi Önkormányzat</t>
  </si>
  <si>
    <t xml:space="preserve">    Horvát Önkormányzat</t>
  </si>
  <si>
    <t xml:space="preserve">    Német Nemzetiségi Önkormányzat</t>
  </si>
  <si>
    <t xml:space="preserve">    Roma  Önkormányzat</t>
  </si>
  <si>
    <t xml:space="preserve">     Kastélymúzeumi rendezvények</t>
  </si>
  <si>
    <t xml:space="preserve">     OKTB pályázatok</t>
  </si>
  <si>
    <t>nonprofit gazdasági társaságnak</t>
  </si>
  <si>
    <t>III. negyedév</t>
  </si>
  <si>
    <t>Árnyaskert  Tagóvoda - klímaberendezés elhelyezése a Zöld csoportba</t>
  </si>
  <si>
    <t>Zöldecske  Tagóvoda - klímaberendezés elhelyezése a Zöld csoportba</t>
  </si>
  <si>
    <t>- ebből: Rózsakert Tagbölcsőde - fűtési vezetékek részleges cseréje</t>
  </si>
  <si>
    <t xml:space="preserve"> -- Kálváriahegy u. - egyirányúsítás tervezése és engedélyeztetése</t>
  </si>
  <si>
    <t>Útépítések előtti közmű kiváltások</t>
  </si>
  <si>
    <t xml:space="preserve">             Cziffra György Nagytétényi Kulturális Központ - szerver helyiség hűtése</t>
  </si>
  <si>
    <t xml:space="preserve">             Polgármesteri Hivatal (Városház tér) - informatika ajtó beépítése</t>
  </si>
  <si>
    <t xml:space="preserve">Játszóeszközök alatti ütéscsillapító gumiburkolat javítása, cseréje </t>
  </si>
  <si>
    <t>-- Városház tér Rendőrkapitányság előtti járdaburkolat nagyjavítása</t>
  </si>
  <si>
    <t xml:space="preserve">             Nagytétényi út 31-33. - uszodatér homlokzati nyílászáró üvegeinek cseréje</t>
  </si>
  <si>
    <t>-- Iluska u. (Bartók B. út - Csút u.)</t>
  </si>
  <si>
    <t>-- Busa u. (Balin u. - Naphal u.)</t>
  </si>
  <si>
    <t>-- Libertás u. (Dukát u. - Kunyhó u.)</t>
  </si>
  <si>
    <t xml:space="preserve">-- Csúcs u. (Dukát u. - Barackos u.) </t>
  </si>
  <si>
    <t>-- Kövesföld u. (Szlatina u. - Körmöci u.)</t>
  </si>
  <si>
    <t>-- Dukát u. (Barackos u. - Szélkakas u.)</t>
  </si>
  <si>
    <t>-- Dukát u. (Szélkakas u. - Peták u.)</t>
  </si>
  <si>
    <t>-- Dukát u. (Peták u. - Kakukkhegyi u.)</t>
  </si>
  <si>
    <t>Járdafelújítások kivitelezése, melyből:</t>
  </si>
  <si>
    <t>-- Margit u. páros oldal</t>
  </si>
  <si>
    <t xml:space="preserve">-- Arany János u. páros oldal (Regényes u. - Remete u.) </t>
  </si>
  <si>
    <t>-- Arany János u. páros oldal (Regényes u. - Falka u.)</t>
  </si>
  <si>
    <t>-- Gádor u. páros oldal (Tüzér u. - Bocskai u.)</t>
  </si>
  <si>
    <t>-- Kiránduló u. páros oldal (Háros u. -Bozót u.)</t>
  </si>
  <si>
    <t>-- Kolozsvári u. páros oldal (Dunatelep)</t>
  </si>
  <si>
    <t>Járdaépítések kivitelezése, melyből:</t>
  </si>
  <si>
    <t>-- Remete u. - Tegzes u.</t>
  </si>
  <si>
    <t>-- Liszt Ferenc u.</t>
  </si>
  <si>
    <t>-- Bibic u.</t>
  </si>
  <si>
    <t>-- Rózsabarack u. 8. vízvezeték meghosszabítása</t>
  </si>
  <si>
    <t xml:space="preserve">Előre nem tervezhető törzshálózati ivóvíz vezeték építés, melyből: </t>
  </si>
  <si>
    <t>"Főváros kerületi belterületi szilárd burkolat nélküli utak szilárd burkolattal történő ellátása" pályázat - 2019, melyből:</t>
  </si>
  <si>
    <t>-- Honfoglalás út 22-vel szembeni játszótér ivóvíz ellátása</t>
  </si>
  <si>
    <t>-- Városház téri P+R parkolóban járdaburkolatok kiépítése</t>
  </si>
  <si>
    <t>-- Játék u. - Tűzoltó u. kereszteződésében burkolat kiemelése</t>
  </si>
  <si>
    <t>Minimálbér és garantált bérminimum emeléséből adódó bértöbblet kiegészítő támogatása</t>
  </si>
  <si>
    <t xml:space="preserve">Kerületi feladatok - BLC </t>
  </si>
  <si>
    <t xml:space="preserve">    Kiemelt önkormányzati rendezvények</t>
  </si>
  <si>
    <t>Egyéb pályázatok - YoulnHerit projekt</t>
  </si>
  <si>
    <r>
      <t xml:space="preserve">Pénzbeli Gyermekvédelmi támogatás </t>
    </r>
    <r>
      <rPr>
        <b/>
        <i/>
        <sz val="11"/>
        <rFont val="Arial"/>
        <family val="2"/>
      </rPr>
      <t>(jegyzői)</t>
    </r>
  </si>
  <si>
    <t>XVI.</t>
  </si>
  <si>
    <t>fejezeti kezelésű előirányzatok EU-s programokra</t>
  </si>
  <si>
    <t>URBACT III. Integrált városfejlesztést támogató transznacionális program</t>
  </si>
  <si>
    <t>URBACT III. Integrált városfejlesztést támogató transznacionális program 1555398745</t>
  </si>
  <si>
    <t>A fővárosi kerületi belterületi szilárd burkolat nélküli utak szilárd burkolattal történő ellátása I. ütem</t>
  </si>
  <si>
    <t>Miniszterelnökség</t>
  </si>
  <si>
    <t>A fővárosi kerületi belterületi szilárd burkolat nélküli utak szilárd burkolattal történő ellátása II. ütem</t>
  </si>
  <si>
    <t>Önkormányzati beruházások összesen (I-től XVI-ig):</t>
  </si>
  <si>
    <t>- ebből: Csemetekert Tagóvoda - ablakrács készítése, lépcsőkorlát meghosszabítása</t>
  </si>
  <si>
    <t xml:space="preserve">             Csemetekert Tagóvoda - kazánház szivattyú cseréje</t>
  </si>
  <si>
    <t xml:space="preserve">            Szociális Szolgálat (Anna u.) - fűtésrendszer cseréje</t>
  </si>
  <si>
    <t>- ebből: Leányka Tagbölcsőde - átadó helyiségben felnőtt kézmosók helyreállítása</t>
  </si>
  <si>
    <t>"Főváros kerületi belterületi szilárd burkolat nélküli utak szilárd burkolattal történő ellátása" pályázat (2019) - Komáromi út</t>
  </si>
  <si>
    <t>IV. negyedév</t>
  </si>
  <si>
    <t>Görpark létesítése Nagytétényi út 214. szám alatti ingatlanon (pályázat)</t>
  </si>
  <si>
    <t>-- Móricz Zsigmond u. (Géza u. - 9.sz.)</t>
  </si>
  <si>
    <t>-- Kő u.</t>
  </si>
  <si>
    <t>-- Kötő u.</t>
  </si>
  <si>
    <t>-- Pógyor István u. (Gyula vezér út - végig)</t>
  </si>
  <si>
    <t>-- Vitéz u. (Dallam u. - Kossuth u.)</t>
  </si>
  <si>
    <t>-- Cikória u.</t>
  </si>
  <si>
    <t>-- Nyírfás köz</t>
  </si>
  <si>
    <t>-- Diófa u. (Sörház u. - zsákutca vége)</t>
  </si>
  <si>
    <t>-- Szalontai - Ménes u. (Szél u. - zsákutca vége)</t>
  </si>
  <si>
    <t>-- Kenderike u. (Kelenvölgyi u. - Kamaraerdei u.)</t>
  </si>
  <si>
    <t>-- Halom u. (Olajhegy u. - Árpád u.)</t>
  </si>
  <si>
    <t>-- Kőház sor (XIV. u. - XV. u.)</t>
  </si>
  <si>
    <t>-- Palást u. (234401/4 - 234400/4 hrsz)</t>
  </si>
  <si>
    <t>-- Hegyfok köz (Hegyfok u. - zsákutca vége)</t>
  </si>
  <si>
    <t>-- Aranyvessző u.(Dukát u. - Dénár u.)</t>
  </si>
  <si>
    <t>-- Babérfűz u.(3.sz. - 7/b.sz.)</t>
  </si>
  <si>
    <t>-- Dénár u. (Libertás u. - Aranyvessző u. között)</t>
  </si>
  <si>
    <t>-- Diótörő u. (Balatoni út. - Viharvédő u.)</t>
  </si>
  <si>
    <t>-- Sárgarigó u. (Alkotmány u. - zsákutca vége)</t>
  </si>
  <si>
    <t xml:space="preserve">    Kerületi naptár, turisztikai és helytörténeti kiadványok</t>
  </si>
  <si>
    <t>Polgármesteri Hivatal összesen</t>
  </si>
  <si>
    <t xml:space="preserve">    Európai Parlament képviselőinek választása</t>
  </si>
  <si>
    <t xml:space="preserve">    Önkormányzati képviselők választása</t>
  </si>
  <si>
    <t>Önkormányzati felújítások összesen (I+II+III):</t>
  </si>
  <si>
    <t xml:space="preserve">2019. évi Kubinyi Ágoston Program </t>
  </si>
  <si>
    <t>A fővárosi kerületi belterületi szilárd burkolat nélküli utak szilárd burkolattal történő ellátása II. ütem - Komáromi út</t>
  </si>
  <si>
    <t xml:space="preserve">Internetkapcsolat helyi közösségekben </t>
  </si>
  <si>
    <t>WIFI4EU pályázat</t>
  </si>
  <si>
    <t>Közművelődési érdekeltségnövelő támogatás</t>
  </si>
  <si>
    <t>Kubinyi Ágoston Program</t>
  </si>
  <si>
    <t>Klauzál Gábor Budafok-Tétényi Művelődési Központ - Budafoki Barlanglakás Emlékkiállítás</t>
  </si>
  <si>
    <t>Klauzál Gábor Budafok-Tétényi Művelődési Központ -  informatikai oktatóterembe számítástechnikai eszközök beszerzése</t>
  </si>
  <si>
    <t>1. melléklet az 1/2020.(II.24.) számú</t>
  </si>
  <si>
    <t>2. melléklet az 1/2020.(II.24.) számú</t>
  </si>
  <si>
    <t>3. melléklet az 1/2020.(II.24.) számú</t>
  </si>
  <si>
    <t>4. melléklet az 1/2020.(II.24.) számú</t>
  </si>
  <si>
    <t>5. melléklet az 1/2020.(II.24.) számú</t>
  </si>
  <si>
    <t>6. melléklet az 1/2020.(II.24.) számú</t>
  </si>
  <si>
    <t>9. melléklet az 1/2020.(II.24.) számú</t>
  </si>
  <si>
    <t>10. melléklet az 1/2020.(II.24.) számú</t>
  </si>
  <si>
    <t>11. melléklet az 1/2020.(II.24.) számú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</si>
</sst>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176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sz val="16"/>
      <name val="Arial CE"/>
      <family val="2"/>
    </font>
    <font>
      <sz val="11"/>
      <name val="Times New Roman CE"/>
      <family val="0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b/>
      <sz val="11"/>
      <name val="Times New Roman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 CE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 CE"/>
      <family val="0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4"/>
      <name val="Arial"/>
      <family val="2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b/>
      <sz val="10"/>
      <color rgb="FFCC00CC"/>
      <name val="Arial"/>
      <family val="2"/>
    </font>
    <font>
      <b/>
      <i/>
      <sz val="10"/>
      <color rgb="FFCC00CC"/>
      <name val="Arial"/>
      <family val="2"/>
    </font>
    <font>
      <b/>
      <sz val="11"/>
      <color rgb="FFCC00CC"/>
      <name val="Arial"/>
      <family val="2"/>
    </font>
    <font>
      <b/>
      <sz val="9"/>
      <color rgb="FFCC00CC"/>
      <name val="Arial"/>
      <family val="2"/>
    </font>
    <font>
      <b/>
      <i/>
      <sz val="9"/>
      <color rgb="FFCC00CC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 CE"/>
      <family val="0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CC00CC"/>
      <name val="Arial"/>
      <family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b/>
      <sz val="10"/>
      <color rgb="FFD60093"/>
      <name val="Arial"/>
      <family val="2"/>
    </font>
    <font>
      <sz val="10"/>
      <color rgb="FFFF0000"/>
      <name val="Arial"/>
      <family val="2"/>
    </font>
    <font>
      <sz val="10"/>
      <color rgb="FFCC00CC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i/>
      <sz val="9"/>
      <color rgb="FF0000FF"/>
      <name val="Arial"/>
      <family val="2"/>
    </font>
    <font>
      <b/>
      <sz val="11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indexed="15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 style="medium"/>
      <right style="thin"/>
      <top style="thin"/>
      <bottom style="medium"/>
    </border>
    <border>
      <left style="medium"/>
      <right/>
      <top style="medium"/>
      <bottom style="thick"/>
    </border>
    <border>
      <left/>
      <right/>
      <top>
        <color indexed="63"/>
      </top>
      <bottom style="thick"/>
    </border>
    <border>
      <left/>
      <right/>
      <top style="thick"/>
      <bottom style="double"/>
    </border>
    <border>
      <left/>
      <right/>
      <top style="double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2" borderId="0" applyNumberFormat="0" applyBorder="0" applyAlignment="0" applyProtection="0"/>
    <xf numFmtId="0" fontId="37" fillId="3" borderId="0" applyNumberFormat="0" applyBorder="0" applyAlignment="0" applyProtection="0"/>
    <xf numFmtId="0" fontId="125" fillId="4" borderId="0" applyNumberFormat="0" applyBorder="0" applyAlignment="0" applyProtection="0"/>
    <xf numFmtId="0" fontId="37" fillId="5" borderId="0" applyNumberFormat="0" applyBorder="0" applyAlignment="0" applyProtection="0"/>
    <xf numFmtId="0" fontId="125" fillId="6" borderId="0" applyNumberFormat="0" applyBorder="0" applyAlignment="0" applyProtection="0"/>
    <xf numFmtId="0" fontId="37" fillId="7" borderId="0" applyNumberFormat="0" applyBorder="0" applyAlignment="0" applyProtection="0"/>
    <xf numFmtId="0" fontId="125" fillId="8" borderId="0" applyNumberFormat="0" applyBorder="0" applyAlignment="0" applyProtection="0"/>
    <xf numFmtId="0" fontId="37" fillId="9" borderId="0" applyNumberFormat="0" applyBorder="0" applyAlignment="0" applyProtection="0"/>
    <xf numFmtId="0" fontId="125" fillId="10" borderId="0" applyNumberFormat="0" applyBorder="0" applyAlignment="0" applyProtection="0"/>
    <xf numFmtId="0" fontId="37" fillId="11" borderId="0" applyNumberFormat="0" applyBorder="0" applyAlignment="0" applyProtection="0"/>
    <xf numFmtId="0" fontId="125" fillId="12" borderId="0" applyNumberFormat="0" applyBorder="0" applyAlignment="0" applyProtection="0"/>
    <xf numFmtId="0" fontId="37" fillId="7" borderId="0" applyNumberFormat="0" applyBorder="0" applyAlignment="0" applyProtection="0"/>
    <xf numFmtId="0" fontId="125" fillId="13" borderId="0" applyNumberFormat="0" applyBorder="0" applyAlignment="0" applyProtection="0"/>
    <xf numFmtId="0" fontId="37" fillId="11" borderId="0" applyNumberFormat="0" applyBorder="0" applyAlignment="0" applyProtection="0"/>
    <xf numFmtId="0" fontId="125" fillId="14" borderId="0" applyNumberFormat="0" applyBorder="0" applyAlignment="0" applyProtection="0"/>
    <xf numFmtId="0" fontId="37" fillId="5" borderId="0" applyNumberFormat="0" applyBorder="0" applyAlignment="0" applyProtection="0"/>
    <xf numFmtId="0" fontId="125" fillId="15" borderId="0" applyNumberFormat="0" applyBorder="0" applyAlignment="0" applyProtection="0"/>
    <xf numFmtId="0" fontId="37" fillId="16" borderId="0" applyNumberFormat="0" applyBorder="0" applyAlignment="0" applyProtection="0"/>
    <xf numFmtId="0" fontId="125" fillId="17" borderId="0" applyNumberFormat="0" applyBorder="0" applyAlignment="0" applyProtection="0"/>
    <xf numFmtId="0" fontId="37" fillId="18" borderId="0" applyNumberFormat="0" applyBorder="0" applyAlignment="0" applyProtection="0"/>
    <xf numFmtId="0" fontId="125" fillId="19" borderId="0" applyNumberFormat="0" applyBorder="0" applyAlignment="0" applyProtection="0"/>
    <xf numFmtId="0" fontId="37" fillId="11" borderId="0" applyNumberFormat="0" applyBorder="0" applyAlignment="0" applyProtection="0"/>
    <xf numFmtId="0" fontId="125" fillId="20" borderId="0" applyNumberFormat="0" applyBorder="0" applyAlignment="0" applyProtection="0"/>
    <xf numFmtId="0" fontId="37" fillId="7" borderId="0" applyNumberFormat="0" applyBorder="0" applyAlignment="0" applyProtection="0"/>
    <xf numFmtId="0" fontId="126" fillId="21" borderId="0" applyNumberFormat="0" applyBorder="0" applyAlignment="0" applyProtection="0"/>
    <xf numFmtId="0" fontId="57" fillId="11" borderId="0" applyNumberFormat="0" applyBorder="0" applyAlignment="0" applyProtection="0"/>
    <xf numFmtId="0" fontId="126" fillId="22" borderId="0" applyNumberFormat="0" applyBorder="0" applyAlignment="0" applyProtection="0"/>
    <xf numFmtId="0" fontId="57" fillId="23" borderId="0" applyNumberFormat="0" applyBorder="0" applyAlignment="0" applyProtection="0"/>
    <xf numFmtId="0" fontId="126" fillId="24" borderId="0" applyNumberFormat="0" applyBorder="0" applyAlignment="0" applyProtection="0"/>
    <xf numFmtId="0" fontId="57" fillId="25" borderId="0" applyNumberFormat="0" applyBorder="0" applyAlignment="0" applyProtection="0"/>
    <xf numFmtId="0" fontId="126" fillId="26" borderId="0" applyNumberFormat="0" applyBorder="0" applyAlignment="0" applyProtection="0"/>
    <xf numFmtId="0" fontId="57" fillId="18" borderId="0" applyNumberFormat="0" applyBorder="0" applyAlignment="0" applyProtection="0"/>
    <xf numFmtId="0" fontId="126" fillId="27" borderId="0" applyNumberFormat="0" applyBorder="0" applyAlignment="0" applyProtection="0"/>
    <xf numFmtId="0" fontId="57" fillId="11" borderId="0" applyNumberFormat="0" applyBorder="0" applyAlignment="0" applyProtection="0"/>
    <xf numFmtId="0" fontId="126" fillId="28" borderId="0" applyNumberFormat="0" applyBorder="0" applyAlignment="0" applyProtection="0"/>
    <xf numFmtId="0" fontId="57" fillId="5" borderId="0" applyNumberFormat="0" applyBorder="0" applyAlignment="0" applyProtection="0"/>
    <xf numFmtId="0" fontId="127" fillId="29" borderId="1" applyNumberFormat="0" applyAlignment="0" applyProtection="0"/>
    <xf numFmtId="0" fontId="58" fillId="16" borderId="2" applyNumberFormat="0" applyAlignment="0" applyProtection="0"/>
    <xf numFmtId="0" fontId="1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59" fillId="0" borderId="4" applyNumberFormat="0" applyFill="0" applyAlignment="0" applyProtection="0"/>
    <xf numFmtId="0" fontId="130" fillId="0" borderId="5" applyNumberFormat="0" applyFill="0" applyAlignment="0" applyProtection="0"/>
    <xf numFmtId="0" fontId="60" fillId="0" borderId="6" applyNumberFormat="0" applyFill="0" applyAlignment="0" applyProtection="0"/>
    <xf numFmtId="0" fontId="131" fillId="0" borderId="7" applyNumberFormat="0" applyFill="0" applyAlignment="0" applyProtection="0"/>
    <xf numFmtId="0" fontId="61" fillId="0" borderId="8" applyNumberFormat="0" applyFill="0" applyAlignment="0" applyProtection="0"/>
    <xf numFmtId="0" fontId="1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49" fillId="0" borderId="0" applyFont="0" applyFill="0" applyBorder="0" applyAlignment="0">
      <protection locked="0"/>
    </xf>
    <xf numFmtId="0" fontId="132" fillId="30" borderId="9" applyNumberFormat="0" applyAlignment="0" applyProtection="0"/>
    <xf numFmtId="0" fontId="62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11" applyNumberFormat="0" applyFill="0" applyAlignment="0" applyProtection="0"/>
    <xf numFmtId="0" fontId="63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57" fillId="3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26" fillId="37" borderId="0" applyNumberFormat="0" applyBorder="0" applyAlignment="0" applyProtection="0"/>
    <xf numFmtId="0" fontId="126" fillId="38" borderId="0" applyNumberFormat="0" applyBorder="0" applyAlignment="0" applyProtection="0"/>
    <xf numFmtId="0" fontId="126" fillId="39" borderId="0" applyNumberFormat="0" applyBorder="0" applyAlignment="0" applyProtection="0"/>
    <xf numFmtId="0" fontId="126" fillId="40" borderId="0" applyNumberFormat="0" applyBorder="0" applyAlignment="0" applyProtection="0"/>
    <xf numFmtId="0" fontId="126" fillId="41" borderId="0" applyNumberFormat="0" applyBorder="0" applyAlignment="0" applyProtection="0"/>
    <xf numFmtId="0" fontId="126" fillId="42" borderId="0" applyNumberFormat="0" applyBorder="0" applyAlignment="0" applyProtection="0"/>
    <xf numFmtId="0" fontId="136" fillId="43" borderId="0" applyNumberFormat="0" applyBorder="0" applyAlignment="0" applyProtection="0"/>
    <xf numFmtId="0" fontId="64" fillId="11" borderId="0" applyNumberFormat="0" applyBorder="0" applyAlignment="0" applyProtection="0"/>
    <xf numFmtId="0" fontId="137" fillId="44" borderId="15" applyNumberFormat="0" applyAlignment="0" applyProtection="0"/>
    <xf numFmtId="0" fontId="65" fillId="45" borderId="16" applyNumberFormat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8" fillId="0" borderId="0" applyNumberFormat="0" applyFill="0" applyBorder="0" applyAlignment="0" applyProtection="0"/>
    <xf numFmtId="0" fontId="14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41" fillId="0" borderId="17" applyNumberFormat="0" applyFill="0" applyAlignment="0" applyProtection="0"/>
    <xf numFmtId="0" fontId="5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2" fillId="46" borderId="0" applyNumberFormat="0" applyBorder="0" applyAlignment="0" applyProtection="0"/>
    <xf numFmtId="0" fontId="67" fillId="47" borderId="0" applyNumberFormat="0" applyBorder="0" applyAlignment="0" applyProtection="0"/>
    <xf numFmtId="0" fontId="143" fillId="48" borderId="0" applyNumberFormat="0" applyBorder="0" applyAlignment="0" applyProtection="0"/>
    <xf numFmtId="0" fontId="68" fillId="16" borderId="0" applyNumberFormat="0" applyBorder="0" applyAlignment="0" applyProtection="0"/>
    <xf numFmtId="0" fontId="144" fillId="44" borderId="1" applyNumberFormat="0" applyAlignment="0" applyProtection="0"/>
    <xf numFmtId="0" fontId="69" fillId="45" borderId="2" applyNumberFormat="0" applyAlignment="0" applyProtection="0"/>
    <xf numFmtId="9" fontId="0" fillId="0" borderId="0" applyFont="0" applyFill="0" applyBorder="0" applyAlignment="0" applyProtection="0"/>
  </cellStyleXfs>
  <cellXfs count="20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2" fillId="45" borderId="34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2" fillId="51" borderId="35" xfId="0" applyNumberFormat="1" applyFont="1" applyFill="1" applyBorder="1" applyAlignment="1">
      <alignment horizontal="right" vertical="center"/>
    </xf>
    <xf numFmtId="3" fontId="12" fillId="45" borderId="34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24" fillId="45" borderId="36" xfId="0" applyFont="1" applyFill="1" applyBorder="1" applyAlignment="1">
      <alignment/>
    </xf>
    <xf numFmtId="0" fontId="24" fillId="45" borderId="37" xfId="0" applyFont="1" applyFill="1" applyBorder="1" applyAlignment="1">
      <alignment/>
    </xf>
    <xf numFmtId="0" fontId="18" fillId="51" borderId="36" xfId="0" applyFont="1" applyFill="1" applyBorder="1" applyAlignment="1">
      <alignment horizontal="center" vertical="center"/>
    </xf>
    <xf numFmtId="0" fontId="18" fillId="51" borderId="37" xfId="0" applyFont="1" applyFill="1" applyBorder="1" applyAlignment="1">
      <alignment horizontal="center" vertical="center"/>
    </xf>
    <xf numFmtId="0" fontId="15" fillId="50" borderId="38" xfId="0" applyFont="1" applyFill="1" applyBorder="1" applyAlignment="1">
      <alignment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Continuous" vertical="center"/>
    </xf>
    <xf numFmtId="0" fontId="22" fillId="45" borderId="3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0" fillId="45" borderId="37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0" fillId="45" borderId="36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6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2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5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8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5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7">
      <alignment/>
      <protection/>
    </xf>
    <xf numFmtId="0" fontId="18" fillId="0" borderId="0" xfId="107" applyFont="1">
      <alignment/>
      <protection/>
    </xf>
    <xf numFmtId="0" fontId="8" fillId="0" borderId="0" xfId="107" applyFont="1">
      <alignment/>
      <protection/>
    </xf>
    <xf numFmtId="0" fontId="4" fillId="0" borderId="0" xfId="107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45" borderId="34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1" fillId="0" borderId="0" xfId="110">
      <alignment/>
      <protection/>
    </xf>
    <xf numFmtId="0" fontId="31" fillId="0" borderId="0" xfId="110" applyAlignment="1">
      <alignment vertical="center"/>
      <protection/>
    </xf>
    <xf numFmtId="0" fontId="0" fillId="0" borderId="0" xfId="107" applyAlignment="1">
      <alignment vertical="center"/>
      <protection/>
    </xf>
    <xf numFmtId="0" fontId="2" fillId="0" borderId="0" xfId="107" applyFont="1" applyFill="1" applyAlignment="1">
      <alignment horizontal="center"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ont="1" applyFill="1" applyAlignment="1">
      <alignment vertical="center"/>
      <protection/>
    </xf>
    <xf numFmtId="3" fontId="4" fillId="0" borderId="0" xfId="107" applyNumberFormat="1" applyFont="1" applyAlignment="1">
      <alignment horizontal="right" vertical="center"/>
      <protection/>
    </xf>
    <xf numFmtId="3" fontId="15" fillId="0" borderId="0" xfId="103" applyNumberFormat="1" applyFont="1" applyAlignment="1">
      <alignment horizontal="right" vertical="center"/>
      <protection/>
    </xf>
    <xf numFmtId="0" fontId="12" fillId="0" borderId="0" xfId="107" applyFont="1" applyFill="1" applyBorder="1" applyAlignment="1">
      <alignment horizontal="center" vertical="center"/>
      <protection/>
    </xf>
    <xf numFmtId="0" fontId="18" fillId="0" borderId="0" xfId="107" applyFont="1" applyFill="1" applyBorder="1" applyAlignment="1">
      <alignment vertical="center"/>
      <protection/>
    </xf>
    <xf numFmtId="0" fontId="18" fillId="0" borderId="0" xfId="109" applyFont="1" applyBorder="1" applyAlignment="1">
      <alignment horizontal="right" vertical="center"/>
      <protection/>
    </xf>
    <xf numFmtId="3" fontId="12" fillId="0" borderId="0" xfId="107" applyNumberFormat="1" applyFont="1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31" fillId="0" borderId="0" xfId="110" applyAlignment="1">
      <alignment horizontal="center" vertical="center"/>
      <protection/>
    </xf>
    <xf numFmtId="0" fontId="15" fillId="0" borderId="0" xfId="102" applyFont="1" applyAlignment="1">
      <alignment horizontal="right" vertical="center"/>
      <protection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4" xfId="0" applyNumberFormat="1" applyFont="1" applyFill="1" applyBorder="1" applyAlignment="1">
      <alignment horizontal="right" vertical="center"/>
    </xf>
    <xf numFmtId="3" fontId="8" fillId="0" borderId="62" xfId="0" applyNumberFormat="1" applyFont="1" applyBorder="1" applyAlignment="1">
      <alignment vertical="center"/>
    </xf>
    <xf numFmtId="4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31" fillId="0" borderId="0" xfId="110" applyFont="1">
      <alignment/>
      <protection/>
    </xf>
    <xf numFmtId="0" fontId="31" fillId="0" borderId="0" xfId="110" applyFont="1">
      <alignment/>
      <protection/>
    </xf>
    <xf numFmtId="0" fontId="31" fillId="0" borderId="35" xfId="110" applyFont="1" applyBorder="1" applyAlignment="1">
      <alignment horizontal="center" vertical="center"/>
      <protection/>
    </xf>
    <xf numFmtId="3" fontId="31" fillId="57" borderId="35" xfId="110" applyNumberFormat="1" applyFont="1" applyFill="1" applyBorder="1" applyAlignment="1">
      <alignment vertical="center"/>
      <protection/>
    </xf>
    <xf numFmtId="3" fontId="31" fillId="0" borderId="30" xfId="0" applyNumberFormat="1" applyFont="1" applyFill="1" applyBorder="1" applyAlignment="1">
      <alignment vertical="center"/>
    </xf>
    <xf numFmtId="0" fontId="38" fillId="53" borderId="24" xfId="110" applyFont="1" applyFill="1" applyBorder="1" applyAlignment="1">
      <alignment horizontal="center" vertical="center"/>
      <protection/>
    </xf>
    <xf numFmtId="0" fontId="38" fillId="53" borderId="25" xfId="110" applyFont="1" applyFill="1" applyBorder="1" applyAlignment="1">
      <alignment vertical="center"/>
      <protection/>
    </xf>
    <xf numFmtId="3" fontId="38" fillId="53" borderId="24" xfId="110" applyNumberFormat="1" applyFont="1" applyFill="1" applyBorder="1" applyAlignment="1">
      <alignment vertical="center"/>
      <protection/>
    </xf>
    <xf numFmtId="3" fontId="38" fillId="54" borderId="24" xfId="110" applyNumberFormat="1" applyFont="1" applyFill="1" applyBorder="1" applyAlignment="1">
      <alignment vertical="center"/>
      <protection/>
    </xf>
    <xf numFmtId="3" fontId="31" fillId="0" borderId="34" xfId="0" applyNumberFormat="1" applyFont="1" applyFill="1" applyBorder="1" applyAlignment="1">
      <alignment horizontal="right" vertical="center"/>
    </xf>
    <xf numFmtId="3" fontId="31" fillId="0" borderId="27" xfId="0" applyNumberFormat="1" applyFont="1" applyFill="1" applyBorder="1" applyAlignment="1">
      <alignment vertical="center"/>
    </xf>
    <xf numFmtId="3" fontId="38" fillId="0" borderId="55" xfId="0" applyNumberFormat="1" applyFont="1" applyFill="1" applyBorder="1" applyAlignment="1">
      <alignment horizontal="right" vertical="center"/>
    </xf>
    <xf numFmtId="3" fontId="38" fillId="54" borderId="24" xfId="0" applyNumberFormat="1" applyFont="1" applyFill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8" fillId="0" borderId="35" xfId="0" applyNumberFormat="1" applyFont="1" applyFill="1" applyBorder="1" applyAlignment="1">
      <alignment horizontal="right" vertical="center"/>
    </xf>
    <xf numFmtId="3" fontId="38" fillId="0" borderId="34" xfId="0" applyNumberFormat="1" applyFont="1" applyFill="1" applyBorder="1" applyAlignment="1">
      <alignment horizontal="right" vertical="center"/>
    </xf>
    <xf numFmtId="3" fontId="38" fillId="0" borderId="66" xfId="0" applyNumberFormat="1" applyFont="1" applyFill="1" applyBorder="1" applyAlignment="1">
      <alignment horizontal="right" vertical="center"/>
    </xf>
    <xf numFmtId="3" fontId="38" fillId="0" borderId="67" xfId="0" applyNumberFormat="1" applyFont="1" applyFill="1" applyBorder="1" applyAlignment="1">
      <alignment horizontal="right" vertical="center"/>
    </xf>
    <xf numFmtId="3" fontId="38" fillId="58" borderId="24" xfId="0" applyNumberFormat="1" applyFont="1" applyFill="1" applyBorder="1" applyAlignment="1">
      <alignment horizontal="right" vertical="center"/>
    </xf>
    <xf numFmtId="3" fontId="38" fillId="58" borderId="68" xfId="0" applyNumberFormat="1" applyFont="1" applyFill="1" applyBorder="1" applyAlignment="1">
      <alignment horizontal="right" vertical="center"/>
    </xf>
    <xf numFmtId="3" fontId="38" fillId="58" borderId="69" xfId="0" applyNumberFormat="1" applyFont="1" applyFill="1" applyBorder="1" applyAlignment="1">
      <alignment horizontal="right" vertical="center"/>
    </xf>
    <xf numFmtId="3" fontId="38" fillId="58" borderId="70" xfId="0" applyNumberFormat="1" applyFont="1" applyFill="1" applyBorder="1" applyAlignment="1">
      <alignment horizontal="right" vertical="center"/>
    </xf>
    <xf numFmtId="3" fontId="38" fillId="54" borderId="71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2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3" fontId="15" fillId="0" borderId="0" xfId="102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38" fillId="53" borderId="38" xfId="0" applyFont="1" applyFill="1" applyBorder="1" applyAlignment="1">
      <alignment horizontal="center" vertical="center"/>
    </xf>
    <xf numFmtId="0" fontId="38" fillId="54" borderId="38" xfId="0" applyFont="1" applyFill="1" applyBorder="1" applyAlignment="1">
      <alignment horizontal="center" vertical="center"/>
    </xf>
    <xf numFmtId="3" fontId="8" fillId="0" borderId="75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4" xfId="0" applyFont="1" applyFill="1" applyBorder="1" applyAlignment="1">
      <alignment horizontal="centerContinuous" vertical="center" wrapText="1"/>
    </xf>
    <xf numFmtId="0" fontId="12" fillId="0" borderId="74" xfId="0" applyFont="1" applyFill="1" applyBorder="1" applyAlignment="1">
      <alignment horizontal="centerContinuous" vertical="center" wrapText="1"/>
    </xf>
    <xf numFmtId="0" fontId="12" fillId="9" borderId="77" xfId="0" applyFont="1" applyFill="1" applyBorder="1" applyAlignment="1">
      <alignment horizontal="center" vertical="center"/>
    </xf>
    <xf numFmtId="3" fontId="12" fillId="9" borderId="69" xfId="0" applyNumberFormat="1" applyFont="1" applyFill="1" applyBorder="1" applyAlignment="1">
      <alignment horizontal="right" vertical="center"/>
    </xf>
    <xf numFmtId="3" fontId="31" fillId="0" borderId="35" xfId="105" applyNumberFormat="1" applyFont="1" applyBorder="1" applyAlignment="1">
      <alignment vertical="center"/>
    </xf>
    <xf numFmtId="0" fontId="12" fillId="53" borderId="38" xfId="0" applyFont="1" applyFill="1" applyBorder="1" applyAlignment="1">
      <alignment horizontal="center" vertical="center"/>
    </xf>
    <xf numFmtId="3" fontId="12" fillId="53" borderId="24" xfId="105" applyNumberFormat="1" applyFont="1" applyFill="1" applyBorder="1" applyAlignment="1">
      <alignment vertical="center"/>
    </xf>
    <xf numFmtId="0" fontId="2" fillId="9" borderId="78" xfId="0" applyFont="1" applyFill="1" applyBorder="1" applyAlignment="1">
      <alignment horizontal="center" vertical="center"/>
    </xf>
    <xf numFmtId="3" fontId="12" fillId="9" borderId="79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38" fillId="45" borderId="55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31" fillId="45" borderId="34" xfId="0" applyNumberFormat="1" applyFont="1" applyFill="1" applyBorder="1" applyAlignment="1">
      <alignment horizontal="right" vertical="center"/>
    </xf>
    <xf numFmtId="0" fontId="38" fillId="0" borderId="50" xfId="0" applyFont="1" applyFill="1" applyBorder="1" applyAlignment="1">
      <alignment horizontal="center" vertical="center"/>
    </xf>
    <xf numFmtId="3" fontId="31" fillId="45" borderId="35" xfId="0" applyNumberFormat="1" applyFont="1" applyFill="1" applyBorder="1" applyAlignment="1">
      <alignment horizontal="right" vertical="center"/>
    </xf>
    <xf numFmtId="3" fontId="31" fillId="0" borderId="34" xfId="105" applyNumberFormat="1" applyFont="1" applyBorder="1" applyAlignment="1">
      <alignment vertical="center"/>
    </xf>
    <xf numFmtId="3" fontId="38" fillId="53" borderId="24" xfId="105" applyNumberFormat="1" applyFont="1" applyFill="1" applyBorder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58" borderId="7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50" borderId="4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40" xfId="0" applyFont="1" applyFill="1" applyBorder="1" applyAlignment="1">
      <alignment vertical="center"/>
    </xf>
    <xf numFmtId="0" fontId="38" fillId="53" borderId="24" xfId="0" applyFont="1" applyFill="1" applyBorder="1" applyAlignment="1">
      <alignment horizontal="center" vertical="center"/>
    </xf>
    <xf numFmtId="0" fontId="31" fillId="0" borderId="34" xfId="110" applyFont="1" applyBorder="1" applyAlignment="1">
      <alignment horizontal="center" vertical="center"/>
      <protection/>
    </xf>
    <xf numFmtId="3" fontId="38" fillId="53" borderId="39" xfId="110" applyNumberFormat="1" applyFont="1" applyFill="1" applyBorder="1" applyAlignment="1">
      <alignment vertical="center"/>
      <protection/>
    </xf>
    <xf numFmtId="3" fontId="38" fillId="54" borderId="39" xfId="110" applyNumberFormat="1" applyFont="1" applyFill="1" applyBorder="1" applyAlignment="1">
      <alignment vertical="center"/>
      <protection/>
    </xf>
    <xf numFmtId="3" fontId="38" fillId="53" borderId="80" xfId="110" applyNumberFormat="1" applyFont="1" applyFill="1" applyBorder="1" applyAlignment="1">
      <alignment vertical="center"/>
      <protection/>
    </xf>
    <xf numFmtId="3" fontId="38" fillId="54" borderId="80" xfId="110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7" applyFont="1" applyFill="1" applyAlignment="1">
      <alignment horizontal="center"/>
      <protection/>
    </xf>
    <xf numFmtId="0" fontId="0" fillId="0" borderId="0" xfId="107" applyFill="1">
      <alignment/>
      <protection/>
    </xf>
    <xf numFmtId="3" fontId="2" fillId="0" borderId="0" xfId="107" applyNumberFormat="1" applyFont="1" applyFill="1">
      <alignment/>
      <protection/>
    </xf>
    <xf numFmtId="3" fontId="2" fillId="0" borderId="0" xfId="107" applyNumberFormat="1" applyFont="1">
      <alignment/>
      <protection/>
    </xf>
    <xf numFmtId="0" fontId="2" fillId="0" borderId="0" xfId="107" applyFont="1" applyFill="1">
      <alignment/>
      <protection/>
    </xf>
    <xf numFmtId="3" fontId="13" fillId="0" borderId="80" xfId="0" applyNumberFormat="1" applyFont="1" applyBorder="1" applyAlignment="1">
      <alignment vertical="center"/>
    </xf>
    <xf numFmtId="4" fontId="8" fillId="0" borderId="8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13" fillId="0" borderId="84" xfId="0" applyNumberFormat="1" applyFont="1" applyFill="1" applyBorder="1" applyAlignment="1">
      <alignment vertical="center"/>
    </xf>
    <xf numFmtId="0" fontId="38" fillId="54" borderId="24" xfId="0" applyFont="1" applyFill="1" applyBorder="1" applyAlignment="1">
      <alignment horizontal="center" vertical="center"/>
    </xf>
    <xf numFmtId="0" fontId="31" fillId="0" borderId="31" xfId="110" applyFont="1" applyBorder="1" applyAlignment="1">
      <alignment horizontal="left" vertical="center" wrapText="1"/>
      <protection/>
    </xf>
    <xf numFmtId="3" fontId="31" fillId="0" borderId="31" xfId="110" applyNumberFormat="1" applyFont="1" applyBorder="1" applyAlignment="1">
      <alignment vertical="center"/>
      <protection/>
    </xf>
    <xf numFmtId="3" fontId="31" fillId="0" borderId="73" xfId="110" applyNumberFormat="1" applyFont="1" applyBorder="1" applyAlignment="1">
      <alignment vertical="center"/>
      <protection/>
    </xf>
    <xf numFmtId="3" fontId="31" fillId="0" borderId="85" xfId="110" applyNumberFormat="1" applyFont="1" applyBorder="1" applyAlignment="1">
      <alignment vertical="center"/>
      <protection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2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38" fillId="0" borderId="49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3" fontId="13" fillId="0" borderId="88" xfId="0" applyNumberFormat="1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0" fontId="13" fillId="16" borderId="94" xfId="0" applyFont="1" applyFill="1" applyBorder="1" applyAlignment="1">
      <alignment horizontal="center" vertical="center"/>
    </xf>
    <xf numFmtId="3" fontId="13" fillId="16" borderId="95" xfId="0" applyNumberFormat="1" applyFont="1" applyFill="1" applyBorder="1" applyAlignment="1">
      <alignment vertical="center"/>
    </xf>
    <xf numFmtId="0" fontId="13" fillId="16" borderId="96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8" borderId="23" xfId="0" applyFont="1" applyFill="1" applyBorder="1" applyAlignment="1">
      <alignment horizontal="center" vertical="center"/>
    </xf>
    <xf numFmtId="0" fontId="13" fillId="58" borderId="97" xfId="0" applyFont="1" applyFill="1" applyBorder="1" applyAlignment="1">
      <alignment vertical="center"/>
    </xf>
    <xf numFmtId="0" fontId="13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49" borderId="93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3" fontId="13" fillId="16" borderId="81" xfId="0" applyNumberFormat="1" applyFont="1" applyFill="1" applyBorder="1" applyAlignment="1">
      <alignment vertical="center"/>
    </xf>
    <xf numFmtId="3" fontId="13" fillId="16" borderId="96" xfId="0" applyNumberFormat="1" applyFont="1" applyFill="1" applyBorder="1" applyAlignment="1">
      <alignment vertical="center"/>
    </xf>
    <xf numFmtId="0" fontId="13" fillId="16" borderId="94" xfId="0" applyFont="1" applyFill="1" applyBorder="1" applyAlignment="1">
      <alignment vertical="center"/>
    </xf>
    <xf numFmtId="0" fontId="13" fillId="0" borderId="104" xfId="0" applyFont="1" applyBorder="1" applyAlignment="1">
      <alignment horizontal="center" vertical="center"/>
    </xf>
    <xf numFmtId="0" fontId="13" fillId="0" borderId="104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3" xfId="0" applyNumberFormat="1" applyFont="1" applyFill="1" applyBorder="1" applyAlignment="1">
      <alignment vertical="center"/>
    </xf>
    <xf numFmtId="3" fontId="13" fillId="16" borderId="105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3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5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06" xfId="0" applyFont="1" applyFill="1" applyBorder="1" applyAlignment="1">
      <alignment vertical="center"/>
    </xf>
    <xf numFmtId="0" fontId="16" fillId="49" borderId="107" xfId="0" applyFont="1" applyFill="1" applyBorder="1" applyAlignment="1">
      <alignment vertical="center"/>
    </xf>
    <xf numFmtId="0" fontId="16" fillId="49" borderId="10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0" fontId="13" fillId="45" borderId="10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73" xfId="0" applyNumberFormat="1" applyFont="1" applyFill="1" applyBorder="1" applyAlignment="1">
      <alignment vertical="center"/>
    </xf>
    <xf numFmtId="3" fontId="13" fillId="0" borderId="72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99" xfId="0" applyNumberFormat="1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09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3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0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88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1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111" xfId="0" applyNumberFormat="1" applyFont="1" applyBorder="1" applyAlignment="1">
      <alignment vertical="center"/>
    </xf>
    <xf numFmtId="3" fontId="13" fillId="16" borderId="81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4" fontId="13" fillId="0" borderId="81" xfId="0" applyNumberFormat="1" applyFont="1" applyBorder="1" applyAlignment="1">
      <alignment vertical="center"/>
    </xf>
    <xf numFmtId="4" fontId="13" fillId="0" borderId="95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13" fillId="0" borderId="105" xfId="0" applyNumberFormat="1" applyFont="1" applyBorder="1" applyAlignment="1">
      <alignment vertical="center"/>
    </xf>
    <xf numFmtId="4" fontId="13" fillId="0" borderId="63" xfId="0" applyNumberFormat="1" applyFont="1" applyBorder="1" applyAlignment="1">
      <alignment vertical="center"/>
    </xf>
    <xf numFmtId="4" fontId="8" fillId="0" borderId="112" xfId="0" applyNumberFormat="1" applyFont="1" applyBorder="1" applyAlignment="1">
      <alignment vertical="center"/>
    </xf>
    <xf numFmtId="4" fontId="13" fillId="0" borderId="65" xfId="0" applyNumberFormat="1" applyFont="1" applyBorder="1" applyAlignment="1">
      <alignment vertical="center"/>
    </xf>
    <xf numFmtId="0" fontId="12" fillId="51" borderId="37" xfId="0" applyFont="1" applyFill="1" applyBorder="1" applyAlignment="1">
      <alignment horizontal="center" vertical="center"/>
    </xf>
    <xf numFmtId="0" fontId="17" fillId="0" borderId="34" xfId="107" applyFont="1" applyFill="1" applyBorder="1" applyAlignment="1">
      <alignment horizontal="center" vertical="center"/>
      <protection/>
    </xf>
    <xf numFmtId="0" fontId="0" fillId="0" borderId="0" xfId="107" applyFill="1" applyAlignment="1">
      <alignment horizontal="right"/>
      <protection/>
    </xf>
    <xf numFmtId="3" fontId="2" fillId="0" borderId="0" xfId="107" applyNumberFormat="1" applyFont="1" applyFill="1" applyAlignment="1">
      <alignment horizontal="right"/>
      <protection/>
    </xf>
    <xf numFmtId="3" fontId="2" fillId="0" borderId="0" xfId="107" applyNumberFormat="1" applyFont="1" applyAlignment="1">
      <alignment horizontal="right"/>
      <protection/>
    </xf>
    <xf numFmtId="0" fontId="2" fillId="0" borderId="0" xfId="107" applyFont="1" applyFill="1" applyAlignment="1">
      <alignment horizontal="right"/>
      <protection/>
    </xf>
    <xf numFmtId="3" fontId="0" fillId="0" borderId="0" xfId="107" applyNumberFormat="1" applyFill="1" applyAlignment="1">
      <alignment horizontal="right"/>
      <protection/>
    </xf>
    <xf numFmtId="0" fontId="17" fillId="0" borderId="35" xfId="107" applyFont="1" applyFill="1" applyBorder="1" applyAlignment="1">
      <alignment horizontal="center" vertical="center"/>
      <protection/>
    </xf>
    <xf numFmtId="0" fontId="12" fillId="54" borderId="23" xfId="107" applyFont="1" applyFill="1" applyBorder="1" applyAlignment="1">
      <alignment horizontal="center" vertical="center"/>
      <protection/>
    </xf>
    <xf numFmtId="0" fontId="14" fillId="54" borderId="23" xfId="107" applyFont="1" applyFill="1" applyBorder="1" applyAlignment="1">
      <alignment vertical="center"/>
      <protection/>
    </xf>
    <xf numFmtId="3" fontId="14" fillId="54" borderId="23" xfId="107" applyNumberFormat="1" applyFont="1" applyFill="1" applyBorder="1" applyAlignment="1">
      <alignment vertical="center"/>
      <protection/>
    </xf>
    <xf numFmtId="0" fontId="18" fillId="0" borderId="0" xfId="107" applyFont="1" applyAlignment="1">
      <alignment vertical="center"/>
      <protection/>
    </xf>
    <xf numFmtId="0" fontId="0" fillId="0" borderId="0" xfId="107" applyNumberFormat="1" applyFont="1" applyAlignment="1">
      <alignment horizontal="right" vertical="center"/>
      <protection/>
    </xf>
    <xf numFmtId="0" fontId="13" fillId="0" borderId="113" xfId="107" applyFont="1" applyFill="1" applyBorder="1" applyAlignment="1">
      <alignment horizontal="center" vertical="center"/>
      <protection/>
    </xf>
    <xf numFmtId="0" fontId="8" fillId="0" borderId="113" xfId="107" applyFont="1" applyFill="1" applyBorder="1" applyAlignment="1">
      <alignment vertical="center"/>
      <protection/>
    </xf>
    <xf numFmtId="0" fontId="23" fillId="0" borderId="113" xfId="107" applyFont="1" applyFill="1" applyBorder="1" applyAlignment="1">
      <alignment horizontal="right" vertical="center"/>
      <protection/>
    </xf>
    <xf numFmtId="3" fontId="13" fillId="0" borderId="0" xfId="107" applyNumberFormat="1" applyFont="1" applyAlignment="1">
      <alignment vertical="center"/>
      <protection/>
    </xf>
    <xf numFmtId="3" fontId="13" fillId="0" borderId="0" xfId="107" applyNumberFormat="1" applyFont="1" applyAlignment="1">
      <alignment horizontal="right" vertical="center"/>
      <protection/>
    </xf>
    <xf numFmtId="0" fontId="19" fillId="50" borderId="24" xfId="107" applyFont="1" applyFill="1" applyBorder="1" applyAlignment="1">
      <alignment horizontal="center" vertical="center"/>
      <protection/>
    </xf>
    <xf numFmtId="0" fontId="20" fillId="0" borderId="0" xfId="107" applyFont="1" applyFill="1" applyAlignment="1">
      <alignment horizontal="center" vertical="center"/>
      <protection/>
    </xf>
    <xf numFmtId="0" fontId="19" fillId="0" borderId="0" xfId="107" applyFont="1" applyFill="1" applyAlignment="1">
      <alignment horizontal="center" vertical="center"/>
      <protection/>
    </xf>
    <xf numFmtId="0" fontId="12" fillId="0" borderId="48" xfId="107" applyFont="1" applyFill="1" applyBorder="1" applyAlignment="1">
      <alignment horizontal="center" vertical="center"/>
      <protection/>
    </xf>
    <xf numFmtId="0" fontId="17" fillId="0" borderId="34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horizontal="right" vertical="center"/>
      <protection/>
    </xf>
    <xf numFmtId="3" fontId="17" fillId="0" borderId="36" xfId="107" applyNumberFormat="1" applyFont="1" applyFill="1" applyBorder="1" applyAlignment="1">
      <alignment horizontal="right" vertical="center"/>
      <protection/>
    </xf>
    <xf numFmtId="3" fontId="14" fillId="0" borderId="48" xfId="107" applyNumberFormat="1" applyFont="1" applyFill="1" applyBorder="1" applyAlignment="1">
      <alignment horizontal="right" vertical="center"/>
      <protection/>
    </xf>
    <xf numFmtId="3" fontId="14" fillId="58" borderId="35" xfId="107" applyNumberFormat="1" applyFont="1" applyFill="1" applyBorder="1" applyAlignment="1">
      <alignment vertical="center"/>
      <protection/>
    </xf>
    <xf numFmtId="0" fontId="12" fillId="0" borderId="34" xfId="107" applyFont="1" applyFill="1" applyBorder="1" applyAlignment="1">
      <alignment horizontal="center" vertical="center"/>
      <protection/>
    </xf>
    <xf numFmtId="3" fontId="14" fillId="0" borderId="34" xfId="107" applyNumberFormat="1" applyFont="1" applyFill="1" applyBorder="1" applyAlignment="1">
      <alignment horizontal="right" vertical="center"/>
      <protection/>
    </xf>
    <xf numFmtId="3" fontId="14" fillId="0" borderId="34" xfId="107" applyNumberFormat="1" applyFont="1" applyBorder="1" applyAlignment="1">
      <alignment horizontal="right" vertical="center"/>
      <protection/>
    </xf>
    <xf numFmtId="0" fontId="0" fillId="0" borderId="0" xfId="107" applyFont="1" applyAlignment="1">
      <alignment vertical="center"/>
      <protection/>
    </xf>
    <xf numFmtId="0" fontId="12" fillId="0" borderId="53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vertical="center"/>
      <protection/>
    </xf>
    <xf numFmtId="0" fontId="12" fillId="0" borderId="49" xfId="107" applyFont="1" applyFill="1" applyBorder="1" applyAlignment="1">
      <alignment vertical="center"/>
      <protection/>
    </xf>
    <xf numFmtId="0" fontId="12" fillId="53" borderId="24" xfId="107" applyFont="1" applyFill="1" applyBorder="1" applyAlignment="1">
      <alignment horizontal="center" vertical="center"/>
      <protection/>
    </xf>
    <xf numFmtId="0" fontId="12" fillId="53" borderId="24" xfId="107" applyFont="1" applyFill="1" applyBorder="1" applyAlignment="1">
      <alignment horizontal="left" vertical="center"/>
      <protection/>
    </xf>
    <xf numFmtId="3" fontId="14" fillId="53" borderId="24" xfId="107" applyNumberFormat="1" applyFont="1" applyFill="1" applyBorder="1" applyAlignment="1">
      <alignment vertical="center"/>
      <protection/>
    </xf>
    <xf numFmtId="0" fontId="2" fillId="0" borderId="0" xfId="107" applyFont="1" applyAlignment="1">
      <alignment vertical="center"/>
      <protection/>
    </xf>
    <xf numFmtId="3" fontId="14" fillId="58" borderId="35" xfId="107" applyNumberFormat="1" applyFont="1" applyFill="1" applyBorder="1" applyAlignment="1">
      <alignment horizontal="right" vertical="center"/>
      <protection/>
    </xf>
    <xf numFmtId="3" fontId="14" fillId="0" borderId="53" xfId="107" applyNumberFormat="1" applyFont="1" applyFill="1" applyBorder="1" applyAlignment="1">
      <alignment horizontal="right" vertical="center"/>
      <protection/>
    </xf>
    <xf numFmtId="3" fontId="14" fillId="58" borderId="53" xfId="107" applyNumberFormat="1" applyFont="1" applyFill="1" applyBorder="1" applyAlignment="1">
      <alignment vertical="center"/>
      <protection/>
    </xf>
    <xf numFmtId="0" fontId="42" fillId="0" borderId="0" xfId="107" applyFont="1" applyAlignment="1">
      <alignment vertical="center"/>
      <protection/>
    </xf>
    <xf numFmtId="3" fontId="17" fillId="0" borderId="55" xfId="107" applyNumberFormat="1" applyFont="1" applyFill="1" applyBorder="1" applyAlignment="1">
      <alignment horizontal="right" vertical="center"/>
      <protection/>
    </xf>
    <xf numFmtId="3" fontId="17" fillId="0" borderId="114" xfId="107" applyNumberFormat="1" applyFont="1" applyFill="1" applyBorder="1" applyAlignment="1">
      <alignment horizontal="right" vertical="center"/>
      <protection/>
    </xf>
    <xf numFmtId="0" fontId="14" fillId="53" borderId="24" xfId="107" applyFont="1" applyFill="1" applyBorder="1" applyAlignment="1">
      <alignment horizontal="center" vertical="center"/>
      <protection/>
    </xf>
    <xf numFmtId="0" fontId="14" fillId="53" borderId="24" xfId="107" applyFont="1" applyFill="1" applyBorder="1" applyAlignment="1">
      <alignment vertical="center"/>
      <protection/>
    </xf>
    <xf numFmtId="3" fontId="14" fillId="53" borderId="24" xfId="107" applyNumberFormat="1" applyFont="1" applyFill="1" applyBorder="1" applyAlignment="1">
      <alignment horizontal="right" vertical="center"/>
      <protection/>
    </xf>
    <xf numFmtId="0" fontId="17" fillId="0" borderId="0" xfId="107" applyFont="1" applyAlignment="1">
      <alignment vertical="center"/>
      <protection/>
    </xf>
    <xf numFmtId="3" fontId="17" fillId="0" borderId="115" xfId="107" applyNumberFormat="1" applyFont="1" applyFill="1" applyBorder="1" applyAlignment="1">
      <alignment horizontal="right" vertical="center"/>
      <protection/>
    </xf>
    <xf numFmtId="3" fontId="17" fillId="0" borderId="34" xfId="107" applyNumberFormat="1" applyFont="1" applyFill="1" applyBorder="1" applyAlignment="1">
      <alignment horizontal="right" vertical="center"/>
      <protection/>
    </xf>
    <xf numFmtId="3" fontId="17" fillId="0" borderId="27" xfId="107" applyNumberFormat="1" applyFont="1" applyFill="1" applyBorder="1" applyAlignment="1">
      <alignment horizontal="right" vertical="center"/>
      <protection/>
    </xf>
    <xf numFmtId="3" fontId="17" fillId="0" borderId="73" xfId="106" applyNumberFormat="1" applyFont="1" applyBorder="1" applyAlignment="1">
      <alignment horizontal="right" vertical="center"/>
    </xf>
    <xf numFmtId="3" fontId="17" fillId="0" borderId="73" xfId="106" applyNumberFormat="1" applyFont="1" applyFill="1" applyBorder="1" applyAlignment="1">
      <alignment horizontal="right" vertical="center"/>
    </xf>
    <xf numFmtId="3" fontId="17" fillId="0" borderId="53" xfId="107" applyNumberFormat="1" applyFont="1" applyFill="1" applyBorder="1" applyAlignment="1">
      <alignment horizontal="right" vertical="center"/>
      <protection/>
    </xf>
    <xf numFmtId="3" fontId="7" fillId="0" borderId="0" xfId="107" applyNumberFormat="1" applyFont="1" applyAlignment="1">
      <alignment horizontal="right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0" fontId="15" fillId="0" borderId="0" xfId="107" applyFont="1" applyFill="1" applyBorder="1" applyAlignment="1">
      <alignment horizontal="center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Fill="1" applyAlignment="1">
      <alignment vertical="center"/>
      <protection/>
    </xf>
    <xf numFmtId="0" fontId="7" fillId="0" borderId="0" xfId="107" applyFont="1" applyFill="1" applyAlignment="1">
      <alignment vertical="center"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7" applyNumberFormat="1" applyFont="1" applyAlignment="1">
      <alignment horizontal="left" vertical="center"/>
      <protection/>
    </xf>
    <xf numFmtId="3" fontId="15" fillId="0" borderId="0" xfId="107" applyNumberFormat="1" applyFont="1" applyFill="1" applyAlignment="1">
      <alignment vertical="center"/>
      <protection/>
    </xf>
    <xf numFmtId="0" fontId="19" fillId="0" borderId="0" xfId="107" applyFont="1" applyAlignment="1">
      <alignment vertical="center"/>
      <protection/>
    </xf>
    <xf numFmtId="0" fontId="20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3" fontId="15" fillId="0" borderId="0" xfId="107" applyNumberFormat="1" applyFont="1" applyAlignment="1">
      <alignment vertical="center"/>
      <protection/>
    </xf>
    <xf numFmtId="3" fontId="43" fillId="0" borderId="0" xfId="107" applyNumberFormat="1" applyFont="1" applyAlignment="1">
      <alignment vertical="center"/>
      <protection/>
    </xf>
    <xf numFmtId="0" fontId="7" fillId="0" borderId="0" xfId="107" applyFont="1">
      <alignment/>
      <protection/>
    </xf>
    <xf numFmtId="3" fontId="7" fillId="0" borderId="0" xfId="107" applyNumberFormat="1" applyFont="1">
      <alignment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3" applyNumberFormat="1" applyFont="1" applyFill="1" applyAlignment="1">
      <alignment horizontal="center" vertical="center"/>
      <protection/>
    </xf>
    <xf numFmtId="3" fontId="15" fillId="0" borderId="0" xfId="102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7" fillId="0" borderId="0" xfId="107" applyNumberFormat="1" applyFont="1" applyFill="1" applyAlignment="1">
      <alignment horizontal="center"/>
      <protection/>
    </xf>
    <xf numFmtId="0" fontId="19" fillId="50" borderId="80" xfId="107" applyFont="1" applyFill="1" applyBorder="1" applyAlignment="1">
      <alignment horizontal="center" vertical="center"/>
      <protection/>
    </xf>
    <xf numFmtId="3" fontId="17" fillId="0" borderId="30" xfId="107" applyNumberFormat="1" applyFont="1" applyFill="1" applyBorder="1" applyAlignment="1">
      <alignment horizontal="right" vertical="center"/>
      <protection/>
    </xf>
    <xf numFmtId="3" fontId="17" fillId="0" borderId="31" xfId="106" applyNumberFormat="1" applyFont="1" applyBorder="1" applyAlignment="1">
      <alignment horizontal="right" vertical="center"/>
    </xf>
    <xf numFmtId="3" fontId="17" fillId="0" borderId="31" xfId="106" applyNumberFormat="1" applyFont="1" applyFill="1" applyBorder="1" applyAlignment="1">
      <alignment horizontal="right" vertical="center"/>
    </xf>
    <xf numFmtId="3" fontId="14" fillId="54" borderId="116" xfId="107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9" borderId="4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17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18" xfId="0" applyNumberFormat="1" applyFont="1" applyFill="1" applyBorder="1" applyAlignment="1">
      <alignment horizontal="right" vertical="center"/>
    </xf>
    <xf numFmtId="0" fontId="12" fillId="0" borderId="35" xfId="107" applyFont="1" applyFill="1" applyBorder="1" applyAlignment="1">
      <alignment horizontal="center" vertical="center"/>
      <protection/>
    </xf>
    <xf numFmtId="0" fontId="17" fillId="0" borderId="35" xfId="107" applyFont="1" applyFill="1" applyBorder="1" applyAlignment="1">
      <alignment vertical="center"/>
      <protection/>
    </xf>
    <xf numFmtId="3" fontId="17" fillId="0" borderId="73" xfId="107" applyNumberFormat="1" applyFont="1" applyFill="1" applyBorder="1" applyAlignment="1">
      <alignment horizontal="right" vertical="center"/>
      <protection/>
    </xf>
    <xf numFmtId="3" fontId="17" fillId="0" borderId="31" xfId="107" applyNumberFormat="1" applyFont="1" applyFill="1" applyBorder="1" applyAlignment="1">
      <alignment horizontal="right" vertical="center"/>
      <protection/>
    </xf>
    <xf numFmtId="3" fontId="17" fillId="0" borderId="119" xfId="107" applyNumberFormat="1" applyFont="1" applyFill="1" applyBorder="1" applyAlignment="1">
      <alignment horizontal="right" vertical="center"/>
      <protection/>
    </xf>
    <xf numFmtId="3" fontId="17" fillId="0" borderId="37" xfId="107" applyNumberFormat="1" applyFont="1" applyFill="1" applyBorder="1" applyAlignment="1">
      <alignment horizontal="right" vertical="center"/>
      <protection/>
    </xf>
    <xf numFmtId="3" fontId="17" fillId="0" borderId="35" xfId="107" applyNumberFormat="1" applyFont="1" applyFill="1" applyBorder="1" applyAlignment="1">
      <alignment horizontal="right" vertical="center"/>
      <protection/>
    </xf>
    <xf numFmtId="3" fontId="14" fillId="0" borderId="35" xfId="107" applyNumberFormat="1" applyFont="1" applyBorder="1" applyAlignment="1">
      <alignment horizontal="right" vertical="center"/>
      <protection/>
    </xf>
    <xf numFmtId="3" fontId="17" fillId="0" borderId="119" xfId="107" applyNumberFormat="1" applyFont="1" applyFill="1" applyBorder="1" applyAlignment="1">
      <alignment horizontal="right" vertical="center"/>
      <protection/>
    </xf>
    <xf numFmtId="0" fontId="42" fillId="0" borderId="0" xfId="0" applyFont="1" applyAlignment="1">
      <alignment vertical="center"/>
    </xf>
    <xf numFmtId="0" fontId="14" fillId="58" borderId="24" xfId="0" applyFont="1" applyFill="1" applyBorder="1" applyAlignment="1">
      <alignment horizontal="center" vertical="center"/>
    </xf>
    <xf numFmtId="3" fontId="14" fillId="58" borderId="39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13" fillId="16" borderId="38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39" xfId="0" applyNumberFormat="1" applyFont="1" applyFill="1" applyBorder="1" applyAlignment="1">
      <alignment vertical="center"/>
    </xf>
    <xf numFmtId="3" fontId="17" fillId="53" borderId="33" xfId="106" applyNumberFormat="1" applyFont="1" applyFill="1" applyBorder="1" applyAlignment="1">
      <alignment horizontal="right" vertical="center"/>
    </xf>
    <xf numFmtId="3" fontId="17" fillId="53" borderId="120" xfId="106" applyNumberFormat="1" applyFont="1" applyFill="1" applyBorder="1" applyAlignment="1">
      <alignment horizontal="right" vertical="center"/>
    </xf>
    <xf numFmtId="3" fontId="17" fillId="53" borderId="44" xfId="107" applyNumberFormat="1" applyFont="1" applyFill="1" applyBorder="1" applyAlignment="1">
      <alignment horizontal="right" vertical="center"/>
      <protection/>
    </xf>
    <xf numFmtId="3" fontId="14" fillId="53" borderId="48" xfId="107" applyNumberFormat="1" applyFont="1" applyFill="1" applyBorder="1" applyAlignment="1">
      <alignment vertical="center"/>
      <protection/>
    </xf>
    <xf numFmtId="3" fontId="17" fillId="0" borderId="116" xfId="106" applyNumberFormat="1" applyFont="1" applyFill="1" applyBorder="1" applyAlignment="1">
      <alignment horizontal="right" vertical="center"/>
    </xf>
    <xf numFmtId="3" fontId="17" fillId="0" borderId="121" xfId="106" applyNumberFormat="1" applyFont="1" applyFill="1" applyBorder="1" applyAlignment="1">
      <alignment horizontal="right" vertical="center"/>
    </xf>
    <xf numFmtId="0" fontId="0" fillId="0" borderId="0" xfId="107" applyFont="1" applyFill="1" applyAlignment="1">
      <alignment horizontal="right"/>
      <protection/>
    </xf>
    <xf numFmtId="0" fontId="39" fillId="0" borderId="26" xfId="108" applyFont="1" applyBorder="1" applyAlignment="1" applyProtection="1">
      <alignment vertical="center"/>
      <protection hidden="1"/>
    </xf>
    <xf numFmtId="0" fontId="39" fillId="0" borderId="26" xfId="108" applyFont="1" applyBorder="1" applyAlignment="1" applyProtection="1">
      <alignment horizontal="center" vertical="center"/>
      <protection hidden="1"/>
    </xf>
    <xf numFmtId="0" fontId="45" fillId="0" borderId="26" xfId="108" applyFont="1" applyBorder="1" applyAlignment="1" applyProtection="1">
      <alignment vertical="center"/>
      <protection hidden="1"/>
    </xf>
    <xf numFmtId="0" fontId="45" fillId="0" borderId="26" xfId="108" applyFont="1" applyBorder="1" applyAlignment="1" applyProtection="1">
      <alignment horizontal="left" vertical="center"/>
      <protection hidden="1"/>
    </xf>
    <xf numFmtId="0" fontId="45" fillId="0" borderId="21" xfId="108" applyFont="1" applyBorder="1" applyAlignment="1" applyProtection="1">
      <alignment horizontal="left" vertical="center"/>
      <protection hidden="1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45" borderId="80" xfId="108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39" fillId="0" borderId="52" xfId="108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34" xfId="108" applyFont="1" applyBorder="1" applyAlignment="1" applyProtection="1">
      <alignment horizontal="left" vertical="center"/>
      <protection hidden="1"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 horizontal="right"/>
    </xf>
    <xf numFmtId="3" fontId="39" fillId="0" borderId="34" xfId="68" applyNumberFormat="1" applyFont="1" applyBorder="1" applyAlignment="1" applyProtection="1">
      <alignment horizontal="right" vertical="center"/>
      <protection hidden="1"/>
    </xf>
    <xf numFmtId="3" fontId="44" fillId="0" borderId="34" xfId="68" applyNumberFormat="1" applyFont="1" applyBorder="1" applyAlignment="1" applyProtection="1">
      <alignment horizontal="right" vertical="center"/>
      <protection hidden="1"/>
    </xf>
    <xf numFmtId="3" fontId="39" fillId="0" borderId="0" xfId="0" applyNumberFormat="1" applyFont="1" applyAlignment="1">
      <alignment vertical="center"/>
    </xf>
    <xf numFmtId="3" fontId="39" fillId="0" borderId="34" xfId="96" applyNumberFormat="1" applyFont="1" applyBorder="1" applyAlignment="1">
      <alignment horizontal="right" vertical="center"/>
      <protection/>
    </xf>
    <xf numFmtId="3" fontId="39" fillId="0" borderId="53" xfId="96" applyNumberFormat="1" applyFont="1" applyBorder="1" applyAlignment="1">
      <alignment horizontal="right" vertical="center"/>
      <protection/>
    </xf>
    <xf numFmtId="3" fontId="45" fillId="0" borderId="34" xfId="108" applyNumberFormat="1" applyFont="1" applyBorder="1" applyAlignment="1" applyProtection="1">
      <alignment horizontal="right" vertical="center"/>
      <protection hidden="1"/>
    </xf>
    <xf numFmtId="3" fontId="44" fillId="0" borderId="34" xfId="108" applyNumberFormat="1" applyFont="1" applyBorder="1" applyAlignment="1" applyProtection="1">
      <alignment horizontal="right" vertical="center"/>
      <protection hidden="1"/>
    </xf>
    <xf numFmtId="3" fontId="39" fillId="0" borderId="0" xfId="0" applyNumberFormat="1" applyFont="1" applyAlignment="1">
      <alignment horizontal="right" vertical="center"/>
    </xf>
    <xf numFmtId="0" fontId="45" fillId="0" borderId="52" xfId="108" applyFont="1" applyBorder="1" applyAlignment="1" applyProtection="1">
      <alignment vertical="center"/>
      <protection hidden="1"/>
    </xf>
    <xf numFmtId="3" fontId="44" fillId="0" borderId="35" xfId="68" applyNumberFormat="1" applyFont="1" applyBorder="1" applyAlignment="1" applyProtection="1">
      <alignment horizontal="right" vertical="center"/>
      <protection hidden="1"/>
    </xf>
    <xf numFmtId="3" fontId="39" fillId="0" borderId="36" xfId="96" applyNumberFormat="1" applyFont="1" applyBorder="1" applyAlignment="1">
      <alignment horizontal="right" vertical="center"/>
      <protection/>
    </xf>
    <xf numFmtId="3" fontId="39" fillId="0" borderId="36" xfId="108" applyNumberFormat="1" applyFont="1" applyBorder="1" applyAlignment="1" applyProtection="1">
      <alignment horizontal="right" vertical="center"/>
      <protection hidden="1"/>
    </xf>
    <xf numFmtId="3" fontId="39" fillId="0" borderId="122" xfId="96" applyNumberFormat="1" applyFont="1" applyBorder="1" applyAlignment="1">
      <alignment horizontal="right" vertical="center"/>
      <protection/>
    </xf>
    <xf numFmtId="3" fontId="39" fillId="0" borderId="122" xfId="108" applyNumberFormat="1" applyFont="1" applyBorder="1" applyAlignment="1" applyProtection="1">
      <alignment horizontal="right" vertical="center"/>
      <protection hidden="1"/>
    </xf>
    <xf numFmtId="3" fontId="44" fillId="0" borderId="36" xfId="108" applyNumberFormat="1" applyFont="1" applyBorder="1" applyAlignment="1" applyProtection="1">
      <alignment horizontal="right" vertical="center"/>
      <protection hidden="1"/>
    </xf>
    <xf numFmtId="3" fontId="47" fillId="0" borderId="39" xfId="0" applyNumberFormat="1" applyFont="1" applyBorder="1" applyAlignment="1">
      <alignment horizontal="center" vertical="center" wrapText="1"/>
    </xf>
    <xf numFmtId="3" fontId="39" fillId="0" borderId="55" xfId="96" applyNumberFormat="1" applyFont="1" applyBorder="1" applyAlignment="1">
      <alignment horizontal="right" vertical="center"/>
      <protection/>
    </xf>
    <xf numFmtId="3" fontId="39" fillId="0" borderId="55" xfId="68" applyNumberFormat="1" applyFont="1" applyBorder="1" applyAlignment="1" applyProtection="1">
      <alignment horizontal="right" vertical="center"/>
      <protection hidden="1"/>
    </xf>
    <xf numFmtId="3" fontId="39" fillId="0" borderId="34" xfId="108" applyNumberFormat="1" applyFont="1" applyBorder="1" applyAlignment="1" applyProtection="1">
      <alignment horizontal="right" vertical="center"/>
      <protection hidden="1"/>
    </xf>
    <xf numFmtId="3" fontId="39" fillId="0" borderId="53" xfId="108" applyNumberFormat="1" applyFont="1" applyBorder="1" applyAlignment="1" applyProtection="1">
      <alignment horizontal="right" vertical="center"/>
      <protection hidden="1"/>
    </xf>
    <xf numFmtId="0" fontId="44" fillId="45" borderId="39" xfId="108" applyFont="1" applyFill="1" applyBorder="1" applyAlignment="1" applyProtection="1">
      <alignment horizontal="center" vertical="center" wrapText="1"/>
      <protection hidden="1"/>
    </xf>
    <xf numFmtId="0" fontId="39" fillId="0" borderId="55" xfId="96" applyFont="1" applyBorder="1" applyAlignment="1">
      <alignment vertical="center"/>
      <protection/>
    </xf>
    <xf numFmtId="0" fontId="39" fillId="0" borderId="55" xfId="108" applyFont="1" applyBorder="1" applyAlignment="1" applyProtection="1">
      <alignment horizontal="left" vertical="center"/>
      <protection hidden="1"/>
    </xf>
    <xf numFmtId="0" fontId="45" fillId="0" borderId="55" xfId="108" applyFont="1" applyBorder="1" applyAlignment="1" applyProtection="1">
      <alignment horizontal="left" vertical="center"/>
      <protection hidden="1"/>
    </xf>
    <xf numFmtId="0" fontId="39" fillId="0" borderId="27" xfId="108" applyFont="1" applyBorder="1" applyAlignment="1" applyProtection="1">
      <alignment horizontal="center" vertical="center"/>
      <protection hidden="1"/>
    </xf>
    <xf numFmtId="0" fontId="39" fillId="0" borderId="75" xfId="108" applyFont="1" applyBorder="1" applyAlignment="1" applyProtection="1">
      <alignment horizontal="center" vertical="center"/>
      <protection hidden="1"/>
    </xf>
    <xf numFmtId="0" fontId="45" fillId="0" borderId="110" xfId="108" applyFont="1" applyBorder="1" applyAlignment="1" applyProtection="1">
      <alignment horizontal="left" vertical="center"/>
      <protection hidden="1"/>
    </xf>
    <xf numFmtId="0" fontId="39" fillId="0" borderId="21" xfId="108" applyFont="1" applyBorder="1" applyAlignment="1" applyProtection="1">
      <alignment vertical="center"/>
      <protection hidden="1"/>
    </xf>
    <xf numFmtId="0" fontId="44" fillId="0" borderId="62" xfId="108" applyFont="1" applyBorder="1" applyAlignment="1" applyProtection="1">
      <alignment horizontal="left" vertical="center"/>
      <protection hidden="1"/>
    </xf>
    <xf numFmtId="0" fontId="45" fillId="0" borderId="30" xfId="108" applyFont="1" applyBorder="1" applyAlignment="1" applyProtection="1">
      <alignment horizontal="center" vertical="center"/>
      <protection hidden="1"/>
    </xf>
    <xf numFmtId="0" fontId="45" fillId="0" borderId="51" xfId="108" applyFont="1" applyBorder="1" applyAlignment="1" applyProtection="1">
      <alignment vertical="center"/>
      <protection hidden="1"/>
    </xf>
    <xf numFmtId="0" fontId="44" fillId="0" borderId="67" xfId="108" applyFont="1" applyBorder="1" applyAlignment="1" applyProtection="1">
      <alignment horizontal="left" vertical="center"/>
      <protection hidden="1"/>
    </xf>
    <xf numFmtId="0" fontId="44" fillId="0" borderId="55" xfId="108" applyFont="1" applyBorder="1" applyAlignment="1" applyProtection="1">
      <alignment horizontal="left" vertical="center"/>
      <protection hidden="1"/>
    </xf>
    <xf numFmtId="0" fontId="39" fillId="0" borderId="90" xfId="108" applyFont="1" applyBorder="1" applyAlignment="1" applyProtection="1">
      <alignment vertical="center"/>
      <protection hidden="1"/>
    </xf>
    <xf numFmtId="0" fontId="45" fillId="0" borderId="90" xfId="108" applyFont="1" applyBorder="1" applyAlignment="1" applyProtection="1">
      <alignment vertical="center"/>
      <protection hidden="1"/>
    </xf>
    <xf numFmtId="0" fontId="45" fillId="0" borderId="19" xfId="108" applyFont="1" applyBorder="1" applyAlignment="1" applyProtection="1">
      <alignment horizontal="left" vertical="center"/>
      <protection hidden="1"/>
    </xf>
    <xf numFmtId="0" fontId="45" fillId="0" borderId="20" xfId="108" applyFont="1" applyBorder="1" applyAlignment="1" applyProtection="1">
      <alignment horizontal="left" vertical="center"/>
      <protection hidden="1"/>
    </xf>
    <xf numFmtId="0" fontId="45" fillId="0" borderId="51" xfId="108" applyFont="1" applyBorder="1" applyAlignment="1" applyProtection="1">
      <alignment horizontal="center" vertical="center"/>
      <protection hidden="1"/>
    </xf>
    <xf numFmtId="3" fontId="44" fillId="0" borderId="44" xfId="68" applyNumberFormat="1" applyFont="1" applyBorder="1" applyAlignment="1" applyProtection="1">
      <alignment horizontal="right" vertical="center"/>
      <protection hidden="1"/>
    </xf>
    <xf numFmtId="3" fontId="44" fillId="0" borderId="48" xfId="68" applyNumberFormat="1" applyFont="1" applyBorder="1" applyAlignment="1" applyProtection="1">
      <alignment horizontal="right" vertical="center"/>
      <protection hidden="1"/>
    </xf>
    <xf numFmtId="0" fontId="44" fillId="0" borderId="107" xfId="108" applyFont="1" applyBorder="1" applyAlignment="1" applyProtection="1">
      <alignment horizontal="center" vertical="center"/>
      <protection hidden="1"/>
    </xf>
    <xf numFmtId="0" fontId="44" fillId="0" borderId="73" xfId="108" applyFont="1" applyBorder="1" applyAlignment="1" applyProtection="1">
      <alignment horizontal="center" vertical="center"/>
      <protection hidden="1"/>
    </xf>
    <xf numFmtId="3" fontId="44" fillId="0" borderId="37" xfId="68" applyNumberFormat="1" applyFont="1" applyBorder="1" applyAlignment="1" applyProtection="1">
      <alignment horizontal="right" vertical="center"/>
      <protection hidden="1"/>
    </xf>
    <xf numFmtId="0" fontId="44" fillId="0" borderId="80" xfId="108" applyFont="1" applyBorder="1" applyAlignment="1" applyProtection="1">
      <alignment horizontal="center" vertical="center"/>
      <protection hidden="1"/>
    </xf>
    <xf numFmtId="0" fontId="44" fillId="0" borderId="39" xfId="108" applyFont="1" applyBorder="1" applyAlignment="1" applyProtection="1">
      <alignment horizontal="left" vertical="center"/>
      <protection hidden="1"/>
    </xf>
    <xf numFmtId="3" fontId="44" fillId="0" borderId="38" xfId="68" applyNumberFormat="1" applyFont="1" applyBorder="1" applyAlignment="1" applyProtection="1">
      <alignment horizontal="right" vertical="center"/>
      <protection hidden="1"/>
    </xf>
    <xf numFmtId="3" fontId="44" fillId="0" borderId="24" xfId="68" applyNumberFormat="1" applyFont="1" applyBorder="1" applyAlignment="1" applyProtection="1">
      <alignment horizontal="right" vertical="center"/>
      <protection hidden="1"/>
    </xf>
    <xf numFmtId="3" fontId="44" fillId="0" borderId="39" xfId="68" applyNumberFormat="1" applyFont="1" applyBorder="1" applyAlignment="1" applyProtection="1">
      <alignment horizontal="right" vertical="center"/>
      <protection hidden="1"/>
    </xf>
    <xf numFmtId="0" fontId="39" fillId="0" borderId="67" xfId="96" applyFont="1" applyBorder="1" applyAlignment="1">
      <alignment vertical="center"/>
      <protection/>
    </xf>
    <xf numFmtId="3" fontId="39" fillId="0" borderId="35" xfId="96" applyNumberFormat="1" applyFont="1" applyBorder="1" applyAlignment="1">
      <alignment horizontal="right" vertical="center"/>
      <protection/>
    </xf>
    <xf numFmtId="3" fontId="39" fillId="0" borderId="67" xfId="96" applyNumberFormat="1" applyFont="1" applyBorder="1" applyAlignment="1">
      <alignment horizontal="right" vertical="center"/>
      <protection/>
    </xf>
    <xf numFmtId="3" fontId="44" fillId="0" borderId="39" xfId="96" applyNumberFormat="1" applyFont="1" applyBorder="1" applyAlignment="1">
      <alignment horizontal="right" vertical="center"/>
      <protection/>
    </xf>
    <xf numFmtId="0" fontId="39" fillId="0" borderId="66" xfId="96" applyFont="1" applyBorder="1" applyAlignment="1">
      <alignment vertical="center"/>
      <protection/>
    </xf>
    <xf numFmtId="3" fontId="44" fillId="0" borderId="38" xfId="108" applyNumberFormat="1" applyFont="1" applyBorder="1" applyAlignment="1" applyProtection="1">
      <alignment horizontal="right" vertical="center"/>
      <protection hidden="1"/>
    </xf>
    <xf numFmtId="3" fontId="44" fillId="0" borderId="24" xfId="108" applyNumberFormat="1" applyFont="1" applyBorder="1" applyAlignment="1" applyProtection="1">
      <alignment horizontal="right" vertical="center"/>
      <protection hidden="1"/>
    </xf>
    <xf numFmtId="0" fontId="44" fillId="0" borderId="90" xfId="108" applyFont="1" applyBorder="1" applyAlignment="1" applyProtection="1">
      <alignment horizontal="center" vertical="center"/>
      <protection hidden="1"/>
    </xf>
    <xf numFmtId="0" fontId="44" fillId="0" borderId="33" xfId="108" applyFont="1" applyBorder="1" applyAlignment="1" applyProtection="1">
      <alignment horizontal="center" vertical="center"/>
      <protection hidden="1"/>
    </xf>
    <xf numFmtId="3" fontId="44" fillId="0" borderId="48" xfId="96" applyNumberFormat="1" applyFont="1" applyBorder="1" applyAlignment="1">
      <alignment horizontal="right" vertical="center"/>
      <protection/>
    </xf>
    <xf numFmtId="3" fontId="44" fillId="0" borderId="62" xfId="96" applyNumberFormat="1" applyFont="1" applyBorder="1" applyAlignment="1">
      <alignment horizontal="right" vertical="center"/>
      <protection/>
    </xf>
    <xf numFmtId="0" fontId="45" fillId="0" borderId="31" xfId="108" applyFont="1" applyBorder="1" applyAlignment="1" applyProtection="1">
      <alignment horizontal="center" vertical="center"/>
      <protection hidden="1"/>
    </xf>
    <xf numFmtId="0" fontId="44" fillId="0" borderId="116" xfId="108" applyFont="1" applyBorder="1" applyAlignment="1" applyProtection="1">
      <alignment horizontal="center" vertical="center"/>
      <protection hidden="1"/>
    </xf>
    <xf numFmtId="0" fontId="39" fillId="0" borderId="90" xfId="108" applyFont="1" applyBorder="1" applyAlignment="1" applyProtection="1">
      <alignment horizontal="left" vertical="center"/>
      <protection hidden="1"/>
    </xf>
    <xf numFmtId="0" fontId="39" fillId="0" borderId="116" xfId="108" applyFont="1" applyBorder="1" applyAlignment="1" applyProtection="1">
      <alignment horizontal="left" vertical="center"/>
      <protection hidden="1"/>
    </xf>
    <xf numFmtId="0" fontId="45" fillId="0" borderId="83" xfId="108" applyFont="1" applyBorder="1" applyAlignment="1" applyProtection="1">
      <alignment horizontal="left" vertical="center"/>
      <protection hidden="1"/>
    </xf>
    <xf numFmtId="3" fontId="44" fillId="0" borderId="41" xfId="96" applyNumberFormat="1" applyFont="1" applyBorder="1" applyAlignment="1">
      <alignment horizontal="right" vertical="center"/>
      <protection/>
    </xf>
    <xf numFmtId="3" fontId="44" fillId="0" borderId="40" xfId="96" applyNumberFormat="1" applyFont="1" applyBorder="1" applyAlignment="1">
      <alignment horizontal="right" vertical="center"/>
      <protection/>
    </xf>
    <xf numFmtId="0" fontId="44" fillId="0" borderId="67" xfId="108" applyFont="1" applyBorder="1" applyAlignment="1" applyProtection="1">
      <alignment vertical="center"/>
      <protection hidden="1"/>
    </xf>
    <xf numFmtId="0" fontId="44" fillId="0" borderId="55" xfId="96" applyFont="1" applyBorder="1" applyAlignment="1">
      <alignment vertical="center"/>
      <protection/>
    </xf>
    <xf numFmtId="0" fontId="45" fillId="0" borderId="66" xfId="108" applyFont="1" applyBorder="1" applyAlignment="1" applyProtection="1">
      <alignment horizontal="left" vertical="center"/>
      <protection hidden="1"/>
    </xf>
    <xf numFmtId="0" fontId="44" fillId="0" borderId="66" xfId="96" applyFont="1" applyBorder="1" applyAlignment="1">
      <alignment vertical="center"/>
      <protection/>
    </xf>
    <xf numFmtId="0" fontId="39" fillId="0" borderId="66" xfId="108" applyFont="1" applyBorder="1" applyAlignment="1" applyProtection="1">
      <alignment horizontal="left" vertical="center"/>
      <protection hidden="1"/>
    </xf>
    <xf numFmtId="0" fontId="44" fillId="0" borderId="72" xfId="108" applyFont="1" applyBorder="1" applyAlignment="1" applyProtection="1">
      <alignment horizontal="center" vertical="center"/>
      <protection hidden="1"/>
    </xf>
    <xf numFmtId="3" fontId="44" fillId="0" borderId="37" xfId="108" applyNumberFormat="1" applyFont="1" applyBorder="1" applyAlignment="1" applyProtection="1">
      <alignment horizontal="right" vertical="center"/>
      <protection hidden="1"/>
    </xf>
    <xf numFmtId="3" fontId="44" fillId="0" borderId="35" xfId="108" applyNumberFormat="1" applyFont="1" applyBorder="1" applyAlignment="1" applyProtection="1">
      <alignment horizontal="right" vertical="center"/>
      <protection hidden="1"/>
    </xf>
    <xf numFmtId="0" fontId="44" fillId="0" borderId="27" xfId="108" applyFont="1" applyBorder="1" applyAlignment="1" applyProtection="1">
      <alignment horizontal="center" vertical="center"/>
      <protection hidden="1"/>
    </xf>
    <xf numFmtId="0" fontId="44" fillId="0" borderId="26" xfId="108" applyFont="1" applyBorder="1" applyAlignment="1" applyProtection="1">
      <alignment horizontal="center" vertical="center"/>
      <protection hidden="1"/>
    </xf>
    <xf numFmtId="3" fontId="44" fillId="0" borderId="36" xfId="96" applyNumberFormat="1" applyFont="1" applyBorder="1" applyAlignment="1">
      <alignment horizontal="right" vertical="center"/>
      <protection/>
    </xf>
    <xf numFmtId="3" fontId="44" fillId="0" borderId="34" xfId="96" applyNumberFormat="1" applyFont="1" applyBorder="1" applyAlignment="1">
      <alignment horizontal="right" vertical="center"/>
      <protection/>
    </xf>
    <xf numFmtId="0" fontId="44" fillId="0" borderId="21" xfId="96" applyFont="1" applyBorder="1" applyAlignment="1">
      <alignment vertical="center"/>
      <protection/>
    </xf>
    <xf numFmtId="0" fontId="44" fillId="0" borderId="75" xfId="108" applyFont="1" applyBorder="1" applyAlignment="1" applyProtection="1">
      <alignment horizontal="center" vertical="center"/>
      <protection hidden="1"/>
    </xf>
    <xf numFmtId="0" fontId="44" fillId="0" borderId="110" xfId="96" applyFont="1" applyBorder="1" applyAlignment="1">
      <alignment vertical="center"/>
      <protection/>
    </xf>
    <xf numFmtId="3" fontId="44" fillId="0" borderId="122" xfId="96" applyNumberFormat="1" applyFont="1" applyBorder="1" applyAlignment="1">
      <alignment horizontal="right" vertical="center"/>
      <protection/>
    </xf>
    <xf numFmtId="3" fontId="44" fillId="0" borderId="53" xfId="96" applyNumberFormat="1" applyFont="1" applyBorder="1" applyAlignment="1">
      <alignment horizontal="right" vertical="center"/>
      <protection/>
    </xf>
    <xf numFmtId="3" fontId="45" fillId="0" borderId="36" xfId="108" applyNumberFormat="1" applyFont="1" applyBorder="1" applyAlignment="1" applyProtection="1">
      <alignment horizontal="right" vertical="center"/>
      <protection hidden="1"/>
    </xf>
    <xf numFmtId="3" fontId="44" fillId="0" borderId="36" xfId="68" applyNumberFormat="1" applyFont="1" applyBorder="1" applyAlignment="1" applyProtection="1">
      <alignment horizontal="right" vertical="center"/>
      <protection hidden="1"/>
    </xf>
    <xf numFmtId="3" fontId="44" fillId="0" borderId="40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39" fillId="0" borderId="73" xfId="108" applyFont="1" applyBorder="1" applyAlignment="1" applyProtection="1">
      <alignment horizontal="center" vertical="center"/>
      <protection hidden="1"/>
    </xf>
    <xf numFmtId="0" fontId="39" fillId="0" borderId="67" xfId="108" applyFont="1" applyBorder="1" applyAlignment="1" applyProtection="1">
      <alignment horizontal="left" vertical="center"/>
      <protection hidden="1"/>
    </xf>
    <xf numFmtId="3" fontId="39" fillId="0" borderId="37" xfId="108" applyNumberFormat="1" applyFont="1" applyBorder="1" applyAlignment="1" applyProtection="1">
      <alignment horizontal="right" vertical="center"/>
      <protection hidden="1"/>
    </xf>
    <xf numFmtId="3" fontId="39" fillId="0" borderId="35" xfId="108" applyNumberFormat="1" applyFont="1" applyBorder="1" applyAlignment="1" applyProtection="1">
      <alignment horizontal="right" vertical="center"/>
      <protection hidden="1"/>
    </xf>
    <xf numFmtId="3" fontId="39" fillId="0" borderId="67" xfId="68" applyNumberFormat="1" applyFont="1" applyBorder="1" applyAlignment="1" applyProtection="1">
      <alignment horizontal="right" vertical="center"/>
      <protection hidden="1"/>
    </xf>
    <xf numFmtId="3" fontId="44" fillId="0" borderId="37" xfId="96" applyNumberFormat="1" applyFont="1" applyBorder="1" applyAlignment="1">
      <alignment horizontal="right" vertical="center"/>
      <protection/>
    </xf>
    <xf numFmtId="3" fontId="44" fillId="0" borderId="35" xfId="96" applyNumberFormat="1" applyFont="1" applyBorder="1" applyAlignment="1">
      <alignment horizontal="right" vertical="center"/>
      <protection/>
    </xf>
    <xf numFmtId="0" fontId="44" fillId="0" borderId="39" xfId="108" applyFont="1" applyBorder="1" applyAlignment="1" applyProtection="1">
      <alignment vertical="center"/>
      <protection hidden="1"/>
    </xf>
    <xf numFmtId="0" fontId="45" fillId="0" borderId="52" xfId="108" applyFont="1" applyBorder="1" applyAlignment="1" applyProtection="1">
      <alignment horizontal="left" vertical="center"/>
      <protection hidden="1"/>
    </xf>
    <xf numFmtId="0" fontId="33" fillId="53" borderId="39" xfId="108" applyFont="1" applyFill="1" applyBorder="1" applyAlignment="1" applyProtection="1">
      <alignment horizontal="center" vertical="center"/>
      <protection hidden="1"/>
    </xf>
    <xf numFmtId="3" fontId="33" fillId="53" borderId="38" xfId="68" applyNumberFormat="1" applyFont="1" applyFill="1" applyBorder="1" applyAlignment="1" applyProtection="1">
      <alignment horizontal="right" vertical="center"/>
      <protection hidden="1"/>
    </xf>
    <xf numFmtId="3" fontId="33" fillId="53" borderId="24" xfId="68" applyNumberFormat="1" applyFont="1" applyFill="1" applyBorder="1" applyAlignment="1" applyProtection="1">
      <alignment horizontal="right" vertical="center"/>
      <protection hidden="1"/>
    </xf>
    <xf numFmtId="3" fontId="44" fillId="0" borderId="37" xfId="68" applyNumberFormat="1" applyFont="1" applyFill="1" applyBorder="1" applyAlignment="1" applyProtection="1">
      <alignment horizontal="right" vertical="center"/>
      <protection hidden="1"/>
    </xf>
    <xf numFmtId="3" fontId="44" fillId="0" borderId="35" xfId="68" applyNumberFormat="1" applyFont="1" applyFill="1" applyBorder="1" applyAlignment="1" applyProtection="1">
      <alignment horizontal="right" vertical="center"/>
      <protection hidden="1"/>
    </xf>
    <xf numFmtId="3" fontId="44" fillId="0" borderId="36" xfId="68" applyNumberFormat="1" applyFont="1" applyFill="1" applyBorder="1" applyAlignment="1" applyProtection="1">
      <alignment horizontal="right" vertical="center"/>
      <protection hidden="1"/>
    </xf>
    <xf numFmtId="3" fontId="44" fillId="0" borderId="34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4" fillId="54" borderId="80" xfId="108" applyFont="1" applyFill="1" applyBorder="1" applyAlignment="1" applyProtection="1">
      <alignment horizontal="center" vertical="center"/>
      <protection hidden="1"/>
    </xf>
    <xf numFmtId="0" fontId="44" fillId="54" borderId="24" xfId="108" applyFont="1" applyFill="1" applyBorder="1" applyAlignment="1" applyProtection="1">
      <alignment horizontal="left" vertical="center"/>
      <protection hidden="1"/>
    </xf>
    <xf numFmtId="3" fontId="44" fillId="54" borderId="38" xfId="68" applyNumberFormat="1" applyFont="1" applyFill="1" applyBorder="1" applyAlignment="1" applyProtection="1">
      <alignment horizontal="right" vertical="center"/>
      <protection hidden="1"/>
    </xf>
    <xf numFmtId="3" fontId="44" fillId="54" borderId="24" xfId="68" applyNumberFormat="1" applyFont="1" applyFill="1" applyBorder="1" applyAlignment="1" applyProtection="1">
      <alignment horizontal="right" vertical="center"/>
      <protection hidden="1"/>
    </xf>
    <xf numFmtId="0" fontId="44" fillId="54" borderId="97" xfId="108" applyFont="1" applyFill="1" applyBorder="1" applyAlignment="1" applyProtection="1">
      <alignment horizontal="center" vertical="center"/>
      <protection hidden="1"/>
    </xf>
    <xf numFmtId="0" fontId="44" fillId="54" borderId="114" xfId="108" applyFont="1" applyFill="1" applyBorder="1" applyAlignment="1" applyProtection="1">
      <alignment horizontal="left" vertical="center"/>
      <protection hidden="1"/>
    </xf>
    <xf numFmtId="3" fontId="44" fillId="54" borderId="97" xfId="68" applyNumberFormat="1" applyFont="1" applyFill="1" applyBorder="1" applyAlignment="1" applyProtection="1">
      <alignment horizontal="right" vertical="center"/>
      <protection hidden="1"/>
    </xf>
    <xf numFmtId="3" fontId="44" fillId="54" borderId="23" xfId="68" applyNumberFormat="1" applyFont="1" applyFill="1" applyBorder="1" applyAlignment="1" applyProtection="1">
      <alignment horizontal="right" vertical="center"/>
      <protection hidden="1"/>
    </xf>
    <xf numFmtId="0" fontId="44" fillId="54" borderId="39" xfId="108" applyFont="1" applyFill="1" applyBorder="1" applyAlignment="1" applyProtection="1">
      <alignment horizontal="left" vertical="center"/>
      <protection hidden="1"/>
    </xf>
    <xf numFmtId="0" fontId="44" fillId="54" borderId="39" xfId="96" applyFont="1" applyFill="1" applyBorder="1" applyAlignment="1">
      <alignment horizontal="left" vertical="center"/>
      <protection/>
    </xf>
    <xf numFmtId="3" fontId="44" fillId="54" borderId="39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9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39" fillId="45" borderId="26" xfId="96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horizontal="right" vertical="center"/>
    </xf>
    <xf numFmtId="0" fontId="31" fillId="0" borderId="85" xfId="110" applyFont="1" applyBorder="1" applyAlignment="1">
      <alignment vertical="center" wrapText="1"/>
      <protection/>
    </xf>
    <xf numFmtId="3" fontId="31" fillId="0" borderId="33" xfId="110" applyNumberFormat="1" applyFont="1" applyBorder="1" applyAlignment="1">
      <alignment vertical="center"/>
      <protection/>
    </xf>
    <xf numFmtId="3" fontId="31" fillId="0" borderId="67" xfId="0" applyNumberFormat="1" applyFont="1" applyFill="1" applyBorder="1" applyAlignment="1">
      <alignment vertical="center"/>
    </xf>
    <xf numFmtId="3" fontId="31" fillId="0" borderId="85" xfId="0" applyNumberFormat="1" applyFont="1" applyFill="1" applyBorder="1" applyAlignment="1">
      <alignment vertical="center"/>
    </xf>
    <xf numFmtId="3" fontId="31" fillId="0" borderId="86" xfId="0" applyNumberFormat="1" applyFont="1" applyFill="1" applyBorder="1" applyAlignment="1">
      <alignment vertical="center" wrapText="1"/>
    </xf>
    <xf numFmtId="3" fontId="31" fillId="0" borderId="123" xfId="110" applyNumberFormat="1" applyFont="1" applyBorder="1" applyAlignment="1">
      <alignment vertical="center"/>
      <protection/>
    </xf>
    <xf numFmtId="0" fontId="45" fillId="0" borderId="72" xfId="108" applyFont="1" applyBorder="1" applyAlignment="1" applyProtection="1">
      <alignment vertical="center"/>
      <protection hidden="1"/>
    </xf>
    <xf numFmtId="0" fontId="45" fillId="0" borderId="73" xfId="108" applyFont="1" applyBorder="1" applyAlignment="1" applyProtection="1">
      <alignment vertical="center"/>
      <protection hidden="1"/>
    </xf>
    <xf numFmtId="0" fontId="45" fillId="0" borderId="26" xfId="108" applyFont="1" applyBorder="1" applyAlignment="1" applyProtection="1">
      <alignment horizontal="center" vertical="center"/>
      <protection hidden="1"/>
    </xf>
    <xf numFmtId="0" fontId="45" fillId="0" borderId="26" xfId="96" applyFont="1" applyBorder="1" applyAlignment="1">
      <alignment horizontal="left" vertical="center"/>
      <protection/>
    </xf>
    <xf numFmtId="0" fontId="45" fillId="0" borderId="21" xfId="108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4" fillId="28" borderId="25" xfId="108" applyNumberFormat="1" applyFont="1" applyFill="1" applyBorder="1" applyAlignment="1" applyProtection="1">
      <alignment horizontal="right" vertical="center"/>
      <protection hidden="1"/>
    </xf>
    <xf numFmtId="3" fontId="44" fillId="28" borderId="24" xfId="108" applyNumberFormat="1" applyFont="1" applyFill="1" applyBorder="1" applyAlignment="1" applyProtection="1">
      <alignment horizontal="right" vertical="center"/>
      <protection hidden="1"/>
    </xf>
    <xf numFmtId="0" fontId="39" fillId="45" borderId="52" xfId="96" applyFont="1" applyFill="1" applyBorder="1" applyAlignment="1" applyProtection="1">
      <alignment horizontal="center" vertical="center"/>
      <protection/>
    </xf>
    <xf numFmtId="3" fontId="44" fillId="60" borderId="24" xfId="63" applyNumberFormat="1" applyFont="1" applyFill="1" applyBorder="1" applyAlignment="1" applyProtection="1">
      <alignment horizontal="right" vertical="center"/>
      <protection/>
    </xf>
    <xf numFmtId="0" fontId="44" fillId="54" borderId="80" xfId="96" applyFont="1" applyFill="1" applyBorder="1" applyAlignment="1" applyProtection="1">
      <alignment horizontal="center" vertical="center"/>
      <protection/>
    </xf>
    <xf numFmtId="0" fontId="44" fillId="54" borderId="29" xfId="108" applyFont="1" applyFill="1" applyBorder="1" applyAlignment="1" applyProtection="1">
      <alignment horizontal="left" vertical="center"/>
      <protection hidden="1"/>
    </xf>
    <xf numFmtId="0" fontId="44" fillId="54" borderId="90" xfId="108" applyFont="1" applyFill="1" applyBorder="1" applyAlignment="1" applyProtection="1">
      <alignment horizontal="center" vertical="center"/>
      <protection hidden="1"/>
    </xf>
    <xf numFmtId="0" fontId="44" fillId="54" borderId="92" xfId="108" applyFont="1" applyFill="1" applyBorder="1" applyAlignment="1" applyProtection="1">
      <alignment horizontal="left" vertical="center"/>
      <protection hidden="1"/>
    </xf>
    <xf numFmtId="3" fontId="50" fillId="54" borderId="24" xfId="63" applyNumberFormat="1" applyFont="1" applyFill="1" applyBorder="1" applyAlignment="1" applyProtection="1">
      <alignment horizontal="right" vertical="center"/>
      <protection/>
    </xf>
    <xf numFmtId="0" fontId="39" fillId="45" borderId="72" xfId="96" applyFont="1" applyFill="1" applyBorder="1" applyAlignment="1" applyProtection="1">
      <alignment horizontal="center" vertical="center"/>
      <protection/>
    </xf>
    <xf numFmtId="0" fontId="45" fillId="0" borderId="110" xfId="108" applyFont="1" applyFill="1" applyBorder="1" applyAlignment="1" applyProtection="1">
      <alignment horizontal="left" vertical="center"/>
      <protection hidden="1"/>
    </xf>
    <xf numFmtId="0" fontId="45" fillId="0" borderId="76" xfId="108" applyFont="1" applyFill="1" applyBorder="1" applyAlignment="1" applyProtection="1">
      <alignment horizontal="left" vertical="center"/>
      <protection hidden="1"/>
    </xf>
    <xf numFmtId="0" fontId="33" fillId="60" borderId="24" xfId="96" applyFont="1" applyFill="1" applyBorder="1" applyAlignment="1" applyProtection="1">
      <alignment horizontal="center" vertical="center"/>
      <protection/>
    </xf>
    <xf numFmtId="3" fontId="44" fillId="60" borderId="25" xfId="63" applyNumberFormat="1" applyFont="1" applyFill="1" applyBorder="1" applyAlignment="1" applyProtection="1">
      <alignment horizontal="right" vertical="center"/>
      <protection/>
    </xf>
    <xf numFmtId="0" fontId="33" fillId="53" borderId="24" xfId="108" applyFont="1" applyFill="1" applyBorder="1" applyAlignment="1" applyProtection="1">
      <alignment horizontal="center" vertical="center"/>
      <protection hidden="1"/>
    </xf>
    <xf numFmtId="0" fontId="45" fillId="0" borderId="19" xfId="108" applyFont="1" applyBorder="1" applyAlignment="1" applyProtection="1">
      <alignment horizontal="center" vertical="center"/>
      <protection hidden="1"/>
    </xf>
    <xf numFmtId="0" fontId="39" fillId="0" borderId="82" xfId="96" applyFont="1" applyBorder="1" applyAlignment="1">
      <alignment vertical="center"/>
      <protection/>
    </xf>
    <xf numFmtId="0" fontId="45" fillId="0" borderId="72" xfId="108" applyFont="1" applyBorder="1" applyAlignment="1" applyProtection="1">
      <alignment horizontal="left" vertical="center"/>
      <protection hidden="1"/>
    </xf>
    <xf numFmtId="0" fontId="45" fillId="0" borderId="76" xfId="108" applyFont="1" applyBorder="1" applyAlignment="1" applyProtection="1">
      <alignment horizontal="left" vertical="center"/>
      <protection hidden="1"/>
    </xf>
    <xf numFmtId="3" fontId="13" fillId="0" borderId="8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3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95" xfId="0" applyNumberFormat="1" applyFont="1" applyFill="1" applyBorder="1" applyAlignment="1">
      <alignment vertical="center"/>
    </xf>
    <xf numFmtId="3" fontId="13" fillId="16" borderId="105" xfId="0" applyNumberFormat="1" applyFont="1" applyFill="1" applyBorder="1" applyAlignment="1">
      <alignment vertical="center"/>
    </xf>
    <xf numFmtId="3" fontId="13" fillId="58" borderId="39" xfId="0" applyNumberFormat="1" applyFont="1" applyFill="1" applyBorder="1" applyAlignment="1">
      <alignment vertical="center"/>
    </xf>
    <xf numFmtId="3" fontId="13" fillId="58" borderId="121" xfId="0" applyNumberFormat="1" applyFont="1" applyFill="1" applyBorder="1" applyAlignment="1">
      <alignment vertical="center"/>
    </xf>
    <xf numFmtId="0" fontId="39" fillId="0" borderId="26" xfId="108" applyFont="1" applyBorder="1" applyAlignment="1" applyProtection="1">
      <alignment horizontal="left" vertical="center"/>
      <protection hidden="1"/>
    </xf>
    <xf numFmtId="0" fontId="33" fillId="54" borderId="80" xfId="96" applyFont="1" applyFill="1" applyBorder="1" applyAlignment="1" applyProtection="1">
      <alignment horizontal="center" vertical="center"/>
      <protection/>
    </xf>
    <xf numFmtId="0" fontId="33" fillId="54" borderId="29" xfId="108" applyFont="1" applyFill="1" applyBorder="1" applyAlignment="1" applyProtection="1">
      <alignment horizontal="left" vertical="center"/>
      <protection hidden="1"/>
    </xf>
    <xf numFmtId="3" fontId="33" fillId="54" borderId="24" xfId="63" applyNumberFormat="1" applyFont="1" applyFill="1" applyBorder="1" applyAlignment="1" applyProtection="1">
      <alignment horizontal="right" vertical="center"/>
      <protection/>
    </xf>
    <xf numFmtId="3" fontId="44" fillId="0" borderId="34" xfId="96" applyNumberFormat="1" applyFont="1" applyFill="1" applyBorder="1" applyAlignment="1" applyProtection="1">
      <alignment horizontal="right" vertical="center"/>
      <protection hidden="1"/>
    </xf>
    <xf numFmtId="0" fontId="44" fillId="0" borderId="21" xfId="108" applyFont="1" applyFill="1" applyBorder="1" applyAlignment="1" applyProtection="1">
      <alignment horizontal="left" vertical="center"/>
      <protection hidden="1"/>
    </xf>
    <xf numFmtId="3" fontId="44" fillId="0" borderId="115" xfId="108" applyNumberFormat="1" applyFont="1" applyFill="1" applyBorder="1" applyAlignment="1" applyProtection="1">
      <alignment horizontal="right" vertical="center"/>
      <protection hidden="1"/>
    </xf>
    <xf numFmtId="3" fontId="44" fillId="0" borderId="34" xfId="108" applyNumberFormat="1" applyFont="1" applyFill="1" applyBorder="1" applyAlignment="1" applyProtection="1">
      <alignment horizontal="right" vertical="center"/>
      <protection hidden="1"/>
    </xf>
    <xf numFmtId="0" fontId="45" fillId="0" borderId="72" xfId="108" applyFont="1" applyBorder="1" applyAlignment="1" applyProtection="1">
      <alignment horizontal="center" vertical="center"/>
      <protection hidden="1"/>
    </xf>
    <xf numFmtId="0" fontId="44" fillId="0" borderId="76" xfId="108" applyFont="1" applyBorder="1" applyAlignment="1" applyProtection="1">
      <alignment horizontal="left" vertical="center"/>
      <protection hidden="1"/>
    </xf>
    <xf numFmtId="0" fontId="44" fillId="45" borderId="26" xfId="96" applyFont="1" applyFill="1" applyBorder="1" applyAlignment="1" applyProtection="1">
      <alignment horizontal="center" vertical="center"/>
      <protection/>
    </xf>
    <xf numFmtId="3" fontId="44" fillId="0" borderId="125" xfId="108" applyNumberFormat="1" applyFont="1" applyFill="1" applyBorder="1" applyAlignment="1" applyProtection="1">
      <alignment horizontal="right" vertical="center"/>
      <protection hidden="1"/>
    </xf>
    <xf numFmtId="3" fontId="44" fillId="0" borderId="53" xfId="108" applyNumberFormat="1" applyFont="1" applyFill="1" applyBorder="1" applyAlignment="1" applyProtection="1">
      <alignment horizontal="right" vertical="center"/>
      <protection hidden="1"/>
    </xf>
    <xf numFmtId="0" fontId="44" fillId="0" borderId="26" xfId="96" applyFont="1" applyFill="1" applyBorder="1" applyAlignment="1" applyProtection="1">
      <alignment horizontal="center" vertical="center"/>
      <protection hidden="1"/>
    </xf>
    <xf numFmtId="0" fontId="44" fillId="0" borderId="32" xfId="108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0" fontId="21" fillId="45" borderId="38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45" borderId="30" xfId="0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Alignment="1">
      <alignment/>
    </xf>
    <xf numFmtId="3" fontId="44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5" fillId="0" borderId="86" xfId="96" applyFont="1" applyFill="1" applyBorder="1" applyAlignment="1">
      <alignment vertical="center" wrapText="1"/>
      <protection/>
    </xf>
    <xf numFmtId="0" fontId="45" fillId="0" borderId="87" xfId="96" applyFont="1" applyFill="1" applyBorder="1" applyAlignment="1">
      <alignment vertical="center" wrapText="1"/>
      <protection/>
    </xf>
    <xf numFmtId="0" fontId="45" fillId="0" borderId="126" xfId="96" applyFont="1" applyFill="1" applyBorder="1" applyAlignment="1">
      <alignment vertical="center" wrapText="1"/>
      <protection/>
    </xf>
    <xf numFmtId="0" fontId="40" fillId="0" borderId="40" xfId="96" applyFont="1" applyFill="1" applyBorder="1" applyAlignment="1">
      <alignment horizontal="center" vertical="center" wrapText="1"/>
      <protection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51" fillId="0" borderId="34" xfId="96" applyFont="1" applyFill="1" applyBorder="1" applyAlignment="1">
      <alignment horizontal="center" vertical="center"/>
      <protection/>
    </xf>
    <xf numFmtId="0" fontId="51" fillId="0" borderId="53" xfId="96" applyFont="1" applyFill="1" applyBorder="1" applyAlignment="1">
      <alignment horizontal="center" vertical="center"/>
      <protection/>
    </xf>
    <xf numFmtId="0" fontId="51" fillId="0" borderId="127" xfId="96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4" fillId="56" borderId="25" xfId="0" applyNumberFormat="1" applyFont="1" applyFill="1" applyBorder="1" applyAlignment="1">
      <alignment horizontal="right" vertical="center"/>
    </xf>
    <xf numFmtId="3" fontId="45" fillId="45" borderId="34" xfId="0" applyNumberFormat="1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3" fontId="50" fillId="0" borderId="35" xfId="0" applyNumberFormat="1" applyFont="1" applyFill="1" applyBorder="1" applyAlignment="1">
      <alignment horizontal="right" vertical="center"/>
    </xf>
    <xf numFmtId="0" fontId="45" fillId="45" borderId="31" xfId="0" applyFont="1" applyFill="1" applyBorder="1" applyAlignment="1" applyProtection="1">
      <alignment horizontal="center" vertical="center"/>
      <protection locked="0"/>
    </xf>
    <xf numFmtId="0" fontId="45" fillId="0" borderId="85" xfId="96" applyFont="1" applyFill="1" applyBorder="1" applyAlignment="1">
      <alignment vertical="center" wrapText="1"/>
      <protection/>
    </xf>
    <xf numFmtId="0" fontId="51" fillId="0" borderId="35" xfId="96" applyFont="1" applyFill="1" applyBorder="1" applyAlignment="1">
      <alignment horizontal="center" vertical="center"/>
      <protection/>
    </xf>
    <xf numFmtId="0" fontId="44" fillId="61" borderId="48" xfId="0" applyFont="1" applyFill="1" applyBorder="1" applyAlignment="1">
      <alignment horizontal="center" vertical="center"/>
    </xf>
    <xf numFmtId="0" fontId="44" fillId="61" borderId="48" xfId="96" applyFont="1" applyFill="1" applyBorder="1" applyAlignment="1">
      <alignment horizontal="center" vertical="center"/>
      <protection/>
    </xf>
    <xf numFmtId="3" fontId="44" fillId="61" borderId="74" xfId="96" applyNumberFormat="1" applyFont="1" applyFill="1" applyBorder="1" applyAlignment="1" quotePrefix="1">
      <alignment vertical="center"/>
      <protection/>
    </xf>
    <xf numFmtId="0" fontId="44" fillId="61" borderId="24" xfId="0" applyFont="1" applyFill="1" applyBorder="1" applyAlignment="1">
      <alignment horizontal="center" vertical="center"/>
    </xf>
    <xf numFmtId="0" fontId="44" fillId="61" borderId="24" xfId="96" applyFont="1" applyFill="1" applyBorder="1" applyAlignment="1">
      <alignment horizontal="center" vertical="center"/>
      <protection/>
    </xf>
    <xf numFmtId="3" fontId="44" fillId="61" borderId="24" xfId="96" applyNumberFormat="1" applyFont="1" applyFill="1" applyBorder="1" applyAlignment="1" quotePrefix="1">
      <alignment vertical="center"/>
      <protection/>
    </xf>
    <xf numFmtId="3" fontId="44" fillId="61" borderId="39" xfId="96" applyNumberFormat="1" applyFont="1" applyFill="1" applyBorder="1" applyAlignment="1" quotePrefix="1">
      <alignment vertical="center"/>
      <protection/>
    </xf>
    <xf numFmtId="3" fontId="45" fillId="45" borderId="67" xfId="0" applyNumberFormat="1" applyFont="1" applyFill="1" applyBorder="1" applyAlignment="1">
      <alignment horizontal="right" vertical="center"/>
    </xf>
    <xf numFmtId="3" fontId="45" fillId="45" borderId="114" xfId="0" applyNumberFormat="1" applyFont="1" applyFill="1" applyBorder="1" applyAlignment="1">
      <alignment horizontal="right" vertical="center"/>
    </xf>
    <xf numFmtId="0" fontId="44" fillId="56" borderId="24" xfId="0" applyFont="1" applyFill="1" applyBorder="1" applyAlignment="1" applyProtection="1">
      <alignment horizontal="center" vertical="center"/>
      <protection locked="0"/>
    </xf>
    <xf numFmtId="0" fontId="45" fillId="45" borderId="128" xfId="0" applyFont="1" applyFill="1" applyBorder="1" applyAlignment="1" applyProtection="1">
      <alignment horizontal="center" vertical="center"/>
      <protection locked="0"/>
    </xf>
    <xf numFmtId="49" fontId="45" fillId="0" borderId="87" xfId="96" applyNumberFormat="1" applyFont="1" applyFill="1" applyBorder="1" applyAlignment="1">
      <alignment vertical="center" wrapText="1"/>
      <protection/>
    </xf>
    <xf numFmtId="3" fontId="45" fillId="0" borderId="115" xfId="96" applyNumberFormat="1" applyFont="1" applyFill="1" applyBorder="1" applyAlignment="1" quotePrefix="1">
      <alignment vertical="center"/>
      <protection/>
    </xf>
    <xf numFmtId="3" fontId="45" fillId="0" borderId="119" xfId="96" applyNumberFormat="1" applyFont="1" applyFill="1" applyBorder="1" applyAlignment="1" quotePrefix="1">
      <alignment vertical="center"/>
      <protection/>
    </xf>
    <xf numFmtId="3" fontId="45" fillId="0" borderId="125" xfId="96" applyNumberFormat="1" applyFont="1" applyFill="1" applyBorder="1" applyAlignment="1" quotePrefix="1">
      <alignment vertical="center"/>
      <protection/>
    </xf>
    <xf numFmtId="3" fontId="45" fillId="0" borderId="129" xfId="96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5" fillId="45" borderId="75" xfId="0" applyFont="1" applyFill="1" applyBorder="1" applyAlignment="1" applyProtection="1">
      <alignment horizontal="center" vertical="center"/>
      <protection locked="0"/>
    </xf>
    <xf numFmtId="3" fontId="45" fillId="45" borderId="55" xfId="0" applyNumberFormat="1" applyFont="1" applyFill="1" applyBorder="1" applyAlignment="1">
      <alignment horizontal="right" vertical="center"/>
    </xf>
    <xf numFmtId="3" fontId="45" fillId="0" borderId="34" xfId="96" applyNumberFormat="1" applyFont="1" applyFill="1" applyBorder="1" applyAlignment="1" quotePrefix="1">
      <alignment vertical="center"/>
      <protection/>
    </xf>
    <xf numFmtId="0" fontId="46" fillId="62" borderId="38" xfId="108" applyFont="1" applyFill="1" applyBorder="1" applyAlignment="1" applyProtection="1">
      <alignment horizontal="center" vertical="center"/>
      <protection hidden="1"/>
    </xf>
    <xf numFmtId="0" fontId="33" fillId="62" borderId="39" xfId="108" applyFont="1" applyFill="1" applyBorder="1" applyAlignment="1" applyProtection="1">
      <alignment vertical="center"/>
      <protection hidden="1"/>
    </xf>
    <xf numFmtId="3" fontId="33" fillId="62" borderId="38" xfId="68" applyNumberFormat="1" applyFont="1" applyFill="1" applyBorder="1" applyAlignment="1" applyProtection="1">
      <alignment horizontal="right" vertical="center" wrapText="1"/>
      <protection hidden="1"/>
    </xf>
    <xf numFmtId="3" fontId="33" fillId="62" borderId="24" xfId="68" applyNumberFormat="1" applyFont="1" applyFill="1" applyBorder="1" applyAlignment="1" applyProtection="1">
      <alignment horizontal="right" vertical="center" wrapText="1"/>
      <protection hidden="1"/>
    </xf>
    <xf numFmtId="3" fontId="33" fillId="62" borderId="24" xfId="68" applyNumberFormat="1" applyFont="1" applyFill="1" applyBorder="1" applyAlignment="1" applyProtection="1">
      <alignment horizontal="right" vertical="center"/>
      <protection hidden="1"/>
    </xf>
    <xf numFmtId="0" fontId="46" fillId="62" borderId="38" xfId="96" applyFont="1" applyFill="1" applyBorder="1" applyAlignment="1" applyProtection="1">
      <alignment horizontal="center" vertical="center"/>
      <protection hidden="1"/>
    </xf>
    <xf numFmtId="0" fontId="46" fillId="62" borderId="39" xfId="96" applyFont="1" applyFill="1" applyBorder="1" applyAlignment="1" applyProtection="1">
      <alignment vertical="center"/>
      <protection hidden="1"/>
    </xf>
    <xf numFmtId="3" fontId="46" fillId="62" borderId="24" xfId="108" applyNumberFormat="1" applyFont="1" applyFill="1" applyBorder="1" applyAlignment="1" applyProtection="1">
      <alignment horizontal="right" vertical="center"/>
      <protection hidden="1"/>
    </xf>
    <xf numFmtId="0" fontId="46" fillId="62" borderId="39" xfId="96" applyFont="1" applyFill="1" applyBorder="1" applyAlignment="1" applyProtection="1">
      <alignment vertical="center"/>
      <protection/>
    </xf>
    <xf numFmtId="3" fontId="46" fillId="62" borderId="24" xfId="68" applyNumberFormat="1" applyFont="1" applyFill="1" applyBorder="1" applyAlignment="1" applyProtection="1">
      <alignment horizontal="right" vertical="center" wrapText="1"/>
      <protection/>
    </xf>
    <xf numFmtId="3" fontId="44" fillId="54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119" xfId="108" applyNumberFormat="1" applyFont="1" applyBorder="1" applyAlignment="1" applyProtection="1">
      <alignment horizontal="right" vertical="center"/>
      <protection hidden="1"/>
    </xf>
    <xf numFmtId="3" fontId="45" fillId="0" borderId="115" xfId="108" applyNumberFormat="1" applyFont="1" applyFill="1" applyBorder="1" applyAlignment="1" applyProtection="1">
      <alignment horizontal="right" vertical="center"/>
      <protection hidden="1"/>
    </xf>
    <xf numFmtId="3" fontId="45" fillId="0" borderId="115" xfId="108" applyNumberFormat="1" applyFont="1" applyBorder="1" applyAlignment="1" applyProtection="1">
      <alignment horizontal="right" vertical="center"/>
      <protection hidden="1"/>
    </xf>
    <xf numFmtId="3" fontId="44" fillId="0" borderId="115" xfId="96" applyNumberFormat="1" applyFont="1" applyFill="1" applyBorder="1" applyAlignment="1" applyProtection="1">
      <alignment horizontal="right" vertical="center"/>
      <protection hidden="1"/>
    </xf>
    <xf numFmtId="3" fontId="39" fillId="0" borderId="115" xfId="108" applyNumberFormat="1" applyFont="1" applyBorder="1" applyAlignment="1" applyProtection="1">
      <alignment horizontal="right" vertical="center"/>
      <protection hidden="1"/>
    </xf>
    <xf numFmtId="3" fontId="46" fillId="62" borderId="25" xfId="68" applyNumberFormat="1" applyFont="1" applyFill="1" applyBorder="1" applyAlignment="1" applyProtection="1">
      <alignment horizontal="right" vertical="center" wrapText="1"/>
      <protection/>
    </xf>
    <xf numFmtId="3" fontId="39" fillId="0" borderId="115" xfId="108" applyNumberFormat="1" applyFont="1" applyFill="1" applyBorder="1" applyAlignment="1" applyProtection="1">
      <alignment horizontal="right" vertical="center"/>
      <protection hidden="1"/>
    </xf>
    <xf numFmtId="3" fontId="46" fillId="62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119" xfId="96" applyNumberFormat="1" applyFont="1" applyBorder="1" applyAlignment="1">
      <alignment horizontal="right" vertical="center"/>
      <protection/>
    </xf>
    <xf numFmtId="3" fontId="44" fillId="0" borderId="115" xfId="96" applyNumberFormat="1" applyFont="1" applyBorder="1" applyAlignment="1">
      <alignment horizontal="right" vertical="center"/>
      <protection/>
    </xf>
    <xf numFmtId="3" fontId="33" fillId="62" borderId="25" xfId="68" applyNumberFormat="1" applyFont="1" applyFill="1" applyBorder="1" applyAlignment="1" applyProtection="1">
      <alignment horizontal="right" vertical="center"/>
      <protection hidden="1"/>
    </xf>
    <xf numFmtId="3" fontId="33" fillId="53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55" xfId="96" applyNumberFormat="1" applyFont="1" applyBorder="1" applyAlignment="1">
      <alignment horizontal="right" vertical="center"/>
      <protection/>
    </xf>
    <xf numFmtId="3" fontId="44" fillId="0" borderId="55" xfId="108" applyNumberFormat="1" applyFont="1" applyFill="1" applyBorder="1" applyAlignment="1" applyProtection="1">
      <alignment horizontal="right" vertical="center"/>
      <protection hidden="1"/>
    </xf>
    <xf numFmtId="3" fontId="44" fillId="0" borderId="55" xfId="96" applyNumberFormat="1" applyFont="1" applyFill="1" applyBorder="1" applyAlignment="1" applyProtection="1">
      <alignment horizontal="right" vertical="center"/>
      <protection hidden="1"/>
    </xf>
    <xf numFmtId="3" fontId="46" fillId="62" borderId="39" xfId="68" applyNumberFormat="1" applyFont="1" applyFill="1" applyBorder="1" applyAlignment="1" applyProtection="1">
      <alignment horizontal="right" vertical="center" wrapText="1"/>
      <protection/>
    </xf>
    <xf numFmtId="3" fontId="44" fillId="28" borderId="39" xfId="108" applyNumberFormat="1" applyFont="1" applyFill="1" applyBorder="1" applyAlignment="1" applyProtection="1">
      <alignment horizontal="right" vertical="center"/>
      <protection hidden="1"/>
    </xf>
    <xf numFmtId="3" fontId="44" fillId="0" borderId="67" xfId="96" applyNumberFormat="1" applyFont="1" applyBorder="1" applyAlignment="1">
      <alignment horizontal="right" vertical="center"/>
      <protection/>
    </xf>
    <xf numFmtId="3" fontId="46" fillId="62" borderId="39" xfId="108" applyNumberFormat="1" applyFont="1" applyFill="1" applyBorder="1" applyAlignment="1" applyProtection="1">
      <alignment horizontal="right" vertical="center"/>
      <protection hidden="1"/>
    </xf>
    <xf numFmtId="3" fontId="44" fillId="60" borderId="39" xfId="63" applyNumberFormat="1" applyFont="1" applyFill="1" applyBorder="1" applyAlignment="1" applyProtection="1">
      <alignment horizontal="right" vertical="center"/>
      <protection/>
    </xf>
    <xf numFmtId="3" fontId="44" fillId="54" borderId="24" xfId="108" applyNumberFormat="1" applyFont="1" applyFill="1" applyBorder="1" applyAlignment="1" applyProtection="1">
      <alignment horizontal="right" vertical="center"/>
      <protection hidden="1"/>
    </xf>
    <xf numFmtId="3" fontId="45" fillId="0" borderId="34" xfId="108" applyNumberFormat="1" applyFont="1" applyFill="1" applyBorder="1" applyAlignment="1" applyProtection="1">
      <alignment horizontal="right" vertical="center"/>
      <protection hidden="1"/>
    </xf>
    <xf numFmtId="3" fontId="45" fillId="0" borderId="49" xfId="108" applyNumberFormat="1" applyFont="1" applyBorder="1" applyAlignment="1" applyProtection="1">
      <alignment horizontal="right" vertical="center"/>
      <protection hidden="1"/>
    </xf>
    <xf numFmtId="3" fontId="44" fillId="0" borderId="38" xfId="96" applyNumberFormat="1" applyFont="1" applyBorder="1" applyAlignment="1">
      <alignment horizontal="right" vertical="center"/>
      <protection/>
    </xf>
    <xf numFmtId="3" fontId="8" fillId="0" borderId="115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49" borderId="125" xfId="0" applyNumberFormat="1" applyFont="1" applyFill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45" fillId="0" borderId="34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0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6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3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3" fontId="8" fillId="49" borderId="82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3" fontId="13" fillId="0" borderId="11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4" xfId="0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8" fillId="49" borderId="87" xfId="0" applyNumberFormat="1" applyFont="1" applyFill="1" applyBorder="1" applyAlignment="1">
      <alignment vertical="center"/>
    </xf>
    <xf numFmtId="0" fontId="16" fillId="49" borderId="124" xfId="0" applyFont="1" applyFill="1" applyBorder="1" applyAlignment="1">
      <alignment vertical="center"/>
    </xf>
    <xf numFmtId="4" fontId="8" fillId="0" borderId="130" xfId="0" applyNumberFormat="1" applyFont="1" applyBorder="1" applyAlignment="1">
      <alignment vertical="center"/>
    </xf>
    <xf numFmtId="4" fontId="8" fillId="0" borderId="112" xfId="0" applyNumberFormat="1" applyFont="1" applyBorder="1" applyAlignment="1">
      <alignment vertical="center"/>
    </xf>
    <xf numFmtId="4" fontId="8" fillId="0" borderId="109" xfId="0" applyNumberFormat="1" applyFont="1" applyFill="1" applyBorder="1" applyAlignment="1">
      <alignment vertical="center"/>
    </xf>
    <xf numFmtId="0" fontId="18" fillId="0" borderId="113" xfId="0" applyFont="1" applyBorder="1" applyAlignment="1">
      <alignment horizontal="right" vertical="center"/>
    </xf>
    <xf numFmtId="0" fontId="8" fillId="0" borderId="1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6" fillId="49" borderId="110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9" borderId="65" xfId="0" applyNumberFormat="1" applyFont="1" applyFill="1" applyBorder="1" applyAlignment="1">
      <alignment horizontal="right" vertical="center"/>
    </xf>
    <xf numFmtId="3" fontId="13" fillId="59" borderId="64" xfId="0" applyNumberFormat="1" applyFont="1" applyFill="1" applyBorder="1" applyAlignment="1">
      <alignment horizontal="right" vertical="center"/>
    </xf>
    <xf numFmtId="0" fontId="145" fillId="0" borderId="0" xfId="0" applyFont="1" applyBorder="1" applyAlignment="1">
      <alignment vertical="center"/>
    </xf>
    <xf numFmtId="0" fontId="146" fillId="0" borderId="0" xfId="0" applyFont="1" applyBorder="1" applyAlignment="1">
      <alignment vertical="center"/>
    </xf>
    <xf numFmtId="0" fontId="147" fillId="0" borderId="0" xfId="0" applyFont="1" applyBorder="1" applyAlignment="1">
      <alignment vertical="center"/>
    </xf>
    <xf numFmtId="0" fontId="148" fillId="0" borderId="0" xfId="0" applyFont="1" applyBorder="1" applyAlignment="1">
      <alignment vertical="center"/>
    </xf>
    <xf numFmtId="0" fontId="149" fillId="0" borderId="0" xfId="0" applyFont="1" applyBorder="1" applyAlignment="1">
      <alignment horizontal="right" vertical="center"/>
    </xf>
    <xf numFmtId="0" fontId="150" fillId="0" borderId="0" xfId="0" applyFont="1" applyBorder="1" applyAlignment="1">
      <alignment horizontal="center" vertical="center" wrapText="1"/>
    </xf>
    <xf numFmtId="3" fontId="151" fillId="0" borderId="0" xfId="0" applyNumberFormat="1" applyFont="1" applyBorder="1" applyAlignment="1">
      <alignment vertical="center"/>
    </xf>
    <xf numFmtId="3" fontId="145" fillId="0" borderId="0" xfId="0" applyNumberFormat="1" applyFont="1" applyBorder="1" applyAlignment="1">
      <alignment vertical="center"/>
    </xf>
    <xf numFmtId="3" fontId="151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9" fillId="0" borderId="36" xfId="68" applyNumberFormat="1" applyFont="1" applyBorder="1" applyAlignment="1" applyProtection="1">
      <alignment horizontal="right" vertical="center"/>
      <protection hidden="1"/>
    </xf>
    <xf numFmtId="3" fontId="45" fillId="0" borderId="53" xfId="68" applyNumberFormat="1" applyFont="1" applyBorder="1" applyAlignment="1" applyProtection="1">
      <alignment horizontal="right" vertical="center"/>
      <protection hidden="1"/>
    </xf>
    <xf numFmtId="3" fontId="45" fillId="0" borderId="55" xfId="96" applyNumberFormat="1" applyFont="1" applyBorder="1" applyAlignment="1">
      <alignment horizontal="right" vertical="center"/>
      <protection/>
    </xf>
    <xf numFmtId="3" fontId="45" fillId="0" borderId="67" xfId="96" applyNumberFormat="1" applyFont="1" applyBorder="1" applyAlignment="1">
      <alignment horizontal="right" vertical="center"/>
      <protection/>
    </xf>
    <xf numFmtId="3" fontId="44" fillId="0" borderId="48" xfId="108" applyNumberFormat="1" applyFont="1" applyBorder="1" applyAlignment="1" applyProtection="1">
      <alignment horizontal="right" vertical="center"/>
      <protection hidden="1"/>
    </xf>
    <xf numFmtId="3" fontId="45" fillId="0" borderId="127" xfId="108" applyNumberFormat="1" applyFont="1" applyBorder="1" applyAlignment="1" applyProtection="1">
      <alignment horizontal="right" vertical="center"/>
      <protection hidden="1"/>
    </xf>
    <xf numFmtId="3" fontId="39" fillId="0" borderId="48" xfId="108" applyNumberFormat="1" applyFont="1" applyFill="1" applyBorder="1" applyAlignment="1" applyProtection="1">
      <alignment horizontal="right" vertical="center"/>
      <protection hidden="1"/>
    </xf>
    <xf numFmtId="3" fontId="39" fillId="0" borderId="127" xfId="108" applyNumberFormat="1" applyFont="1" applyFill="1" applyBorder="1" applyAlignment="1" applyProtection="1">
      <alignment horizontal="right" vertical="center"/>
      <protection hidden="1"/>
    </xf>
    <xf numFmtId="3" fontId="33" fillId="54" borderId="38" xfId="63" applyNumberFormat="1" applyFont="1" applyFill="1" applyBorder="1" applyAlignment="1" applyProtection="1">
      <alignment horizontal="right" vertical="center"/>
      <protection/>
    </xf>
    <xf numFmtId="3" fontId="33" fillId="54" borderId="39" xfId="63" applyNumberFormat="1" applyFont="1" applyFill="1" applyBorder="1" applyAlignment="1" applyProtection="1">
      <alignment horizontal="right" vertical="center"/>
      <protection/>
    </xf>
    <xf numFmtId="3" fontId="33" fillId="53" borderId="24" xfId="108" applyNumberFormat="1" applyFont="1" applyFill="1" applyBorder="1" applyAlignment="1" applyProtection="1">
      <alignment horizontal="right" vertical="center"/>
      <protection hidden="1"/>
    </xf>
    <xf numFmtId="3" fontId="17" fillId="0" borderId="115" xfId="107" applyNumberFormat="1" applyFont="1" applyFill="1" applyBorder="1" applyAlignment="1">
      <alignment horizontal="right" vertical="center"/>
      <protection/>
    </xf>
    <xf numFmtId="0" fontId="12" fillId="0" borderId="23" xfId="107" applyFont="1" applyFill="1" applyBorder="1" applyAlignment="1">
      <alignment vertical="center"/>
      <protection/>
    </xf>
    <xf numFmtId="3" fontId="14" fillId="58" borderId="23" xfId="107" applyNumberFormat="1" applyFont="1" applyFill="1" applyBorder="1" applyAlignment="1">
      <alignment horizontal="right" vertical="center"/>
      <protection/>
    </xf>
    <xf numFmtId="3" fontId="17" fillId="0" borderId="97" xfId="107" applyNumberFormat="1" applyFont="1" applyFill="1" applyBorder="1" applyAlignment="1">
      <alignment horizontal="right" vertical="center"/>
      <protection/>
    </xf>
    <xf numFmtId="3" fontId="17" fillId="0" borderId="23" xfId="107" applyNumberFormat="1" applyFont="1" applyFill="1" applyBorder="1" applyAlignment="1">
      <alignment horizontal="right" vertical="center"/>
      <protection/>
    </xf>
    <xf numFmtId="3" fontId="17" fillId="0" borderId="27" xfId="106" applyNumberFormat="1" applyFont="1" applyFill="1" applyBorder="1" applyAlignment="1">
      <alignment horizontal="right" vertical="center"/>
    </xf>
    <xf numFmtId="3" fontId="17" fillId="0" borderId="30" xfId="106" applyNumberFormat="1" applyFont="1" applyFill="1" applyBorder="1" applyAlignment="1">
      <alignment horizontal="right" vertical="center"/>
    </xf>
    <xf numFmtId="3" fontId="14" fillId="54" borderId="24" xfId="107" applyNumberFormat="1" applyFont="1" applyFill="1" applyBorder="1" applyAlignment="1">
      <alignment vertical="center"/>
      <protection/>
    </xf>
    <xf numFmtId="3" fontId="17" fillId="0" borderId="73" xfId="107" applyNumberFormat="1" applyFont="1" applyFill="1" applyBorder="1" applyAlignment="1">
      <alignment horizontal="right" vertical="center"/>
      <protection/>
    </xf>
    <xf numFmtId="0" fontId="31" fillId="0" borderId="49" xfId="0" applyFont="1" applyFill="1" applyBorder="1" applyAlignment="1">
      <alignment horizontal="center" vertical="center"/>
    </xf>
    <xf numFmtId="3" fontId="38" fillId="45" borderId="67" xfId="0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38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2" fillId="45" borderId="0" xfId="0" applyFont="1" applyFill="1" applyAlignment="1">
      <alignment horizontal="centerContinuous" vertical="center" wrapText="1"/>
    </xf>
    <xf numFmtId="0" fontId="18" fillId="45" borderId="0" xfId="0" applyFont="1" applyFill="1" applyAlignment="1">
      <alignment horizontal="centerContinuous" vertical="center"/>
    </xf>
    <xf numFmtId="3" fontId="31" fillId="0" borderId="34" xfId="105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2" fillId="17" borderId="80" xfId="108" applyFont="1" applyFill="1" applyBorder="1" applyAlignment="1" applyProtection="1">
      <alignment horizontal="center" vertical="center" wrapText="1"/>
      <protection hidden="1"/>
    </xf>
    <xf numFmtId="0" fontId="52" fillId="17" borderId="39" xfId="108" applyFont="1" applyFill="1" applyBorder="1" applyAlignment="1" applyProtection="1">
      <alignment horizontal="center" vertical="center" wrapText="1"/>
      <protection hidden="1"/>
    </xf>
    <xf numFmtId="3" fontId="52" fillId="17" borderId="38" xfId="108" applyNumberFormat="1" applyFont="1" applyFill="1" applyBorder="1" applyAlignment="1" applyProtection="1">
      <alignment horizontal="center" vertical="center" wrapText="1"/>
      <protection hidden="1"/>
    </xf>
    <xf numFmtId="3" fontId="52" fillId="17" borderId="24" xfId="108" applyNumberFormat="1" applyFont="1" applyFill="1" applyBorder="1" applyAlignment="1" applyProtection="1">
      <alignment horizontal="center" vertical="center" wrapText="1"/>
      <protection hidden="1"/>
    </xf>
    <xf numFmtId="3" fontId="53" fillId="17" borderId="39" xfId="0" applyNumberFormat="1" applyFont="1" applyFill="1" applyBorder="1" applyAlignment="1">
      <alignment horizontal="center" vertical="center" wrapText="1"/>
    </xf>
    <xf numFmtId="3" fontId="52" fillId="17" borderId="25" xfId="10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4" fillId="54" borderId="24" xfId="108" applyFont="1" applyFill="1" applyBorder="1" applyAlignment="1" applyProtection="1">
      <alignment horizontal="center" vertical="center"/>
      <protection hidden="1"/>
    </xf>
    <xf numFmtId="0" fontId="46" fillId="62" borderId="24" xfId="108" applyFont="1" applyFill="1" applyBorder="1" applyAlignment="1" applyProtection="1">
      <alignment horizontal="center" vertical="center"/>
      <protection hidden="1"/>
    </xf>
    <xf numFmtId="0" fontId="31" fillId="0" borderId="4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4" fillId="0" borderId="25" xfId="108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5" fillId="0" borderId="116" xfId="108" applyFont="1" applyBorder="1" applyAlignment="1" applyProtection="1">
      <alignment vertical="center"/>
      <protection hidden="1"/>
    </xf>
    <xf numFmtId="3" fontId="45" fillId="0" borderId="117" xfId="108" applyNumberFormat="1" applyFont="1" applyBorder="1" applyAlignment="1" applyProtection="1">
      <alignment horizontal="right" vertical="center"/>
      <protection hidden="1"/>
    </xf>
    <xf numFmtId="0" fontId="45" fillId="0" borderId="66" xfId="96" applyFont="1" applyBorder="1" applyAlignment="1">
      <alignment vertical="center"/>
      <protection/>
    </xf>
    <xf numFmtId="3" fontId="45" fillId="0" borderId="122" xfId="108" applyNumberFormat="1" applyFont="1" applyBorder="1" applyAlignment="1" applyProtection="1">
      <alignment horizontal="right" vertical="center"/>
      <protection hidden="1"/>
    </xf>
    <xf numFmtId="3" fontId="45" fillId="0" borderId="53" xfId="108" applyNumberFormat="1" applyFont="1" applyBorder="1" applyAlignment="1" applyProtection="1">
      <alignment horizontal="right" vertical="center"/>
      <protection hidden="1"/>
    </xf>
    <xf numFmtId="3" fontId="44" fillId="0" borderId="62" xfId="108" applyNumberFormat="1" applyFont="1" applyBorder="1" applyAlignment="1" applyProtection="1">
      <alignment horizontal="right" vertical="center"/>
      <protection hidden="1"/>
    </xf>
    <xf numFmtId="3" fontId="44" fillId="0" borderId="67" xfId="108" applyNumberFormat="1" applyFont="1" applyBorder="1" applyAlignment="1" applyProtection="1">
      <alignment horizontal="right" vertical="center"/>
      <protection hidden="1"/>
    </xf>
    <xf numFmtId="3" fontId="50" fillId="54" borderId="38" xfId="63" applyNumberFormat="1" applyFont="1" applyFill="1" applyBorder="1" applyAlignment="1" applyProtection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3" fontId="17" fillId="0" borderId="62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31" fillId="0" borderId="55" xfId="0" applyNumberFormat="1" applyFont="1" applyFill="1" applyBorder="1" applyAlignment="1">
      <alignment horizontal="right" vertical="center"/>
    </xf>
    <xf numFmtId="0" fontId="31" fillId="57" borderId="40" xfId="110" applyFont="1" applyFill="1" applyBorder="1" applyAlignment="1">
      <alignment horizontal="center" vertical="center" wrapText="1"/>
      <protection/>
    </xf>
    <xf numFmtId="0" fontId="31" fillId="0" borderId="121" xfId="110" applyFont="1" applyBorder="1" applyAlignment="1">
      <alignment horizontal="center" vertical="center" wrapText="1"/>
      <protection/>
    </xf>
    <xf numFmtId="0" fontId="31" fillId="0" borderId="134" xfId="110" applyFont="1" applyBorder="1" applyAlignment="1">
      <alignment horizontal="center" vertical="center" wrapText="1"/>
      <protection/>
    </xf>
    <xf numFmtId="0" fontId="31" fillId="57" borderId="24" xfId="110" applyFont="1" applyFill="1" applyBorder="1" applyAlignment="1">
      <alignment horizontal="center" vertical="center" wrapText="1"/>
      <protection/>
    </xf>
    <xf numFmtId="0" fontId="35" fillId="50" borderId="24" xfId="110" applyFont="1" applyFill="1" applyBorder="1" applyAlignment="1">
      <alignment horizontal="center" vertical="center"/>
      <protection/>
    </xf>
    <xf numFmtId="0" fontId="35" fillId="50" borderId="46" xfId="110" applyFont="1" applyFill="1" applyBorder="1" applyAlignment="1">
      <alignment horizontal="center" vertical="center"/>
      <protection/>
    </xf>
    <xf numFmtId="0" fontId="35" fillId="50" borderId="25" xfId="110" applyFont="1" applyFill="1" applyBorder="1" applyAlignment="1">
      <alignment horizontal="center" vertical="center"/>
      <protection/>
    </xf>
    <xf numFmtId="0" fontId="35" fillId="50" borderId="80" xfId="110" applyFont="1" applyFill="1" applyBorder="1" applyAlignment="1">
      <alignment horizontal="center" vertical="center"/>
      <protection/>
    </xf>
    <xf numFmtId="3" fontId="39" fillId="0" borderId="37" xfId="96" applyNumberFormat="1" applyFont="1" applyBorder="1" applyAlignment="1">
      <alignment horizontal="right" vertical="center"/>
      <protection/>
    </xf>
    <xf numFmtId="3" fontId="31" fillId="0" borderId="0" xfId="0" applyNumberFormat="1" applyFont="1" applyAlignment="1">
      <alignment vertical="center"/>
    </xf>
    <xf numFmtId="3" fontId="45" fillId="0" borderId="127" xfId="96" applyNumberFormat="1" applyFont="1" applyFill="1" applyBorder="1" applyAlignment="1">
      <alignment vertical="center"/>
      <protection/>
    </xf>
    <xf numFmtId="3" fontId="18" fillId="0" borderId="35" xfId="104" applyNumberFormat="1" applyFont="1" applyFill="1" applyBorder="1" applyAlignment="1">
      <alignment horizontal="right" vertical="center"/>
    </xf>
    <xf numFmtId="3" fontId="18" fillId="0" borderId="49" xfId="104" applyNumberFormat="1" applyFont="1" applyFill="1" applyBorder="1" applyAlignment="1">
      <alignment horizontal="right" vertical="center"/>
    </xf>
    <xf numFmtId="3" fontId="31" fillId="0" borderId="35" xfId="105" applyNumberFormat="1" applyFont="1" applyFill="1" applyBorder="1" applyAlignment="1">
      <alignment vertical="center"/>
    </xf>
    <xf numFmtId="3" fontId="14" fillId="58" borderId="23" xfId="107" applyNumberFormat="1" applyFont="1" applyFill="1" applyBorder="1" applyAlignment="1">
      <alignment vertical="center"/>
      <protection/>
    </xf>
    <xf numFmtId="0" fontId="45" fillId="0" borderId="35" xfId="108" applyFont="1" applyBorder="1" applyAlignment="1" applyProtection="1">
      <alignment horizontal="left" vertical="center"/>
      <protection hidden="1"/>
    </xf>
    <xf numFmtId="3" fontId="39" fillId="0" borderId="35" xfId="68" applyNumberFormat="1" applyFont="1" applyBorder="1" applyAlignment="1" applyProtection="1">
      <alignment horizontal="right" vertical="center"/>
      <protection hidden="1"/>
    </xf>
    <xf numFmtId="4" fontId="15" fillId="0" borderId="0" xfId="107" applyNumberFormat="1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horizontal="center" vertical="center"/>
      <protection/>
    </xf>
    <xf numFmtId="0" fontId="44" fillId="0" borderId="52" xfId="96" applyFont="1" applyFill="1" applyBorder="1" applyAlignment="1" applyProtection="1">
      <alignment horizontal="center" vertical="center"/>
      <protection hidden="1"/>
    </xf>
    <xf numFmtId="3" fontId="44" fillId="0" borderId="125" xfId="96" applyNumberFormat="1" applyFont="1" applyBorder="1" applyAlignment="1">
      <alignment horizontal="right" vertical="center"/>
      <protection/>
    </xf>
    <xf numFmtId="3" fontId="44" fillId="0" borderId="66" xfId="96" applyNumberFormat="1" applyFont="1" applyBorder="1" applyAlignment="1">
      <alignment horizontal="right" vertical="center"/>
      <protection/>
    </xf>
    <xf numFmtId="0" fontId="44" fillId="54" borderId="116" xfId="96" applyFont="1" applyFill="1" applyBorder="1" applyAlignment="1" applyProtection="1">
      <alignment horizontal="center" vertical="center"/>
      <protection hidden="1"/>
    </xf>
    <xf numFmtId="0" fontId="44" fillId="54" borderId="135" xfId="96" applyFont="1" applyFill="1" applyBorder="1" applyAlignment="1">
      <alignment vertical="center"/>
      <protection/>
    </xf>
    <xf numFmtId="3" fontId="44" fillId="54" borderId="0" xfId="96" applyNumberFormat="1" applyFont="1" applyFill="1" applyBorder="1" applyAlignment="1">
      <alignment horizontal="right" vertical="center"/>
      <protection/>
    </xf>
    <xf numFmtId="3" fontId="44" fillId="54" borderId="49" xfId="96" applyNumberFormat="1" applyFont="1" applyFill="1" applyBorder="1" applyAlignment="1">
      <alignment horizontal="right" vertical="center"/>
      <protection/>
    </xf>
    <xf numFmtId="3" fontId="44" fillId="54" borderId="67" xfId="96" applyNumberFormat="1" applyFont="1" applyFill="1" applyBorder="1" applyAlignment="1">
      <alignment horizontal="right" vertical="center"/>
      <protection/>
    </xf>
    <xf numFmtId="3" fontId="44" fillId="54" borderId="25" xfId="96" applyNumberFormat="1" applyFont="1" applyFill="1" applyBorder="1" applyAlignment="1">
      <alignment horizontal="right" vertical="center"/>
      <protection/>
    </xf>
    <xf numFmtId="3" fontId="44" fillId="54" borderId="24" xfId="96" applyNumberFormat="1" applyFont="1" applyFill="1" applyBorder="1" applyAlignment="1">
      <alignment horizontal="right" vertical="center"/>
      <protection/>
    </xf>
    <xf numFmtId="0" fontId="46" fillId="62" borderId="24" xfId="96" applyFont="1" applyFill="1" applyBorder="1" applyAlignment="1" applyProtection="1">
      <alignment horizontal="center" vertical="center"/>
      <protection/>
    </xf>
    <xf numFmtId="0" fontId="46" fillId="62" borderId="24" xfId="96" applyFont="1" applyFill="1" applyBorder="1" applyAlignment="1" applyProtection="1">
      <alignment horizontal="center" vertical="center"/>
      <protection hidden="1"/>
    </xf>
    <xf numFmtId="0" fontId="45" fillId="0" borderId="30" xfId="108" applyFont="1" applyBorder="1" applyAlignment="1" applyProtection="1">
      <alignment horizontal="left" vertical="center"/>
      <protection hidden="1"/>
    </xf>
    <xf numFmtId="0" fontId="33" fillId="62" borderId="24" xfId="108" applyFont="1" applyFill="1" applyBorder="1" applyAlignment="1" applyProtection="1">
      <alignment vertical="center"/>
      <protection hidden="1"/>
    </xf>
    <xf numFmtId="0" fontId="39" fillId="0" borderId="86" xfId="108" applyFont="1" applyBorder="1" applyAlignment="1" applyProtection="1">
      <alignment horizontal="left" vertical="center"/>
      <protection hidden="1"/>
    </xf>
    <xf numFmtId="0" fontId="39" fillId="0" borderId="115" xfId="108" applyFont="1" applyBorder="1" applyAlignment="1" applyProtection="1">
      <alignment horizontal="left" vertical="center"/>
      <protection hidden="1"/>
    </xf>
    <xf numFmtId="3" fontId="12" fillId="53" borderId="40" xfId="105" applyNumberFormat="1" applyFont="1" applyFill="1" applyBorder="1" applyAlignment="1">
      <alignment vertical="center"/>
    </xf>
    <xf numFmtId="3" fontId="12" fillId="58" borderId="136" xfId="0" applyNumberFormat="1" applyFont="1" applyFill="1" applyBorder="1" applyAlignment="1">
      <alignment vertical="center"/>
    </xf>
    <xf numFmtId="3" fontId="12" fillId="53" borderId="43" xfId="105" applyNumberFormat="1" applyFont="1" applyFill="1" applyBorder="1" applyAlignment="1">
      <alignment vertical="center"/>
    </xf>
    <xf numFmtId="3" fontId="38" fillId="60" borderId="39" xfId="0" applyNumberFormat="1" applyFont="1" applyFill="1" applyBorder="1" applyAlignment="1">
      <alignment horizontal="right" vertical="center"/>
    </xf>
    <xf numFmtId="0" fontId="38" fillId="63" borderId="24" xfId="0" applyFont="1" applyFill="1" applyBorder="1" applyAlignment="1">
      <alignment horizontal="center" vertical="center"/>
    </xf>
    <xf numFmtId="3" fontId="31" fillId="45" borderId="34" xfId="0" applyNumberFormat="1" applyFont="1" applyFill="1" applyBorder="1" applyAlignment="1">
      <alignment horizontal="right" vertical="center"/>
    </xf>
    <xf numFmtId="3" fontId="38" fillId="63" borderId="24" xfId="113" applyNumberFormat="1" applyFont="1" applyFill="1" applyBorder="1" applyAlignment="1">
      <alignment vertical="center"/>
      <protection/>
    </xf>
    <xf numFmtId="3" fontId="31" fillId="0" borderId="48" xfId="0" applyNumberFormat="1" applyFont="1" applyFill="1" applyBorder="1" applyAlignment="1">
      <alignment horizontal="right" vertical="center"/>
    </xf>
    <xf numFmtId="3" fontId="38" fillId="0" borderId="48" xfId="0" applyNumberFormat="1" applyFont="1" applyFill="1" applyBorder="1" applyAlignment="1">
      <alignment horizontal="right" vertical="center"/>
    </xf>
    <xf numFmtId="0" fontId="44" fillId="0" borderId="55" xfId="96" applyFont="1" applyFill="1" applyBorder="1" applyAlignment="1">
      <alignment vertical="center"/>
      <protection/>
    </xf>
    <xf numFmtId="0" fontId="44" fillId="0" borderId="66" xfId="96" applyFont="1" applyFill="1" applyBorder="1" applyAlignment="1">
      <alignment vertical="center"/>
      <protection/>
    </xf>
    <xf numFmtId="0" fontId="44" fillId="0" borderId="62" xfId="96" applyFont="1" applyFill="1" applyBorder="1" applyAlignment="1">
      <alignment vertical="center"/>
      <protection/>
    </xf>
    <xf numFmtId="0" fontId="45" fillId="0" borderId="55" xfId="96" applyFont="1" applyFill="1" applyBorder="1" applyAlignment="1">
      <alignment vertical="center"/>
      <protection/>
    </xf>
    <xf numFmtId="0" fontId="45" fillId="0" borderId="66" xfId="96" applyFont="1" applyFill="1" applyBorder="1" applyAlignment="1">
      <alignment vertical="center"/>
      <protection/>
    </xf>
    <xf numFmtId="0" fontId="44" fillId="0" borderId="43" xfId="96" applyFont="1" applyFill="1" applyBorder="1" applyAlignment="1">
      <alignment vertical="center"/>
      <protection/>
    </xf>
    <xf numFmtId="0" fontId="44" fillId="0" borderId="110" xfId="108" applyFont="1" applyFill="1" applyBorder="1" applyAlignment="1" applyProtection="1">
      <alignment horizontal="left" vertical="center"/>
      <protection hidden="1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22" xfId="0" applyNumberFormat="1" applyFont="1" applyFill="1" applyBorder="1" applyAlignment="1">
      <alignment vertical="center"/>
    </xf>
    <xf numFmtId="3" fontId="13" fillId="0" borderId="122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8" borderId="9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58" borderId="93" xfId="0" applyNumberFormat="1" applyFont="1" applyFill="1" applyBorder="1" applyAlignment="1">
      <alignment vertical="center"/>
    </xf>
    <xf numFmtId="3" fontId="13" fillId="49" borderId="66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8" borderId="38" xfId="0" applyNumberFormat="1" applyFont="1" applyFill="1" applyBorder="1" applyAlignment="1">
      <alignment vertical="center"/>
    </xf>
    <xf numFmtId="3" fontId="13" fillId="0" borderId="108" xfId="0" applyNumberFormat="1" applyFont="1" applyBorder="1" applyAlignment="1">
      <alignment vertical="center"/>
    </xf>
    <xf numFmtId="3" fontId="13" fillId="58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14" xfId="0" applyNumberFormat="1" applyFont="1" applyFill="1" applyBorder="1" applyAlignment="1">
      <alignment vertical="center"/>
    </xf>
    <xf numFmtId="0" fontId="8" fillId="49" borderId="75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06" xfId="0" applyFont="1" applyFill="1" applyBorder="1" applyAlignment="1">
      <alignment vertical="center"/>
    </xf>
    <xf numFmtId="0" fontId="8" fillId="49" borderId="107" xfId="0" applyFont="1" applyFill="1" applyBorder="1" applyAlignment="1">
      <alignment vertical="center"/>
    </xf>
    <xf numFmtId="0" fontId="8" fillId="49" borderId="108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6" xfId="0" applyNumberFormat="1" applyFont="1" applyFill="1" applyBorder="1" applyAlignment="1">
      <alignment vertical="center"/>
    </xf>
    <xf numFmtId="3" fontId="13" fillId="50" borderId="121" xfId="0" applyNumberFormat="1" applyFont="1" applyFill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3" fontId="13" fillId="50" borderId="93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3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3" fontId="8" fillId="0" borderId="8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3" fontId="13" fillId="50" borderId="114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5" fillId="0" borderId="24" xfId="96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3" fillId="59" borderId="47" xfId="0" applyNumberFormat="1" applyFont="1" applyFill="1" applyBorder="1" applyAlignment="1">
      <alignment horizontal="right" vertical="center"/>
    </xf>
    <xf numFmtId="3" fontId="14" fillId="58" borderId="28" xfId="0" applyNumberFormat="1" applyFont="1" applyFill="1" applyBorder="1" applyAlignment="1">
      <alignment vertical="center"/>
    </xf>
    <xf numFmtId="3" fontId="14" fillId="54" borderId="121" xfId="107" applyNumberFormat="1" applyFont="1" applyFill="1" applyBorder="1" applyAlignment="1">
      <alignment vertical="center"/>
      <protection/>
    </xf>
    <xf numFmtId="0" fontId="19" fillId="50" borderId="38" xfId="107" applyFont="1" applyFill="1" applyBorder="1" applyAlignment="1">
      <alignment horizontal="center" vertical="center"/>
      <protection/>
    </xf>
    <xf numFmtId="0" fontId="19" fillId="50" borderId="28" xfId="107" applyFont="1" applyFill="1" applyBorder="1" applyAlignment="1">
      <alignment horizontal="center" vertical="center"/>
      <protection/>
    </xf>
    <xf numFmtId="3" fontId="44" fillId="0" borderId="24" xfId="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5" fillId="0" borderId="115" xfId="108" applyFont="1" applyBorder="1" applyAlignment="1" applyProtection="1">
      <alignment horizontal="left" vertical="center"/>
      <protection hidden="1"/>
    </xf>
    <xf numFmtId="0" fontId="12" fillId="58" borderId="137" xfId="0" applyFont="1" applyFill="1" applyBorder="1" applyAlignment="1">
      <alignment horizontal="center" vertical="center"/>
    </xf>
    <xf numFmtId="0" fontId="12" fillId="53" borderId="40" xfId="0" applyFont="1" applyFill="1" applyBorder="1" applyAlignment="1">
      <alignment horizontal="center" vertical="center"/>
    </xf>
    <xf numFmtId="3" fontId="38" fillId="58" borderId="136" xfId="0" applyNumberFormat="1" applyFont="1" applyFill="1" applyBorder="1" applyAlignment="1">
      <alignment horizontal="right" vertical="center"/>
    </xf>
    <xf numFmtId="3" fontId="14" fillId="58" borderId="97" xfId="0" applyNumberFormat="1" applyFont="1" applyFill="1" applyBorder="1" applyAlignment="1">
      <alignment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2" xfId="0" applyFont="1" applyFill="1" applyBorder="1" applyAlignment="1">
      <alignment vertical="center"/>
    </xf>
    <xf numFmtId="3" fontId="14" fillId="58" borderId="38" xfId="0" applyNumberFormat="1" applyFont="1" applyFill="1" applyBorder="1" applyAlignment="1">
      <alignment vertical="center"/>
    </xf>
    <xf numFmtId="3" fontId="45" fillId="0" borderId="36" xfId="68" applyNumberFormat="1" applyFont="1" applyBorder="1" applyAlignment="1" applyProtection="1">
      <alignment horizontal="right" vertical="center"/>
      <protection hidden="1"/>
    </xf>
    <xf numFmtId="3" fontId="45" fillId="0" borderId="127" xfId="68" applyNumberFormat="1" applyFont="1" applyBorder="1" applyAlignment="1" applyProtection="1">
      <alignment horizontal="right" vertical="center"/>
      <protection hidden="1"/>
    </xf>
    <xf numFmtId="0" fontId="152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vertical="center"/>
    </xf>
    <xf numFmtId="3" fontId="145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64" borderId="50" xfId="0" applyFont="1" applyFill="1" applyBorder="1" applyAlignment="1">
      <alignment horizontal="center" vertical="center"/>
    </xf>
    <xf numFmtId="3" fontId="38" fillId="64" borderId="49" xfId="0" applyNumberFormat="1" applyFont="1" applyFill="1" applyBorder="1" applyAlignment="1">
      <alignment horizontal="right" vertical="center"/>
    </xf>
    <xf numFmtId="0" fontId="45" fillId="0" borderId="26" xfId="108" applyFont="1" applyBorder="1" applyAlignment="1" applyProtection="1">
      <alignment horizontal="center" vertical="top"/>
      <protection hidden="1"/>
    </xf>
    <xf numFmtId="0" fontId="12" fillId="0" borderId="50" xfId="107" applyFont="1" applyFill="1" applyBorder="1" applyAlignment="1">
      <alignment vertical="center"/>
      <protection/>
    </xf>
    <xf numFmtId="3" fontId="17" fillId="0" borderId="26" xfId="106" applyNumberFormat="1" applyFont="1" applyFill="1" applyBorder="1" applyAlignment="1">
      <alignment horizontal="right" vertical="center"/>
    </xf>
    <xf numFmtId="0" fontId="19" fillId="50" borderId="25" xfId="0" applyFont="1" applyFill="1" applyBorder="1" applyAlignment="1">
      <alignment horizontal="center" vertical="center"/>
    </xf>
    <xf numFmtId="0" fontId="16" fillId="49" borderId="125" xfId="0" applyFont="1" applyFill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114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18" fillId="0" borderId="53" xfId="104" applyNumberFormat="1" applyFont="1" applyFill="1" applyBorder="1" applyAlignment="1">
      <alignment horizontal="right" vertical="center"/>
    </xf>
    <xf numFmtId="3" fontId="38" fillId="0" borderId="53" xfId="0" applyNumberFormat="1" applyFont="1" applyFill="1" applyBorder="1" applyAlignment="1">
      <alignment horizontal="right" vertical="center"/>
    </xf>
    <xf numFmtId="3" fontId="31" fillId="0" borderId="23" xfId="105" applyNumberFormat="1" applyFont="1" applyFill="1" applyBorder="1" applyAlignment="1">
      <alignment vertical="center"/>
    </xf>
    <xf numFmtId="3" fontId="31" fillId="0" borderId="35" xfId="0" applyNumberFormat="1" applyFont="1" applyFill="1" applyBorder="1" applyAlignment="1">
      <alignment vertical="center"/>
    </xf>
    <xf numFmtId="3" fontId="38" fillId="0" borderId="23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38" fillId="54" borderId="25" xfId="110" applyFont="1" applyFill="1" applyBorder="1" applyAlignment="1">
      <alignment horizontal="center" vertical="center"/>
      <protection/>
    </xf>
    <xf numFmtId="0" fontId="38" fillId="54" borderId="39" xfId="110" applyFont="1" applyFill="1" applyBorder="1" applyAlignment="1">
      <alignment horizontal="center" vertical="center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31" fillId="0" borderId="31" xfId="111" applyFont="1" applyBorder="1" applyAlignment="1">
      <alignment horizontal="left" vertical="center" wrapText="1"/>
      <protection/>
    </xf>
    <xf numFmtId="0" fontId="31" fillId="0" borderId="85" xfId="111" applyFont="1" applyBorder="1" applyAlignment="1">
      <alignment horizontal="left" vertical="center" wrapText="1"/>
      <protection/>
    </xf>
    <xf numFmtId="0" fontId="17" fillId="0" borderId="50" xfId="107" applyFont="1" applyFill="1" applyBorder="1" applyAlignment="1">
      <alignment horizontal="left" vertical="center"/>
      <protection/>
    </xf>
    <xf numFmtId="0" fontId="17" fillId="0" borderId="122" xfId="107" applyFont="1" applyFill="1" applyBorder="1" applyAlignment="1">
      <alignment horizontal="left" vertical="center"/>
      <protection/>
    </xf>
    <xf numFmtId="3" fontId="14" fillId="58" borderId="67" xfId="107" applyNumberFormat="1" applyFont="1" applyFill="1" applyBorder="1" applyAlignment="1">
      <alignment horizontal="right" vertical="center"/>
      <protection/>
    </xf>
    <xf numFmtId="3" fontId="14" fillId="58" borderId="55" xfId="107" applyNumberFormat="1" applyFont="1" applyFill="1" applyBorder="1" applyAlignment="1">
      <alignment horizontal="right" vertical="center"/>
      <protection/>
    </xf>
    <xf numFmtId="3" fontId="14" fillId="53" borderId="107" xfId="107" applyNumberFormat="1" applyFont="1" applyFill="1" applyBorder="1" applyAlignment="1">
      <alignment vertical="center"/>
      <protection/>
    </xf>
    <xf numFmtId="3" fontId="14" fillId="53" borderId="131" xfId="107" applyNumberFormat="1" applyFont="1" applyFill="1" applyBorder="1" applyAlignment="1">
      <alignment vertical="center"/>
      <protection/>
    </xf>
    <xf numFmtId="3" fontId="14" fillId="53" borderId="116" xfId="107" applyNumberFormat="1" applyFont="1" applyFill="1" applyBorder="1" applyAlignment="1">
      <alignment horizontal="right" vertical="center"/>
      <protection/>
    </xf>
    <xf numFmtId="3" fontId="14" fillId="53" borderId="121" xfId="107" applyNumberFormat="1" applyFont="1" applyFill="1" applyBorder="1" applyAlignment="1">
      <alignment horizontal="right" vertical="center"/>
      <protection/>
    </xf>
    <xf numFmtId="3" fontId="14" fillId="53" borderId="113" xfId="107" applyNumberFormat="1" applyFont="1" applyFill="1" applyBorder="1" applyAlignment="1">
      <alignment horizontal="right" vertical="center"/>
      <protection/>
    </xf>
    <xf numFmtId="3" fontId="17" fillId="0" borderId="33" xfId="107" applyNumberFormat="1" applyFont="1" applyFill="1" applyBorder="1" applyAlignment="1">
      <alignment horizontal="right" vertical="center"/>
      <protection/>
    </xf>
    <xf numFmtId="3" fontId="17" fillId="0" borderId="22" xfId="107" applyNumberFormat="1" applyFont="1" applyFill="1" applyBorder="1" applyAlignment="1">
      <alignment horizontal="right" vertical="center"/>
      <protection/>
    </xf>
    <xf numFmtId="3" fontId="17" fillId="0" borderId="19" xfId="107" applyNumberFormat="1" applyFont="1" applyFill="1" applyBorder="1" applyAlignment="1">
      <alignment horizontal="right" vertical="center"/>
      <protection/>
    </xf>
    <xf numFmtId="3" fontId="17" fillId="0" borderId="20" xfId="107" applyNumberFormat="1" applyFont="1" applyFill="1" applyBorder="1" applyAlignment="1">
      <alignment horizontal="right" vertical="center"/>
      <protection/>
    </xf>
    <xf numFmtId="0" fontId="14" fillId="53" borderId="44" xfId="106" applyFont="1" applyFill="1" applyBorder="1" applyAlignment="1">
      <alignment vertical="center"/>
    </xf>
    <xf numFmtId="0" fontId="17" fillId="0" borderId="37" xfId="106" applyFont="1" applyFill="1" applyBorder="1" applyAlignment="1">
      <alignment vertical="center"/>
    </xf>
    <xf numFmtId="0" fontId="17" fillId="0" borderId="36" xfId="106" applyFont="1" applyFill="1" applyBorder="1" applyAlignment="1">
      <alignment vertical="center"/>
    </xf>
    <xf numFmtId="0" fontId="17" fillId="0" borderId="86" xfId="106" applyFont="1" applyFill="1" applyBorder="1" applyAlignment="1">
      <alignment vertical="center"/>
    </xf>
    <xf numFmtId="0" fontId="17" fillId="0" borderId="97" xfId="106" applyFont="1" applyFill="1" applyBorder="1" applyAlignment="1">
      <alignment vertical="center"/>
    </xf>
    <xf numFmtId="3" fontId="17" fillId="0" borderId="86" xfId="107" applyNumberFormat="1" applyFont="1" applyFill="1" applyBorder="1" applyAlignment="1">
      <alignment horizontal="right" vertical="center"/>
      <protection/>
    </xf>
    <xf numFmtId="3" fontId="14" fillId="53" borderId="74" xfId="107" applyNumberFormat="1" applyFont="1" applyFill="1" applyBorder="1" applyAlignment="1">
      <alignment horizontal="right" vertical="center"/>
      <protection/>
    </xf>
    <xf numFmtId="3" fontId="14" fillId="0" borderId="115" xfId="107" applyNumberFormat="1" applyFont="1" applyFill="1" applyBorder="1" applyAlignment="1">
      <alignment horizontal="right" vertical="center"/>
      <protection/>
    </xf>
    <xf numFmtId="3" fontId="14" fillId="0" borderId="113" xfId="107" applyNumberFormat="1" applyFont="1" applyFill="1" applyBorder="1" applyAlignment="1">
      <alignment horizontal="right" vertical="center"/>
      <protection/>
    </xf>
    <xf numFmtId="3" fontId="17" fillId="53" borderId="48" xfId="107" applyNumberFormat="1" applyFont="1" applyFill="1" applyBorder="1" applyAlignment="1">
      <alignment horizontal="right" vertical="center"/>
      <protection/>
    </xf>
    <xf numFmtId="0" fontId="31" fillId="0" borderId="31" xfId="111" applyFont="1" applyBorder="1" applyAlignment="1">
      <alignment vertical="center" wrapText="1"/>
      <protection/>
    </xf>
    <xf numFmtId="0" fontId="31" fillId="0" borderId="30" xfId="111" applyFont="1" applyBorder="1" applyAlignment="1">
      <alignment vertical="center" wrapText="1"/>
      <protection/>
    </xf>
    <xf numFmtId="0" fontId="31" fillId="0" borderId="86" xfId="111" applyFont="1" applyBorder="1" applyAlignment="1">
      <alignment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18" fillId="0" borderId="34" xfId="104" applyNumberFormat="1" applyFont="1" applyFill="1" applyBorder="1" applyAlignment="1">
      <alignment horizontal="right" vertical="center"/>
    </xf>
    <xf numFmtId="3" fontId="38" fillId="54" borderId="23" xfId="0" applyNumberFormat="1" applyFont="1" applyFill="1" applyBorder="1" applyAlignment="1">
      <alignment horizontal="right" vertical="center"/>
    </xf>
    <xf numFmtId="3" fontId="31" fillId="0" borderId="127" xfId="0" applyNumberFormat="1" applyFont="1" applyFill="1" applyBorder="1" applyAlignment="1">
      <alignment horizontal="right" vertical="center"/>
    </xf>
    <xf numFmtId="0" fontId="38" fillId="60" borderId="38" xfId="0" applyFont="1" applyFill="1" applyBorder="1" applyAlignment="1">
      <alignment horizontal="center" vertical="center"/>
    </xf>
    <xf numFmtId="3" fontId="38" fillId="60" borderId="24" xfId="0" applyNumberFormat="1" applyFont="1" applyFill="1" applyBorder="1" applyAlignment="1">
      <alignment horizontal="right" vertical="center"/>
    </xf>
    <xf numFmtId="0" fontId="38" fillId="53" borderId="23" xfId="0" applyFont="1" applyFill="1" applyBorder="1" applyAlignment="1">
      <alignment horizontal="center" vertical="center"/>
    </xf>
    <xf numFmtId="3" fontId="31" fillId="0" borderId="119" xfId="0" applyNumberFormat="1" applyFont="1" applyFill="1" applyBorder="1" applyAlignment="1">
      <alignment vertical="center"/>
    </xf>
    <xf numFmtId="3" fontId="45" fillId="0" borderId="66" xfId="68" applyNumberFormat="1" applyFont="1" applyBorder="1" applyAlignment="1" applyProtection="1">
      <alignment horizontal="right" vertical="center"/>
      <protection hidden="1"/>
    </xf>
    <xf numFmtId="3" fontId="39" fillId="0" borderId="55" xfId="108" applyNumberFormat="1" applyFont="1" applyBorder="1" applyAlignment="1" applyProtection="1">
      <alignment horizontal="right" vertical="center"/>
      <protection hidden="1"/>
    </xf>
    <xf numFmtId="3" fontId="45" fillId="0" borderId="55" xfId="108" applyNumberFormat="1" applyFont="1" applyBorder="1" applyAlignment="1" applyProtection="1">
      <alignment horizontal="right" vertical="center"/>
      <protection hidden="1"/>
    </xf>
    <xf numFmtId="3" fontId="44" fillId="0" borderId="62" xfId="68" applyNumberFormat="1" applyFont="1" applyBorder="1" applyAlignment="1" applyProtection="1">
      <alignment horizontal="right" vertical="center"/>
      <protection hidden="1"/>
    </xf>
    <xf numFmtId="0" fontId="45" fillId="0" borderId="87" xfId="108" applyFont="1" applyBorder="1" applyAlignment="1" applyProtection="1">
      <alignment horizontal="left" vertical="center"/>
      <protection hidden="1"/>
    </xf>
    <xf numFmtId="3" fontId="45" fillId="0" borderId="118" xfId="108" applyNumberFormat="1" applyFont="1" applyBorder="1" applyAlignment="1" applyProtection="1">
      <alignment horizontal="right" vertical="center"/>
      <protection hidden="1"/>
    </xf>
    <xf numFmtId="0" fontId="45" fillId="0" borderId="127" xfId="108" applyFont="1" applyBorder="1" applyAlignment="1" applyProtection="1">
      <alignment horizontal="left" vertical="center"/>
      <protection hidden="1"/>
    </xf>
    <xf numFmtId="0" fontId="44" fillId="0" borderId="48" xfId="108" applyFont="1" applyBorder="1" applyAlignment="1" applyProtection="1">
      <alignment horizontal="left" vertical="center"/>
      <protection hidden="1"/>
    </xf>
    <xf numFmtId="0" fontId="38" fillId="54" borderId="38" xfId="110" applyFont="1" applyFill="1" applyBorder="1" applyAlignment="1">
      <alignment horizontal="left" vertical="center"/>
      <protection/>
    </xf>
    <xf numFmtId="3" fontId="39" fillId="0" borderId="35" xfId="108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8" borderId="25" xfId="0" applyNumberFormat="1" applyFont="1" applyFill="1" applyBorder="1" applyAlignment="1">
      <alignment vertical="center"/>
    </xf>
    <xf numFmtId="3" fontId="13" fillId="58" borderId="114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8" fillId="49" borderId="138" xfId="0" applyNumberFormat="1" applyFont="1" applyFill="1" applyBorder="1" applyAlignment="1">
      <alignment vertical="center"/>
    </xf>
    <xf numFmtId="3" fontId="8" fillId="49" borderId="139" xfId="0" applyNumberFormat="1" applyFont="1" applyFill="1" applyBorder="1" applyAlignment="1">
      <alignment vertical="center"/>
    </xf>
    <xf numFmtId="3" fontId="13" fillId="49" borderId="140" xfId="0" applyNumberFormat="1" applyFont="1" applyFill="1" applyBorder="1" applyAlignment="1">
      <alignment vertical="center"/>
    </xf>
    <xf numFmtId="3" fontId="13" fillId="0" borderId="111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28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1" xfId="0" applyNumberFormat="1" applyFont="1" applyFill="1" applyBorder="1" applyAlignment="1">
      <alignment vertical="center"/>
    </xf>
    <xf numFmtId="3" fontId="8" fillId="49" borderId="113" xfId="0" applyNumberFormat="1" applyFont="1" applyFill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5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13" fillId="58" borderId="113" xfId="0" applyNumberFormat="1" applyFont="1" applyFill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13" fillId="0" borderId="142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5" xfId="0" applyNumberFormat="1" applyFont="1" applyFill="1" applyBorder="1" applyAlignment="1">
      <alignment vertical="center"/>
    </xf>
    <xf numFmtId="3" fontId="8" fillId="0" borderId="107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38" fillId="0" borderId="82" xfId="0" applyNumberFormat="1" applyFont="1" applyFill="1" applyBorder="1" applyAlignment="1">
      <alignment horizontal="right" vertical="center"/>
    </xf>
    <xf numFmtId="3" fontId="38" fillId="0" borderId="55" xfId="105" applyNumberFormat="1" applyFont="1" applyFill="1" applyBorder="1" applyAlignment="1">
      <alignment horizontal="right" vertical="center"/>
    </xf>
    <xf numFmtId="3" fontId="38" fillId="54" borderId="39" xfId="0" applyNumberFormat="1" applyFont="1" applyFill="1" applyBorder="1" applyAlignment="1">
      <alignment horizontal="right" vertical="center"/>
    </xf>
    <xf numFmtId="3" fontId="31" fillId="0" borderId="62" xfId="0" applyNumberFormat="1" applyFont="1" applyFill="1" applyBorder="1" applyAlignment="1">
      <alignment horizontal="right" vertical="center"/>
    </xf>
    <xf numFmtId="3" fontId="31" fillId="0" borderId="82" xfId="0" applyNumberFormat="1" applyFont="1" applyFill="1" applyBorder="1" applyAlignment="1">
      <alignment horizontal="right" vertical="center"/>
    </xf>
    <xf numFmtId="3" fontId="31" fillId="0" borderId="67" xfId="0" applyNumberFormat="1" applyFont="1" applyFill="1" applyBorder="1" applyAlignment="1">
      <alignment horizontal="right" vertical="center"/>
    </xf>
    <xf numFmtId="3" fontId="38" fillId="53" borderId="39" xfId="105" applyNumberFormat="1" applyFont="1" applyFill="1" applyBorder="1" applyAlignment="1">
      <alignment vertical="center"/>
    </xf>
    <xf numFmtId="3" fontId="38" fillId="0" borderId="119" xfId="105" applyNumberFormat="1" applyFont="1" applyFill="1" applyBorder="1" applyAlignment="1">
      <alignment horizontal="right" vertical="center"/>
    </xf>
    <xf numFmtId="3" fontId="38" fillId="0" borderId="67" xfId="105" applyNumberFormat="1" applyFont="1" applyFill="1" applyBorder="1" applyAlignment="1">
      <alignment vertical="center"/>
    </xf>
    <xf numFmtId="3" fontId="38" fillId="58" borderId="39" xfId="0" applyNumberFormat="1" applyFont="1" applyFill="1" applyBorder="1" applyAlignment="1">
      <alignment horizontal="right" vertical="center"/>
    </xf>
    <xf numFmtId="3" fontId="38" fillId="54" borderId="140" xfId="0" applyNumberFormat="1" applyFont="1" applyFill="1" applyBorder="1" applyAlignment="1">
      <alignment horizontal="right" vertical="center"/>
    </xf>
    <xf numFmtId="3" fontId="31" fillId="0" borderId="35" xfId="104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39" xfId="0" applyFont="1" applyFill="1" applyBorder="1" applyAlignment="1">
      <alignment horizontal="center"/>
    </xf>
    <xf numFmtId="0" fontId="31" fillId="0" borderId="97" xfId="110" applyFont="1" applyBorder="1" applyAlignment="1">
      <alignment horizontal="center" vertical="center" wrapText="1"/>
      <protection/>
    </xf>
    <xf numFmtId="0" fontId="35" fillId="50" borderId="38" xfId="110" applyFont="1" applyFill="1" applyBorder="1" applyAlignment="1">
      <alignment horizontal="center" vertical="center"/>
      <protection/>
    </xf>
    <xf numFmtId="3" fontId="31" fillId="0" borderId="44" xfId="110" applyNumberFormat="1" applyFont="1" applyBorder="1" applyAlignment="1">
      <alignment vertical="center"/>
      <protection/>
    </xf>
    <xf numFmtId="3" fontId="31" fillId="0" borderId="37" xfId="110" applyNumberFormat="1" applyFont="1" applyBorder="1" applyAlignment="1">
      <alignment vertical="center"/>
      <protection/>
    </xf>
    <xf numFmtId="3" fontId="38" fillId="53" borderId="38" xfId="110" applyNumberFormat="1" applyFont="1" applyFill="1" applyBorder="1" applyAlignment="1">
      <alignment vertical="center"/>
      <protection/>
    </xf>
    <xf numFmtId="3" fontId="31" fillId="0" borderId="115" xfId="0" applyNumberFormat="1" applyFont="1" applyFill="1" applyBorder="1" applyAlignment="1">
      <alignment vertical="center"/>
    </xf>
    <xf numFmtId="3" fontId="38" fillId="54" borderId="25" xfId="110" applyNumberFormat="1" applyFont="1" applyFill="1" applyBorder="1" applyAlignment="1">
      <alignment vertical="center"/>
      <protection/>
    </xf>
    <xf numFmtId="0" fontId="31" fillId="0" borderId="88" xfId="110" applyFont="1" applyBorder="1" applyAlignment="1">
      <alignment horizontal="center" vertical="center" wrapText="1"/>
      <protection/>
    </xf>
    <xf numFmtId="0" fontId="31" fillId="0" borderId="80" xfId="110" applyFont="1" applyBorder="1" applyAlignment="1">
      <alignment horizontal="center" vertical="center" wrapText="1"/>
      <protection/>
    </xf>
    <xf numFmtId="0" fontId="35" fillId="50" borderId="88" xfId="110" applyFont="1" applyFill="1" applyBorder="1" applyAlignment="1">
      <alignment horizontal="center" vertical="center"/>
      <protection/>
    </xf>
    <xf numFmtId="3" fontId="38" fillId="53" borderId="29" xfId="110" applyNumberFormat="1" applyFont="1" applyFill="1" applyBorder="1" applyAlignment="1">
      <alignment vertical="center"/>
      <protection/>
    </xf>
    <xf numFmtId="3" fontId="38" fillId="54" borderId="29" xfId="110" applyNumberFormat="1" applyFont="1" applyFill="1" applyBorder="1" applyAlignment="1">
      <alignment vertical="center"/>
      <protection/>
    </xf>
    <xf numFmtId="0" fontId="31" fillId="0" borderId="113" xfId="110" applyFont="1" applyBorder="1" applyAlignment="1">
      <alignment horizontal="center" vertical="center" wrapText="1"/>
      <protection/>
    </xf>
    <xf numFmtId="3" fontId="31" fillId="0" borderId="74" xfId="110" applyNumberFormat="1" applyFont="1" applyBorder="1" applyAlignment="1">
      <alignment vertical="center"/>
      <protection/>
    </xf>
    <xf numFmtId="3" fontId="31" fillId="0" borderId="119" xfId="110" applyNumberFormat="1" applyFont="1" applyBorder="1" applyAlignment="1">
      <alignment vertical="center"/>
      <protection/>
    </xf>
    <xf numFmtId="3" fontId="38" fillId="54" borderId="46" xfId="110" applyNumberFormat="1" applyFont="1" applyFill="1" applyBorder="1" applyAlignment="1">
      <alignment vertical="center"/>
      <protection/>
    </xf>
    <xf numFmtId="0" fontId="19" fillId="50" borderId="25" xfId="107" applyFont="1" applyFill="1" applyBorder="1" applyAlignment="1">
      <alignment horizontal="center" vertical="center"/>
      <protection/>
    </xf>
    <xf numFmtId="3" fontId="17" fillId="53" borderId="74" xfId="106" applyNumberFormat="1" applyFont="1" applyFill="1" applyBorder="1" applyAlignment="1">
      <alignment horizontal="right" vertical="center"/>
    </xf>
    <xf numFmtId="3" fontId="17" fillId="0" borderId="113" xfId="107" applyNumberFormat="1" applyFont="1" applyFill="1" applyBorder="1" applyAlignment="1">
      <alignment horizontal="right" vertical="center"/>
      <protection/>
    </xf>
    <xf numFmtId="3" fontId="14" fillId="53" borderId="42" xfId="107" applyNumberFormat="1" applyFont="1" applyFill="1" applyBorder="1" applyAlignment="1">
      <alignment vertical="center"/>
      <protection/>
    </xf>
    <xf numFmtId="3" fontId="17" fillId="0" borderId="123" xfId="107" applyNumberFormat="1" applyFont="1" applyFill="1" applyBorder="1" applyAlignment="1">
      <alignment horizontal="right" vertical="center"/>
      <protection/>
    </xf>
    <xf numFmtId="3" fontId="17" fillId="0" borderId="126" xfId="107" applyNumberFormat="1" applyFont="1" applyFill="1" applyBorder="1" applyAlignment="1">
      <alignment horizontal="right" vertical="center"/>
      <protection/>
    </xf>
    <xf numFmtId="3" fontId="14" fillId="54" borderId="113" xfId="107" applyNumberFormat="1" applyFont="1" applyFill="1" applyBorder="1" applyAlignment="1">
      <alignment vertical="center"/>
      <protection/>
    </xf>
    <xf numFmtId="0" fontId="19" fillId="50" borderId="29" xfId="107" applyFont="1" applyFill="1" applyBorder="1" applyAlignment="1">
      <alignment horizontal="center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76" xfId="107" applyNumberFormat="1" applyFont="1" applyFill="1" applyBorder="1" applyAlignment="1">
      <alignment horizontal="right" vertical="center"/>
      <protection/>
    </xf>
    <xf numFmtId="3" fontId="17" fillId="0" borderId="76" xfId="107" applyNumberFormat="1" applyFont="1" applyFill="1" applyBorder="1" applyAlignment="1">
      <alignment horizontal="right" vertical="center"/>
      <protection/>
    </xf>
    <xf numFmtId="3" fontId="17" fillId="53" borderId="32" xfId="106" applyNumberFormat="1" applyFont="1" applyFill="1" applyBorder="1" applyAlignment="1">
      <alignment horizontal="right" vertical="center"/>
    </xf>
    <xf numFmtId="3" fontId="17" fillId="0" borderId="135" xfId="107" applyNumberFormat="1" applyFont="1" applyFill="1" applyBorder="1" applyAlignment="1">
      <alignment horizontal="right" vertical="center"/>
      <protection/>
    </xf>
    <xf numFmtId="3" fontId="14" fillId="53" borderId="135" xfId="107" applyNumberFormat="1" applyFont="1" applyFill="1" applyBorder="1" applyAlignment="1">
      <alignment horizontal="right" vertical="center"/>
      <protection/>
    </xf>
    <xf numFmtId="3" fontId="14" fillId="54" borderId="135" xfId="107" applyNumberFormat="1" applyFont="1" applyFill="1" applyBorder="1" applyAlignment="1">
      <alignment vertical="center"/>
      <protection/>
    </xf>
    <xf numFmtId="3" fontId="14" fillId="53" borderId="29" xfId="107" applyNumberFormat="1" applyFont="1" applyFill="1" applyBorder="1" applyAlignment="1">
      <alignment vertical="center"/>
      <protection/>
    </xf>
    <xf numFmtId="0" fontId="18" fillId="45" borderId="30" xfId="0" applyFont="1" applyFill="1" applyBorder="1" applyAlignment="1" applyProtection="1">
      <alignment horizontal="left" vertical="center" wrapText="1"/>
      <protection locked="0"/>
    </xf>
    <xf numFmtId="3" fontId="12" fillId="0" borderId="34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31" fillId="0" borderId="49" xfId="105" applyNumberFormat="1" applyFont="1" applyBorder="1" applyAlignment="1">
      <alignment vertical="center"/>
    </xf>
    <xf numFmtId="3" fontId="31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38" fillId="0" borderId="48" xfId="105" applyNumberFormat="1" applyFont="1" applyFill="1" applyBorder="1" applyAlignment="1">
      <alignment vertical="center"/>
    </xf>
    <xf numFmtId="3" fontId="31" fillId="0" borderId="48" xfId="105" applyNumberFormat="1" applyFont="1" applyFill="1" applyBorder="1" applyAlignment="1">
      <alignment vertical="center"/>
    </xf>
    <xf numFmtId="3" fontId="38" fillId="0" borderId="35" xfId="105" applyNumberFormat="1" applyFont="1" applyFill="1" applyBorder="1" applyAlignment="1">
      <alignment vertical="center"/>
    </xf>
    <xf numFmtId="3" fontId="31" fillId="0" borderId="34" xfId="68" applyNumberFormat="1" applyFont="1" applyFill="1" applyBorder="1" applyAlignment="1">
      <alignment horizontal="right" vertical="center"/>
    </xf>
    <xf numFmtId="3" fontId="31" fillId="0" borderId="35" xfId="68" applyNumberFormat="1" applyFont="1" applyFill="1" applyBorder="1" applyAlignment="1">
      <alignment horizontal="right" vertical="center"/>
    </xf>
    <xf numFmtId="3" fontId="31" fillId="0" borderId="49" xfId="0" applyNumberFormat="1" applyFont="1" applyFill="1" applyBorder="1" applyAlignment="1">
      <alignment horizontal="right" vertical="center"/>
    </xf>
    <xf numFmtId="3" fontId="31" fillId="0" borderId="48" xfId="105" applyNumberFormat="1" applyFont="1" applyBorder="1" applyAlignment="1">
      <alignment vertical="center"/>
    </xf>
    <xf numFmtId="3" fontId="153" fillId="0" borderId="34" xfId="0" applyNumberFormat="1" applyFont="1" applyBorder="1" applyAlignment="1">
      <alignment horizontal="right" vertical="center"/>
    </xf>
    <xf numFmtId="3" fontId="31" fillId="45" borderId="82" xfId="0" applyNumberFormat="1" applyFont="1" applyFill="1" applyBorder="1" applyAlignment="1">
      <alignment horizontal="right" vertical="center"/>
    </xf>
    <xf numFmtId="3" fontId="31" fillId="45" borderId="55" xfId="0" applyNumberFormat="1" applyFont="1" applyFill="1" applyBorder="1" applyAlignment="1">
      <alignment horizontal="right" vertical="center"/>
    </xf>
    <xf numFmtId="3" fontId="31" fillId="0" borderId="35" xfId="0" applyNumberFormat="1" applyFont="1" applyBorder="1" applyAlignment="1">
      <alignment vertical="center" wrapText="1"/>
    </xf>
    <xf numFmtId="3" fontId="31" fillId="0" borderId="35" xfId="0" applyNumberFormat="1" applyFont="1" applyBorder="1" applyAlignment="1">
      <alignment horizontal="right" vertical="center"/>
    </xf>
    <xf numFmtId="3" fontId="31" fillId="0" borderId="0" xfId="110" applyNumberFormat="1" applyFont="1" applyBorder="1" applyAlignment="1">
      <alignment vertical="center"/>
      <protection/>
    </xf>
    <xf numFmtId="3" fontId="31" fillId="0" borderId="90" xfId="110" applyNumberFormat="1" applyFont="1" applyBorder="1" applyAlignment="1">
      <alignment vertical="center"/>
      <protection/>
    </xf>
    <xf numFmtId="0" fontId="31" fillId="0" borderId="119" xfId="111" applyFont="1" applyBorder="1" applyAlignment="1">
      <alignment vertical="center" wrapText="1"/>
      <protection/>
    </xf>
    <xf numFmtId="0" fontId="31" fillId="0" borderId="27" xfId="111" applyFont="1" applyBorder="1" applyAlignment="1">
      <alignment vertical="center" wrapText="1"/>
      <protection/>
    </xf>
    <xf numFmtId="0" fontId="31" fillId="0" borderId="115" xfId="111" applyFont="1" applyBorder="1" applyAlignment="1">
      <alignment vertical="center" wrapText="1"/>
      <protection/>
    </xf>
    <xf numFmtId="3" fontId="31" fillId="0" borderId="49" xfId="104" applyNumberFormat="1" applyFont="1" applyFill="1" applyBorder="1" applyAlignment="1">
      <alignment horizontal="right" vertical="center"/>
    </xf>
    <xf numFmtId="3" fontId="45" fillId="0" borderId="55" xfId="108" applyNumberFormat="1" applyFont="1" applyFill="1" applyBorder="1" applyAlignment="1" applyProtection="1">
      <alignment horizontal="right" vertical="center"/>
      <protection hidden="1"/>
    </xf>
    <xf numFmtId="3" fontId="45" fillId="0" borderId="36" xfId="108" applyNumberFormat="1" applyFont="1" applyFill="1" applyBorder="1" applyAlignment="1" applyProtection="1">
      <alignment horizontal="right" vertical="center"/>
      <protection hidden="1"/>
    </xf>
    <xf numFmtId="3" fontId="45" fillId="0" borderId="0" xfId="108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5" fillId="0" borderId="34" xfId="96" applyFont="1" applyFill="1" applyBorder="1" applyAlignment="1">
      <alignment horizontal="center" vertical="center"/>
      <protection/>
    </xf>
    <xf numFmtId="3" fontId="45" fillId="0" borderId="125" xfId="108" applyNumberFormat="1" applyFont="1" applyFill="1" applyBorder="1" applyAlignment="1" applyProtection="1">
      <alignment horizontal="right" vertical="center"/>
      <protection hidden="1"/>
    </xf>
    <xf numFmtId="3" fontId="44" fillId="0" borderId="36" xfId="96" applyNumberFormat="1" applyFont="1" applyFill="1" applyBorder="1" applyAlignment="1">
      <alignment horizontal="right" vertical="center"/>
      <protection/>
    </xf>
    <xf numFmtId="0" fontId="17" fillId="0" borderId="34" xfId="107" applyFont="1" applyFill="1" applyBorder="1" applyAlignment="1">
      <alignment vertical="center" wrapText="1"/>
      <protection/>
    </xf>
    <xf numFmtId="0" fontId="19" fillId="50" borderId="39" xfId="0" applyFont="1" applyFill="1" applyBorder="1" applyAlignment="1">
      <alignment horizontal="center" vertical="center"/>
    </xf>
    <xf numFmtId="3" fontId="38" fillId="45" borderId="62" xfId="0" applyNumberFormat="1" applyFont="1" applyFill="1" applyBorder="1" applyAlignment="1">
      <alignment horizontal="right" vertical="center"/>
    </xf>
    <xf numFmtId="3" fontId="38" fillId="58" borderId="143" xfId="0" applyNumberFormat="1" applyFont="1" applyFill="1" applyBorder="1" applyAlignment="1">
      <alignment horizontal="right" vertical="center"/>
    </xf>
    <xf numFmtId="3" fontId="12" fillId="58" borderId="144" xfId="0" applyNumberFormat="1" applyFont="1" applyFill="1" applyBorder="1" applyAlignment="1">
      <alignment vertical="center"/>
    </xf>
    <xf numFmtId="3" fontId="12" fillId="9" borderId="70" xfId="0" applyNumberFormat="1" applyFont="1" applyFill="1" applyBorder="1" applyAlignment="1">
      <alignment horizontal="right" vertical="center"/>
    </xf>
    <xf numFmtId="3" fontId="12" fillId="54" borderId="65" xfId="0" applyNumberFormat="1" applyFont="1" applyFill="1" applyBorder="1" applyAlignment="1">
      <alignment vertical="center"/>
    </xf>
    <xf numFmtId="3" fontId="31" fillId="45" borderId="62" xfId="0" applyNumberFormat="1" applyFont="1" applyFill="1" applyBorder="1" applyAlignment="1">
      <alignment horizontal="right" vertical="center"/>
    </xf>
    <xf numFmtId="0" fontId="31" fillId="0" borderId="48" xfId="110" applyFont="1" applyBorder="1" applyAlignment="1">
      <alignment horizontal="center" vertical="center"/>
      <protection/>
    </xf>
    <xf numFmtId="3" fontId="17" fillId="0" borderId="36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2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3" fontId="17" fillId="45" borderId="3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/>
    </xf>
    <xf numFmtId="3" fontId="14" fillId="58" borderId="114" xfId="0" applyNumberFormat="1" applyFont="1" applyFill="1" applyBorder="1" applyAlignment="1">
      <alignment vertical="center"/>
    </xf>
    <xf numFmtId="3" fontId="14" fillId="58" borderId="93" xfId="0" applyNumberFormat="1" applyFont="1" applyFill="1" applyBorder="1" applyAlignment="1">
      <alignment vertical="center"/>
    </xf>
    <xf numFmtId="3" fontId="39" fillId="0" borderId="127" xfId="68" applyNumberFormat="1" applyFont="1" applyBorder="1" applyAlignment="1" applyProtection="1">
      <alignment horizontal="right" vertical="center"/>
      <protection hidden="1"/>
    </xf>
    <xf numFmtId="0" fontId="12" fillId="51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horizontal="right" vertical="center"/>
    </xf>
    <xf numFmtId="3" fontId="45" fillId="0" borderId="49" xfId="0" applyNumberFormat="1" applyFont="1" applyFill="1" applyBorder="1" applyAlignment="1">
      <alignment horizontal="right" vertical="center"/>
    </xf>
    <xf numFmtId="3" fontId="45" fillId="0" borderId="53" xfId="0" applyNumberFormat="1" applyFont="1" applyFill="1" applyBorder="1" applyAlignment="1">
      <alignment horizontal="right" vertical="center"/>
    </xf>
    <xf numFmtId="3" fontId="31" fillId="0" borderId="23" xfId="0" applyNumberFormat="1" applyFont="1" applyFill="1" applyBorder="1" applyAlignment="1">
      <alignment horizontal="right" vertical="center"/>
    </xf>
    <xf numFmtId="3" fontId="12" fillId="60" borderId="24" xfId="0" applyNumberFormat="1" applyFont="1" applyFill="1" applyBorder="1" applyAlignment="1">
      <alignment horizontal="right" vertical="center"/>
    </xf>
    <xf numFmtId="3" fontId="12" fillId="58" borderId="68" xfId="0" applyNumberFormat="1" applyFont="1" applyFill="1" applyBorder="1" applyAlignment="1">
      <alignment vertical="center"/>
    </xf>
    <xf numFmtId="3" fontId="12" fillId="58" borderId="143" xfId="0" applyNumberFormat="1" applyFont="1" applyFill="1" applyBorder="1" applyAlignment="1">
      <alignment vertical="center"/>
    </xf>
    <xf numFmtId="3" fontId="31" fillId="0" borderId="40" xfId="0" applyNumberFormat="1" applyFont="1" applyFill="1" applyBorder="1" applyAlignment="1">
      <alignment horizontal="right" vertical="center"/>
    </xf>
    <xf numFmtId="3" fontId="38" fillId="0" borderId="114" xfId="0" applyNumberFormat="1" applyFont="1" applyFill="1" applyBorder="1" applyAlignment="1">
      <alignment horizontal="right" vertical="center"/>
    </xf>
    <xf numFmtId="0" fontId="12" fillId="53" borderId="145" xfId="0" applyFont="1" applyFill="1" applyBorder="1" applyAlignment="1">
      <alignment horizontal="center" vertical="center"/>
    </xf>
    <xf numFmtId="3" fontId="12" fillId="60" borderId="145" xfId="0" applyNumberFormat="1" applyFont="1" applyFill="1" applyBorder="1" applyAlignment="1">
      <alignment horizontal="right" vertical="center"/>
    </xf>
    <xf numFmtId="3" fontId="12" fillId="53" borderId="145" xfId="105" applyNumberFormat="1" applyFont="1" applyFill="1" applyBorder="1" applyAlignment="1">
      <alignment vertical="center"/>
    </xf>
    <xf numFmtId="3" fontId="38" fillId="60" borderId="146" xfId="0" applyNumberFormat="1" applyFont="1" applyFill="1" applyBorder="1" applyAlignment="1">
      <alignment horizontal="right" vertical="center"/>
    </xf>
    <xf numFmtId="3" fontId="31" fillId="45" borderId="49" xfId="0" applyNumberFormat="1" applyFont="1" applyFill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1" fillId="45" borderId="49" xfId="0" applyNumberFormat="1" applyFont="1" applyFill="1" applyBorder="1" applyAlignment="1">
      <alignment horizontal="right" vertical="center"/>
    </xf>
    <xf numFmtId="0" fontId="0" fillId="45" borderId="0" xfId="0" applyFill="1" applyAlignment="1">
      <alignment horizontal="right" vertical="center"/>
    </xf>
    <xf numFmtId="0" fontId="153" fillId="0" borderId="34" xfId="0" applyFont="1" applyFill="1" applyBorder="1" applyAlignment="1">
      <alignment horizontal="right" vertical="center" wrapText="1"/>
    </xf>
    <xf numFmtId="3" fontId="31" fillId="0" borderId="49" xfId="68" applyNumberFormat="1" applyFont="1" applyFill="1" applyBorder="1" applyAlignment="1">
      <alignment horizontal="right" vertical="center"/>
    </xf>
    <xf numFmtId="3" fontId="31" fillId="45" borderId="48" xfId="0" applyNumberFormat="1" applyFont="1" applyFill="1" applyBorder="1" applyAlignment="1">
      <alignment horizontal="right" vertical="center"/>
    </xf>
    <xf numFmtId="3" fontId="31" fillId="45" borderId="34" xfId="0" applyNumberFormat="1" applyFont="1" applyFill="1" applyBorder="1" applyAlignment="1">
      <alignment horizontal="right" vertical="center"/>
    </xf>
    <xf numFmtId="3" fontId="31" fillId="0" borderId="55" xfId="105" applyNumberFormat="1" applyFont="1" applyFill="1" applyBorder="1" applyAlignment="1">
      <alignment horizontal="right" vertical="center"/>
    </xf>
    <xf numFmtId="3" fontId="31" fillId="0" borderId="66" xfId="105" applyNumberFormat="1" applyFont="1" applyFill="1" applyBorder="1" applyAlignment="1">
      <alignment horizontal="right" vertical="center"/>
    </xf>
    <xf numFmtId="3" fontId="31" fillId="0" borderId="62" xfId="105" applyNumberFormat="1" applyFont="1" applyFill="1" applyBorder="1" applyAlignment="1">
      <alignment horizontal="right" vertical="center"/>
    </xf>
    <xf numFmtId="3" fontId="31" fillId="0" borderId="67" xfId="105" applyNumberFormat="1" applyFont="1" applyFill="1" applyBorder="1" applyAlignment="1">
      <alignment horizontal="right" vertical="center"/>
    </xf>
    <xf numFmtId="3" fontId="31" fillId="0" borderId="35" xfId="104" applyNumberFormat="1" applyFont="1" applyFill="1" applyBorder="1" applyAlignment="1">
      <alignment vertical="center"/>
    </xf>
    <xf numFmtId="3" fontId="31" fillId="0" borderId="34" xfId="105" applyNumberFormat="1" applyFont="1" applyFill="1" applyBorder="1" applyAlignment="1">
      <alignment horizontal="right" vertical="center"/>
    </xf>
    <xf numFmtId="3" fontId="31" fillId="0" borderId="82" xfId="105" applyNumberFormat="1" applyFont="1" applyFill="1" applyBorder="1" applyAlignment="1">
      <alignment horizontal="right" vertical="center"/>
    </xf>
    <xf numFmtId="3" fontId="31" fillId="65" borderId="34" xfId="0" applyNumberFormat="1" applyFont="1" applyFill="1" applyBorder="1" applyAlignment="1">
      <alignment horizontal="right" vertical="center"/>
    </xf>
    <xf numFmtId="3" fontId="38" fillId="65" borderId="55" xfId="0" applyNumberFormat="1" applyFont="1" applyFill="1" applyBorder="1" applyAlignment="1">
      <alignment horizontal="right" vertical="center"/>
    </xf>
    <xf numFmtId="0" fontId="70" fillId="0" borderId="50" xfId="0" applyFont="1" applyFill="1" applyBorder="1" applyAlignment="1">
      <alignment horizontal="center" vertical="center"/>
    </xf>
    <xf numFmtId="3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3" fontId="38" fillId="53" borderId="25" xfId="105" applyNumberFormat="1" applyFont="1" applyFill="1" applyBorder="1" applyAlignment="1">
      <alignment vertical="center"/>
    </xf>
    <xf numFmtId="3" fontId="38" fillId="0" borderId="53" xfId="105" applyNumberFormat="1" applyFont="1" applyFill="1" applyBorder="1" applyAlignment="1">
      <alignment vertical="center"/>
    </xf>
    <xf numFmtId="3" fontId="38" fillId="0" borderId="34" xfId="105" applyNumberFormat="1" applyFont="1" applyFill="1" applyBorder="1" applyAlignment="1">
      <alignment vertical="center"/>
    </xf>
    <xf numFmtId="3" fontId="38" fillId="0" borderId="31" xfId="105" applyNumberFormat="1" applyFont="1" applyFill="1" applyBorder="1" applyAlignment="1">
      <alignment vertical="center"/>
    </xf>
    <xf numFmtId="49" fontId="38" fillId="66" borderId="34" xfId="0" applyNumberFormat="1" applyFont="1" applyFill="1" applyBorder="1" applyAlignment="1">
      <alignment vertical="center" wrapText="1"/>
    </xf>
    <xf numFmtId="3" fontId="12" fillId="0" borderId="35" xfId="104" applyNumberFormat="1" applyFont="1" applyFill="1" applyBorder="1" applyAlignment="1">
      <alignment horizontal="right" vertical="center"/>
    </xf>
    <xf numFmtId="0" fontId="17" fillId="0" borderId="34" xfId="106" applyFont="1" applyFill="1" applyBorder="1" applyAlignment="1">
      <alignment vertical="center"/>
    </xf>
    <xf numFmtId="3" fontId="38" fillId="0" borderId="30" xfId="10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97" xfId="0" applyNumberFormat="1" applyFont="1" applyFill="1" applyBorder="1" applyAlignment="1">
      <alignment horizontal="right" vertical="center"/>
    </xf>
    <xf numFmtId="3" fontId="17" fillId="0" borderId="93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31" fillId="0" borderId="114" xfId="105" applyNumberFormat="1" applyFont="1" applyFill="1" applyBorder="1" applyAlignment="1">
      <alignment horizontal="right" vertical="center"/>
    </xf>
    <xf numFmtId="0" fontId="31" fillId="0" borderId="49" xfId="110" applyFont="1" applyBorder="1" applyAlignment="1">
      <alignment horizontal="center" vertical="center"/>
      <protection/>
    </xf>
    <xf numFmtId="3" fontId="31" fillId="57" borderId="49" xfId="110" applyNumberFormat="1" applyFont="1" applyFill="1" applyBorder="1" applyAlignment="1">
      <alignment vertical="center"/>
      <protection/>
    </xf>
    <xf numFmtId="3" fontId="31" fillId="57" borderId="35" xfId="111" applyNumberFormat="1" applyFont="1" applyFill="1" applyBorder="1" applyAlignment="1">
      <alignment vertical="center"/>
      <protection/>
    </xf>
    <xf numFmtId="3" fontId="31" fillId="0" borderId="36" xfId="0" applyNumberFormat="1" applyFont="1" applyFill="1" applyBorder="1" applyAlignment="1">
      <alignment vertical="center"/>
    </xf>
    <xf numFmtId="3" fontId="31" fillId="0" borderId="76" xfId="0" applyNumberFormat="1" applyFont="1" applyFill="1" applyBorder="1" applyAlignment="1">
      <alignment vertical="center"/>
    </xf>
    <xf numFmtId="0" fontId="23" fillId="0" borderId="38" xfId="0" applyFont="1" applyBorder="1" applyAlignment="1">
      <alignment horizontal="center" vertical="center" wrapText="1"/>
    </xf>
    <xf numFmtId="3" fontId="154" fillId="0" borderId="0" xfId="0" applyNumberFormat="1" applyFont="1" applyAlignment="1">
      <alignment vertical="center"/>
    </xf>
    <xf numFmtId="3" fontId="155" fillId="0" borderId="0" xfId="0" applyNumberFormat="1" applyFont="1" applyAlignment="1">
      <alignment vertical="center"/>
    </xf>
    <xf numFmtId="3" fontId="154" fillId="0" borderId="0" xfId="0" applyNumberFormat="1" applyFont="1" applyFill="1" applyAlignment="1">
      <alignment vertical="center"/>
    </xf>
    <xf numFmtId="3" fontId="154" fillId="0" borderId="0" xfId="0" applyNumberFormat="1" applyFont="1" applyAlignment="1">
      <alignment horizontal="center" vertical="center"/>
    </xf>
    <xf numFmtId="3" fontId="156" fillId="0" borderId="0" xfId="0" applyNumberFormat="1" applyFont="1" applyAlignment="1">
      <alignment vertical="center"/>
    </xf>
    <xf numFmtId="49" fontId="31" fillId="45" borderId="34" xfId="104" applyNumberFormat="1" applyFont="1" applyFill="1" applyBorder="1" applyAlignment="1" applyProtection="1">
      <alignment horizontal="left" vertical="center" wrapText="1"/>
      <protection locked="0"/>
    </xf>
    <xf numFmtId="0" fontId="38" fillId="0" borderId="79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49" fontId="71" fillId="0" borderId="34" xfId="0" applyNumberFormat="1" applyFont="1" applyFill="1" applyBorder="1" applyAlignment="1">
      <alignment vertical="center" wrapText="1"/>
    </xf>
    <xf numFmtId="3" fontId="72" fillId="0" borderId="34" xfId="105" applyNumberFormat="1" applyFont="1" applyFill="1" applyBorder="1" applyAlignment="1">
      <alignment horizontal="right" vertical="center"/>
    </xf>
    <xf numFmtId="3" fontId="157" fillId="0" borderId="0" xfId="0" applyNumberFormat="1" applyFont="1" applyAlignment="1">
      <alignment vertical="center"/>
    </xf>
    <xf numFmtId="49" fontId="71" fillId="0" borderId="53" xfId="0" applyNumberFormat="1" applyFont="1" applyFill="1" applyBorder="1" applyAlignment="1">
      <alignment vertical="center" wrapText="1"/>
    </xf>
    <xf numFmtId="3" fontId="31" fillId="0" borderId="0" xfId="105" applyNumberFormat="1" applyFont="1" applyFill="1" applyBorder="1" applyAlignment="1">
      <alignment horizontal="right" vertical="center"/>
    </xf>
    <xf numFmtId="49" fontId="71" fillId="66" borderId="34" xfId="0" applyNumberFormat="1" applyFont="1" applyFill="1" applyBorder="1" applyAlignment="1">
      <alignment vertical="center" wrapText="1"/>
    </xf>
    <xf numFmtId="3" fontId="71" fillId="0" borderId="35" xfId="105" applyNumberFormat="1" applyFont="1" applyFill="1" applyBorder="1" applyAlignment="1">
      <alignment vertical="center"/>
    </xf>
    <xf numFmtId="3" fontId="71" fillId="0" borderId="119" xfId="105" applyNumberFormat="1" applyFont="1" applyFill="1" applyBorder="1" applyAlignment="1">
      <alignment vertical="center"/>
    </xf>
    <xf numFmtId="3" fontId="71" fillId="0" borderId="53" xfId="0" applyNumberFormat="1" applyFont="1" applyFill="1" applyBorder="1" applyAlignment="1">
      <alignment horizontal="right" vertical="center"/>
    </xf>
    <xf numFmtId="3" fontId="158" fillId="0" borderId="0" xfId="0" applyNumberFormat="1" applyFont="1" applyAlignment="1">
      <alignment vertical="center"/>
    </xf>
    <xf numFmtId="3" fontId="71" fillId="0" borderId="49" xfId="105" applyNumberFormat="1" applyFont="1" applyFill="1" applyBorder="1" applyAlignment="1">
      <alignment vertical="center"/>
    </xf>
    <xf numFmtId="3" fontId="71" fillId="0" borderId="0" xfId="105" applyNumberFormat="1" applyFont="1" applyFill="1" applyBorder="1" applyAlignment="1">
      <alignment vertical="center"/>
    </xf>
    <xf numFmtId="3" fontId="71" fillId="0" borderId="53" xfId="105" applyNumberFormat="1" applyFont="1" applyFill="1" applyBorder="1" applyAlignment="1">
      <alignment vertical="center"/>
    </xf>
    <xf numFmtId="3" fontId="71" fillId="0" borderId="125" xfId="105" applyNumberFormat="1" applyFont="1" applyFill="1" applyBorder="1" applyAlignment="1">
      <alignment vertical="center"/>
    </xf>
    <xf numFmtId="3" fontId="71" fillId="0" borderId="34" xfId="105" applyNumberFormat="1" applyFont="1" applyFill="1" applyBorder="1" applyAlignment="1">
      <alignment vertical="center"/>
    </xf>
    <xf numFmtId="3" fontId="71" fillId="0" borderId="115" xfId="105" applyNumberFormat="1" applyFont="1" applyFill="1" applyBorder="1" applyAlignment="1">
      <alignment vertical="center"/>
    </xf>
    <xf numFmtId="3" fontId="71" fillId="0" borderId="34" xfId="0" applyNumberFormat="1" applyFont="1" applyFill="1" applyBorder="1" applyAlignment="1">
      <alignment horizontal="right" vertical="center"/>
    </xf>
    <xf numFmtId="3" fontId="3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8" fillId="49" borderId="87" xfId="0" applyFont="1" applyFill="1" applyBorder="1" applyAlignment="1">
      <alignment vertical="center"/>
    </xf>
    <xf numFmtId="0" fontId="24" fillId="45" borderId="50" xfId="0" applyFont="1" applyFill="1" applyBorder="1" applyAlignment="1">
      <alignment/>
    </xf>
    <xf numFmtId="0" fontId="18" fillId="45" borderId="89" xfId="0" applyFont="1" applyFill="1" applyBorder="1" applyAlignment="1" applyProtection="1">
      <alignment horizontal="left" vertical="center"/>
      <protection locked="0"/>
    </xf>
    <xf numFmtId="3" fontId="18" fillId="45" borderId="49" xfId="0" applyNumberFormat="1" applyFont="1" applyFill="1" applyBorder="1" applyAlignment="1">
      <alignment horizontal="right" vertical="center"/>
    </xf>
    <xf numFmtId="0" fontId="12" fillId="51" borderId="31" xfId="0" applyFont="1" applyFill="1" applyBorder="1" applyAlignment="1" applyProtection="1">
      <alignment horizontal="left" vertical="center" wrapText="1"/>
      <protection locked="0"/>
    </xf>
    <xf numFmtId="0" fontId="12" fillId="51" borderId="115" xfId="0" applyFont="1" applyFill="1" applyBorder="1" applyAlignment="1" applyProtection="1">
      <alignment horizontal="left" vertical="center"/>
      <protection locked="0"/>
    </xf>
    <xf numFmtId="0" fontId="12" fillId="51" borderId="67" xfId="0" applyFont="1" applyFill="1" applyBorder="1" applyAlignment="1" applyProtection="1">
      <alignment horizontal="left" vertical="center"/>
      <protection locked="0"/>
    </xf>
    <xf numFmtId="3" fontId="18" fillId="45" borderId="34" xfId="0" applyNumberFormat="1" applyFont="1" applyFill="1" applyBorder="1" applyAlignment="1">
      <alignment horizontal="right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7" fillId="0" borderId="147" xfId="107" applyNumberFormat="1" applyFont="1" applyFill="1" applyBorder="1" applyAlignment="1">
      <alignment horizontal="right" vertical="center"/>
      <protection/>
    </xf>
    <xf numFmtId="3" fontId="31" fillId="65" borderId="48" xfId="0" applyNumberFormat="1" applyFont="1" applyFill="1" applyBorder="1" applyAlignment="1">
      <alignment horizontal="right" vertical="center"/>
    </xf>
    <xf numFmtId="3" fontId="38" fillId="65" borderId="48" xfId="0" applyNumberFormat="1" applyFont="1" applyFill="1" applyBorder="1" applyAlignment="1">
      <alignment horizontal="right" vertical="center"/>
    </xf>
    <xf numFmtId="49" fontId="73" fillId="0" borderId="34" xfId="0" applyNumberFormat="1" applyFont="1" applyFill="1" applyBorder="1" applyAlignment="1">
      <alignment vertical="center" wrapText="1"/>
    </xf>
    <xf numFmtId="3" fontId="71" fillId="45" borderId="55" xfId="0" applyNumberFormat="1" applyFont="1" applyFill="1" applyBorder="1" applyAlignment="1">
      <alignment horizontal="right" vertical="center"/>
    </xf>
    <xf numFmtId="49" fontId="71" fillId="66" borderId="12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31" fillId="0" borderId="136" xfId="0" applyNumberFormat="1" applyFont="1" applyFill="1" applyBorder="1" applyAlignment="1">
      <alignment vertical="center"/>
    </xf>
    <xf numFmtId="3" fontId="38" fillId="0" borderId="136" xfId="0" applyNumberFormat="1" applyFont="1" applyFill="1" applyBorder="1" applyAlignment="1">
      <alignment vertical="center"/>
    </xf>
    <xf numFmtId="3" fontId="71" fillId="0" borderId="23" xfId="105" applyNumberFormat="1" applyFont="1" applyFill="1" applyBorder="1" applyAlignment="1">
      <alignment vertical="center"/>
    </xf>
    <xf numFmtId="3" fontId="159" fillId="0" borderId="0" xfId="0" applyNumberFormat="1" applyFont="1" applyAlignment="1">
      <alignment vertical="center"/>
    </xf>
    <xf numFmtId="3" fontId="160" fillId="0" borderId="0" xfId="0" applyNumberFormat="1" applyFont="1" applyAlignment="1">
      <alignment horizontal="center" vertical="center" wrapText="1"/>
    </xf>
    <xf numFmtId="3" fontId="71" fillId="0" borderId="34" xfId="105" applyNumberFormat="1" applyFont="1" applyFill="1" applyBorder="1" applyAlignment="1">
      <alignment horizontal="right" vertical="center"/>
    </xf>
    <xf numFmtId="3" fontId="71" fillId="0" borderId="49" xfId="0" applyNumberFormat="1" applyFont="1" applyFill="1" applyBorder="1" applyAlignment="1">
      <alignment horizontal="right" vertical="center"/>
    </xf>
    <xf numFmtId="3" fontId="38" fillId="45" borderId="34" xfId="0" applyNumberFormat="1" applyFont="1" applyFill="1" applyBorder="1" applyAlignment="1">
      <alignment horizontal="right" vertical="center"/>
    </xf>
    <xf numFmtId="3" fontId="161" fillId="0" borderId="0" xfId="0" applyNumberFormat="1" applyFont="1" applyAlignment="1">
      <alignment vertical="center"/>
    </xf>
    <xf numFmtId="3" fontId="159" fillId="0" borderId="0" xfId="0" applyNumberFormat="1" applyFont="1" applyFill="1" applyAlignment="1">
      <alignment vertical="center"/>
    </xf>
    <xf numFmtId="3" fontId="159" fillId="15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34" xfId="104" applyNumberFormat="1" applyFont="1" applyFill="1" applyBorder="1" applyAlignment="1">
      <alignment horizontal="right" vertical="center"/>
    </xf>
    <xf numFmtId="0" fontId="74" fillId="0" borderId="49" xfId="0" applyFont="1" applyFill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3" fontId="162" fillId="0" borderId="0" xfId="0" applyNumberFormat="1" applyFont="1" applyAlignment="1">
      <alignment vertical="center"/>
    </xf>
    <xf numFmtId="0" fontId="71" fillId="0" borderId="49" xfId="0" applyFont="1" applyFill="1" applyBorder="1" applyAlignment="1">
      <alignment horizontal="center" vertical="center"/>
    </xf>
    <xf numFmtId="3" fontId="71" fillId="0" borderId="34" xfId="104" applyNumberFormat="1" applyFont="1" applyFill="1" applyBorder="1" applyAlignment="1">
      <alignment horizontal="right" vertical="center"/>
    </xf>
    <xf numFmtId="3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3" fontId="163" fillId="0" borderId="0" xfId="0" applyNumberFormat="1" applyFont="1" applyAlignment="1">
      <alignment vertical="center"/>
    </xf>
    <xf numFmtId="3" fontId="164" fillId="0" borderId="0" xfId="0" applyNumberFormat="1" applyFont="1" applyAlignment="1">
      <alignment vertical="center"/>
    </xf>
    <xf numFmtId="3" fontId="71" fillId="0" borderId="82" xfId="0" applyNumberFormat="1" applyFont="1" applyFill="1" applyBorder="1" applyAlignment="1">
      <alignment horizontal="right" vertical="center"/>
    </xf>
    <xf numFmtId="3" fontId="165" fillId="0" borderId="0" xfId="0" applyNumberFormat="1" applyFont="1" applyAlignment="1">
      <alignment vertical="center"/>
    </xf>
    <xf numFmtId="0" fontId="71" fillId="0" borderId="50" xfId="0" applyFont="1" applyFill="1" applyBorder="1" applyAlignment="1">
      <alignment vertical="center"/>
    </xf>
    <xf numFmtId="3" fontId="75" fillId="0" borderId="34" xfId="104" applyNumberFormat="1" applyFont="1" applyFill="1" applyBorder="1" applyAlignment="1">
      <alignment horizontal="right" vertical="center"/>
    </xf>
    <xf numFmtId="3" fontId="166" fillId="0" borderId="0" xfId="0" applyNumberFormat="1" applyFont="1" applyAlignment="1">
      <alignment vertical="center"/>
    </xf>
    <xf numFmtId="49" fontId="0" fillId="45" borderId="0" xfId="0" applyNumberFormat="1" applyFill="1" applyAlignment="1">
      <alignment vertical="center"/>
    </xf>
    <xf numFmtId="49" fontId="18" fillId="45" borderId="0" xfId="0" applyNumberFormat="1" applyFont="1" applyFill="1" applyBorder="1" applyAlignment="1" applyProtection="1">
      <alignment horizontal="centerContinuous" vertical="center"/>
      <protection locked="0"/>
    </xf>
    <xf numFmtId="49" fontId="0" fillId="45" borderId="0" xfId="0" applyNumberFormat="1" applyFill="1" applyAlignment="1">
      <alignment horizontal="centerContinuous" vertical="center"/>
    </xf>
    <xf numFmtId="49" fontId="21" fillId="45" borderId="38" xfId="0" applyNumberFormat="1" applyFont="1" applyFill="1" applyBorder="1" applyAlignment="1">
      <alignment horizontal="center" vertical="center"/>
    </xf>
    <xf numFmtId="49" fontId="19" fillId="50" borderId="38" xfId="0" applyNumberFormat="1" applyFont="1" applyFill="1" applyBorder="1" applyAlignment="1" applyProtection="1">
      <alignment horizontal="center" vertical="center"/>
      <protection locked="0"/>
    </xf>
    <xf numFmtId="49" fontId="31" fillId="0" borderId="67" xfId="0" applyNumberFormat="1" applyFont="1" applyFill="1" applyBorder="1" applyAlignment="1">
      <alignment vertical="center" wrapText="1"/>
    </xf>
    <xf numFmtId="49" fontId="31" fillId="0" borderId="122" xfId="0" applyNumberFormat="1" applyFont="1" applyBorder="1" applyAlignment="1">
      <alignment vertical="center" wrapText="1"/>
    </xf>
    <xf numFmtId="49" fontId="31" fillId="0" borderId="34" xfId="0" applyNumberFormat="1" applyFont="1" applyFill="1" applyBorder="1" applyAlignment="1">
      <alignment vertical="center" wrapText="1"/>
    </xf>
    <xf numFmtId="49" fontId="31" fillId="0" borderId="36" xfId="0" applyNumberFormat="1" applyFont="1" applyFill="1" applyBorder="1" applyAlignment="1">
      <alignment vertical="center" wrapText="1"/>
    </xf>
    <xf numFmtId="49" fontId="31" fillId="0" borderId="50" xfId="0" applyNumberFormat="1" applyFont="1" applyFill="1" applyBorder="1" applyAlignment="1">
      <alignment vertical="center" wrapText="1"/>
    </xf>
    <xf numFmtId="49" fontId="40" fillId="63" borderId="38" xfId="112" applyNumberFormat="1" applyFont="1" applyFill="1" applyBorder="1" applyAlignment="1">
      <alignment horizontal="right" vertical="center" wrapText="1"/>
      <protection/>
    </xf>
    <xf numFmtId="49" fontId="31" fillId="0" borderId="36" xfId="105" applyNumberFormat="1" applyFont="1" applyFill="1" applyBorder="1" applyAlignment="1">
      <alignment vertical="center" wrapText="1"/>
    </xf>
    <xf numFmtId="49" fontId="71" fillId="0" borderId="36" xfId="105" applyNumberFormat="1" applyFont="1" applyFill="1" applyBorder="1" applyAlignment="1">
      <alignment vertical="center" wrapText="1"/>
    </xf>
    <xf numFmtId="49" fontId="38" fillId="54" borderId="38" xfId="0" applyNumberFormat="1" applyFont="1" applyFill="1" applyBorder="1" applyAlignment="1">
      <alignment horizontal="right" vertical="center"/>
    </xf>
    <xf numFmtId="49" fontId="31" fillId="0" borderId="44" xfId="112" applyNumberFormat="1" applyFont="1" applyFill="1" applyBorder="1" applyAlignment="1">
      <alignment vertical="center" wrapText="1"/>
      <protection/>
    </xf>
    <xf numFmtId="49" fontId="31" fillId="0" borderId="37" xfId="112" applyNumberFormat="1" applyFont="1" applyFill="1" applyBorder="1" applyAlignment="1">
      <alignment vertical="center" wrapText="1"/>
      <protection/>
    </xf>
    <xf numFmtId="49" fontId="31" fillId="0" borderId="37" xfId="0" applyNumberFormat="1" applyFont="1" applyFill="1" applyBorder="1" applyAlignment="1">
      <alignment vertical="center"/>
    </xf>
    <xf numFmtId="49" fontId="31" fillId="0" borderId="34" xfId="0" applyNumberFormat="1" applyFont="1" applyBorder="1" applyAlignment="1">
      <alignment vertical="center"/>
    </xf>
    <xf numFmtId="49" fontId="31" fillId="0" borderId="34" xfId="0" applyNumberFormat="1" applyFont="1" applyBorder="1" applyAlignment="1">
      <alignment vertical="center" wrapText="1"/>
    </xf>
    <xf numFmtId="49" fontId="153" fillId="0" borderId="37" xfId="0" applyNumberFormat="1" applyFont="1" applyFill="1" applyBorder="1" applyAlignment="1">
      <alignment vertical="center" wrapText="1"/>
    </xf>
    <xf numFmtId="49" fontId="153" fillId="0" borderId="86" xfId="0" applyNumberFormat="1" applyFont="1" applyFill="1" applyBorder="1" applyAlignment="1">
      <alignment vertical="center" wrapText="1"/>
    </xf>
    <xf numFmtId="49" fontId="153" fillId="66" borderId="119" xfId="0" applyNumberFormat="1" applyFont="1" applyFill="1" applyBorder="1" applyAlignment="1">
      <alignment vertical="center" wrapText="1"/>
    </xf>
    <xf numFmtId="49" fontId="153" fillId="0" borderId="36" xfId="0" applyNumberFormat="1" applyFont="1" applyFill="1" applyBorder="1" applyAlignment="1">
      <alignment vertical="center" wrapText="1"/>
    </xf>
    <xf numFmtId="49" fontId="153" fillId="0" borderId="86" xfId="0" applyNumberFormat="1" applyFont="1" applyBorder="1" applyAlignment="1">
      <alignment horizontal="left" vertical="center" wrapText="1"/>
    </xf>
    <xf numFmtId="49" fontId="153" fillId="0" borderId="86" xfId="0" applyNumberFormat="1" applyFont="1" applyFill="1" applyBorder="1" applyAlignment="1">
      <alignment horizontal="left" vertical="center" wrapText="1"/>
    </xf>
    <xf numFmtId="49" fontId="38" fillId="53" borderId="25" xfId="105" applyNumberFormat="1" applyFont="1" applyFill="1" applyBorder="1" applyAlignment="1">
      <alignment vertical="center"/>
    </xf>
    <xf numFmtId="49" fontId="153" fillId="66" borderId="86" xfId="0" applyNumberFormat="1" applyFont="1" applyFill="1" applyBorder="1" applyAlignment="1">
      <alignment vertical="center" wrapText="1"/>
    </xf>
    <xf numFmtId="49" fontId="38" fillId="53" borderId="38" xfId="105" applyNumberFormat="1" applyFont="1" applyFill="1" applyBorder="1" applyAlignment="1">
      <alignment vertical="center"/>
    </xf>
    <xf numFmtId="49" fontId="153" fillId="0" borderId="37" xfId="0" applyNumberFormat="1" applyFont="1" applyFill="1" applyBorder="1" applyAlignment="1">
      <alignment horizontal="left" vertical="center" wrapText="1"/>
    </xf>
    <xf numFmtId="49" fontId="153" fillId="0" borderId="36" xfId="0" applyNumberFormat="1" applyFont="1" applyFill="1" applyBorder="1" applyAlignment="1">
      <alignment horizontal="left" vertical="center" wrapText="1"/>
    </xf>
    <xf numFmtId="49" fontId="153" fillId="66" borderId="37" xfId="0" applyNumberFormat="1" applyFont="1" applyFill="1" applyBorder="1" applyAlignment="1">
      <alignment vertical="center" wrapText="1"/>
    </xf>
    <xf numFmtId="49" fontId="153" fillId="66" borderId="44" xfId="0" applyNumberFormat="1" applyFont="1" applyFill="1" applyBorder="1" applyAlignment="1">
      <alignment vertical="center" wrapText="1"/>
    </xf>
    <xf numFmtId="49" fontId="153" fillId="66" borderId="36" xfId="0" applyNumberFormat="1" applyFont="1" applyFill="1" applyBorder="1" applyAlignment="1">
      <alignment vertical="center" wrapText="1"/>
    </xf>
    <xf numFmtId="49" fontId="153" fillId="66" borderId="34" xfId="0" applyNumberFormat="1" applyFont="1" applyFill="1" applyBorder="1" applyAlignment="1">
      <alignment vertical="center" wrapText="1"/>
    </xf>
    <xf numFmtId="49" fontId="31" fillId="0" borderId="35" xfId="0" applyNumberFormat="1" applyFont="1" applyFill="1" applyBorder="1" applyAlignment="1">
      <alignment vertical="center" wrapText="1"/>
    </xf>
    <xf numFmtId="49" fontId="153" fillId="0" borderId="23" xfId="0" applyNumberFormat="1" applyFont="1" applyFill="1" applyBorder="1" applyAlignment="1">
      <alignment horizontal="left" vertical="center" wrapText="1"/>
    </xf>
    <xf numFmtId="49" fontId="34" fillId="0" borderId="125" xfId="0" applyNumberFormat="1" applyFont="1" applyFill="1" applyBorder="1" applyAlignment="1">
      <alignment vertical="center" wrapText="1"/>
    </xf>
    <xf numFmtId="49" fontId="31" fillId="0" borderId="86" xfId="0" applyNumberFormat="1" applyFont="1" applyBorder="1" applyAlignment="1">
      <alignment vertical="center" wrapText="1"/>
    </xf>
    <xf numFmtId="49" fontId="153" fillId="0" borderId="115" xfId="0" applyNumberFormat="1" applyFont="1" applyFill="1" applyBorder="1" applyAlignment="1">
      <alignment vertical="center" wrapText="1"/>
    </xf>
    <xf numFmtId="49" fontId="153" fillId="66" borderId="48" xfId="0" applyNumberFormat="1" applyFont="1" applyFill="1" applyBorder="1" applyAlignment="1">
      <alignment vertical="center" wrapText="1"/>
    </xf>
    <xf numFmtId="49" fontId="153" fillId="0" borderId="53" xfId="0" applyNumberFormat="1" applyFont="1" applyFill="1" applyBorder="1" applyAlignment="1">
      <alignment vertical="center" wrapText="1"/>
    </xf>
    <xf numFmtId="49" fontId="153" fillId="0" borderId="34" xfId="0" applyNumberFormat="1" applyFont="1" applyFill="1" applyBorder="1" applyAlignment="1">
      <alignment vertical="center" wrapText="1"/>
    </xf>
    <xf numFmtId="49" fontId="153" fillId="0" borderId="34" xfId="0" applyNumberFormat="1" applyFont="1" applyFill="1" applyBorder="1" applyAlignment="1">
      <alignment horizontal="left" vertical="center" wrapText="1"/>
    </xf>
    <xf numFmtId="49" fontId="153" fillId="66" borderId="34" xfId="0" applyNumberFormat="1" applyFont="1" applyFill="1" applyBorder="1" applyAlignment="1">
      <alignment vertical="center"/>
    </xf>
    <xf numFmtId="49" fontId="153" fillId="66" borderId="35" xfId="0" applyNumberFormat="1" applyFont="1" applyFill="1" applyBorder="1" applyAlignment="1">
      <alignment vertical="center" wrapText="1"/>
    </xf>
    <xf numFmtId="49" fontId="153" fillId="0" borderId="127" xfId="0" applyNumberFormat="1" applyFont="1" applyFill="1" applyBorder="1" applyAlignment="1">
      <alignment vertical="center" wrapText="1"/>
    </xf>
    <xf numFmtId="49" fontId="38" fillId="0" borderId="35" xfId="0" applyNumberFormat="1" applyFont="1" applyBorder="1" applyAlignment="1">
      <alignment vertical="center"/>
    </xf>
    <xf numFmtId="49" fontId="38" fillId="0" borderId="34" xfId="0" applyNumberFormat="1" applyFont="1" applyBorder="1" applyAlignment="1">
      <alignment vertical="center"/>
    </xf>
    <xf numFmtId="49" fontId="38" fillId="53" borderId="38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40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127" xfId="104" applyNumberFormat="1" applyFont="1" applyFill="1" applyBorder="1" applyAlignment="1" applyProtection="1">
      <alignment horizontal="left" vertical="center"/>
      <protection locked="0"/>
    </xf>
    <xf numFmtId="49" fontId="38" fillId="64" borderId="97" xfId="0" applyNumberFormat="1" applyFont="1" applyFill="1" applyBorder="1" applyAlignment="1">
      <alignment horizontal="right" vertical="center"/>
    </xf>
    <xf numFmtId="49" fontId="38" fillId="58" borderId="78" xfId="0" applyNumberFormat="1" applyFont="1" applyFill="1" applyBorder="1" applyAlignment="1" applyProtection="1">
      <alignment horizontal="right" vertical="center"/>
      <protection locked="0"/>
    </xf>
    <xf numFmtId="49" fontId="31" fillId="0" borderId="37" xfId="105" applyNumberFormat="1" applyFont="1" applyBorder="1" applyAlignment="1">
      <alignment vertical="center"/>
    </xf>
    <xf numFmtId="49" fontId="31" fillId="0" borderId="36" xfId="105" applyNumberFormat="1" applyFont="1" applyBorder="1" applyAlignment="1">
      <alignment vertical="center"/>
    </xf>
    <xf numFmtId="49" fontId="31" fillId="0" borderId="50" xfId="105" applyNumberFormat="1" applyFont="1" applyBorder="1" applyAlignment="1">
      <alignment vertical="center"/>
    </xf>
    <xf numFmtId="49" fontId="31" fillId="0" borderId="37" xfId="105" applyNumberFormat="1" applyFont="1" applyBorder="1" applyAlignment="1">
      <alignment vertical="center"/>
    </xf>
    <xf numFmtId="49" fontId="38" fillId="53" borderId="148" xfId="105" applyNumberFormat="1" applyFont="1" applyFill="1" applyBorder="1" applyAlignment="1">
      <alignment vertical="center"/>
    </xf>
    <xf numFmtId="49" fontId="38" fillId="58" borderId="137" xfId="0" applyNumberFormat="1" applyFont="1" applyFill="1" applyBorder="1" applyAlignment="1">
      <alignment horizontal="right" vertical="center"/>
    </xf>
    <xf numFmtId="49" fontId="38" fillId="58" borderId="136" xfId="0" applyNumberFormat="1" applyFont="1" applyFill="1" applyBorder="1" applyAlignment="1">
      <alignment horizontal="right" vertical="center"/>
    </xf>
    <xf numFmtId="49" fontId="38" fillId="9" borderId="78" xfId="0" applyNumberFormat="1" applyFont="1" applyFill="1" applyBorder="1" applyAlignment="1" applyProtection="1">
      <alignment horizontal="right" vertical="center"/>
      <protection locked="0"/>
    </xf>
    <xf numFmtId="49" fontId="38" fillId="9" borderId="77" xfId="0" applyNumberFormat="1" applyFont="1" applyFill="1" applyBorder="1" applyAlignment="1" applyProtection="1">
      <alignment horizontal="right" vertical="center"/>
      <protection locked="0"/>
    </xf>
    <xf numFmtId="49" fontId="38" fillId="54" borderId="47" xfId="0" applyNumberFormat="1" applyFont="1" applyFill="1" applyBorder="1" applyAlignment="1">
      <alignment horizontal="right" vertical="center"/>
    </xf>
    <xf numFmtId="49" fontId="31" fillId="0" borderId="55" xfId="0" applyNumberFormat="1" applyFont="1" applyFill="1" applyBorder="1" applyAlignment="1">
      <alignment vertical="center" wrapText="1"/>
    </xf>
    <xf numFmtId="49" fontId="31" fillId="0" borderId="53" xfId="0" applyNumberFormat="1" applyFont="1" applyFill="1" applyBorder="1" applyAlignment="1">
      <alignment vertical="center" wrapText="1"/>
    </xf>
    <xf numFmtId="49" fontId="31" fillId="0" borderId="55" xfId="0" applyNumberFormat="1" applyFont="1" applyBorder="1" applyAlignment="1">
      <alignment vertical="center" wrapText="1"/>
    </xf>
    <xf numFmtId="49" fontId="31" fillId="0" borderId="66" xfId="0" applyNumberFormat="1" applyFont="1" applyBorder="1" applyAlignment="1">
      <alignment vertical="center" wrapText="1"/>
    </xf>
    <xf numFmtId="49" fontId="31" fillId="0" borderId="113" xfId="0" applyNumberFormat="1" applyFont="1" applyFill="1" applyBorder="1" applyAlignment="1">
      <alignment vertical="center" wrapText="1"/>
    </xf>
    <xf numFmtId="49" fontId="38" fillId="54" borderId="113" xfId="0" applyNumberFormat="1" applyFont="1" applyFill="1" applyBorder="1" applyAlignment="1">
      <alignment horizontal="right" vertical="center"/>
    </xf>
    <xf numFmtId="49" fontId="31" fillId="45" borderId="67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37" xfId="104" applyNumberFormat="1" applyFont="1" applyFill="1" applyBorder="1" applyAlignment="1" applyProtection="1">
      <alignment horizontal="left" vertical="center" wrapText="1"/>
      <protection locked="0"/>
    </xf>
    <xf numFmtId="49" fontId="38" fillId="67" borderId="39" xfId="0" applyNumberFormat="1" applyFont="1" applyFill="1" applyBorder="1" applyAlignment="1">
      <alignment horizontal="right" vertical="center" wrapText="1"/>
    </xf>
    <xf numFmtId="49" fontId="31" fillId="0" borderId="67" xfId="0" applyNumberFormat="1" applyFont="1" applyBorder="1" applyAlignment="1">
      <alignment vertical="center"/>
    </xf>
    <xf numFmtId="49" fontId="31" fillId="0" borderId="34" xfId="0" applyNumberFormat="1" applyFont="1" applyFill="1" applyBorder="1" applyAlignment="1">
      <alignment vertical="center"/>
    </xf>
    <xf numFmtId="49" fontId="38" fillId="54" borderId="25" xfId="0" applyNumberFormat="1" applyFont="1" applyFill="1" applyBorder="1" applyAlignment="1">
      <alignment horizontal="right" vertical="center"/>
    </xf>
    <xf numFmtId="49" fontId="31" fillId="0" borderId="62" xfId="0" applyNumberFormat="1" applyFont="1" applyFill="1" applyBorder="1" applyAlignment="1">
      <alignment vertical="center"/>
    </xf>
    <xf numFmtId="49" fontId="38" fillId="54" borderId="39" xfId="0" applyNumberFormat="1" applyFont="1" applyFill="1" applyBorder="1" applyAlignment="1" applyProtection="1">
      <alignment horizontal="right" vertical="center"/>
      <protection locked="0"/>
    </xf>
    <xf numFmtId="49" fontId="31" fillId="0" borderId="48" xfId="0" applyNumberFormat="1" applyFont="1" applyBorder="1" applyAlignment="1">
      <alignment vertical="center"/>
    </xf>
    <xf numFmtId="49" fontId="31" fillId="45" borderId="62" xfId="104" applyNumberFormat="1" applyFont="1" applyFill="1" applyBorder="1" applyAlignment="1" applyProtection="1">
      <alignment horizontal="left" vertical="center" wrapText="1"/>
      <protection locked="0"/>
    </xf>
    <xf numFmtId="49" fontId="38" fillId="54" borderId="25" xfId="0" applyNumberFormat="1" applyFont="1" applyFill="1" applyBorder="1" applyAlignment="1" applyProtection="1">
      <alignment horizontal="right" vertical="center"/>
      <protection locked="0"/>
    </xf>
    <xf numFmtId="49" fontId="31" fillId="0" borderId="48" xfId="112" applyNumberFormat="1" applyFont="1" applyFill="1" applyBorder="1" applyAlignment="1">
      <alignment vertical="center" wrapText="1"/>
      <protection/>
    </xf>
    <xf numFmtId="49" fontId="31" fillId="0" borderId="34" xfId="97" applyNumberFormat="1" applyFont="1" applyFill="1" applyBorder="1" applyAlignment="1">
      <alignment vertical="center" wrapText="1"/>
      <protection/>
    </xf>
    <xf numFmtId="49" fontId="31" fillId="0" borderId="35" xfId="0" applyNumberFormat="1" applyFont="1" applyFill="1" applyBorder="1" applyAlignment="1">
      <alignment vertical="center"/>
    </xf>
    <xf numFmtId="49" fontId="31" fillId="66" borderId="48" xfId="0" applyNumberFormat="1" applyFont="1" applyFill="1" applyBorder="1" applyAlignment="1">
      <alignment vertical="center"/>
    </xf>
    <xf numFmtId="49" fontId="31" fillId="66" borderId="34" xfId="0" applyNumberFormat="1" applyFont="1" applyFill="1" applyBorder="1" applyAlignment="1">
      <alignment vertical="center"/>
    </xf>
    <xf numFmtId="49" fontId="153" fillId="66" borderId="122" xfId="0" applyNumberFormat="1" applyFont="1" applyFill="1" applyBorder="1" applyAlignment="1">
      <alignment vertical="center" wrapText="1"/>
    </xf>
    <xf numFmtId="49" fontId="153" fillId="0" borderId="115" xfId="0" applyNumberFormat="1" applyFont="1" applyFill="1" applyBorder="1" applyAlignment="1">
      <alignment horizontal="left" vertical="center" wrapText="1"/>
    </xf>
    <xf numFmtId="49" fontId="38" fillId="53" borderId="39" xfId="105" applyNumberFormat="1" applyFont="1" applyFill="1" applyBorder="1" applyAlignment="1">
      <alignment vertical="center"/>
    </xf>
    <xf numFmtId="49" fontId="153" fillId="66" borderId="67" xfId="0" applyNumberFormat="1" applyFont="1" applyFill="1" applyBorder="1" applyAlignment="1">
      <alignment horizontal="left" vertical="center" wrapText="1"/>
    </xf>
    <xf numFmtId="49" fontId="153" fillId="66" borderId="115" xfId="0" applyNumberFormat="1" applyFont="1" applyFill="1" applyBorder="1" applyAlignment="1">
      <alignment vertical="center" wrapText="1"/>
    </xf>
    <xf numFmtId="49" fontId="153" fillId="0" borderId="55" xfId="0" applyNumberFormat="1" applyFont="1" applyFill="1" applyBorder="1" applyAlignment="1">
      <alignment vertical="center" wrapText="1"/>
    </xf>
    <xf numFmtId="49" fontId="153" fillId="0" borderId="66" xfId="0" applyNumberFormat="1" applyFont="1" applyFill="1" applyBorder="1" applyAlignment="1">
      <alignment vertical="center" wrapText="1"/>
    </xf>
    <xf numFmtId="49" fontId="153" fillId="0" borderId="36" xfId="0" applyNumberFormat="1" applyFont="1" applyFill="1" applyBorder="1" applyAlignment="1">
      <alignment horizontal="left" vertical="center"/>
    </xf>
    <xf numFmtId="49" fontId="153" fillId="0" borderId="67" xfId="0" applyNumberFormat="1" applyFont="1" applyFill="1" applyBorder="1" applyAlignment="1">
      <alignment vertical="center" wrapText="1"/>
    </xf>
    <xf numFmtId="49" fontId="153" fillId="0" borderId="118" xfId="0" applyNumberFormat="1" applyFont="1" applyFill="1" applyBorder="1" applyAlignment="1">
      <alignment horizontal="left" vertical="center" wrapText="1"/>
    </xf>
    <xf numFmtId="49" fontId="38" fillId="53" borderId="114" xfId="105" applyNumberFormat="1" applyFont="1" applyFill="1" applyBorder="1" applyAlignment="1">
      <alignment vertical="center"/>
    </xf>
    <xf numFmtId="49" fontId="153" fillId="0" borderId="30" xfId="0" applyNumberFormat="1" applyFont="1" applyFill="1" applyBorder="1" applyAlignment="1">
      <alignment vertical="center" wrapText="1"/>
    </xf>
    <xf numFmtId="49" fontId="153" fillId="66" borderId="55" xfId="0" applyNumberFormat="1" applyFont="1" applyFill="1" applyBorder="1" applyAlignment="1">
      <alignment vertical="center" wrapText="1"/>
    </xf>
    <xf numFmtId="49" fontId="153" fillId="0" borderId="0" xfId="0" applyNumberFormat="1" applyFont="1" applyFill="1" applyBorder="1" applyAlignment="1">
      <alignment wrapText="1"/>
    </xf>
    <xf numFmtId="49" fontId="31" fillId="0" borderId="115" xfId="0" applyNumberFormat="1" applyFont="1" applyFill="1" applyBorder="1" applyAlignment="1">
      <alignment horizontal="left" vertical="center" wrapText="1"/>
    </xf>
    <xf numFmtId="49" fontId="38" fillId="53" borderId="24" xfId="105" applyNumberFormat="1" applyFont="1" applyFill="1" applyBorder="1" applyAlignment="1">
      <alignment vertical="center"/>
    </xf>
    <xf numFmtId="49" fontId="38" fillId="0" borderId="67" xfId="0" applyNumberFormat="1" applyFont="1" applyBorder="1" applyAlignment="1">
      <alignment vertical="center"/>
    </xf>
    <xf numFmtId="49" fontId="38" fillId="0" borderId="55" xfId="0" applyNumberFormat="1" applyFont="1" applyBorder="1" applyAlignment="1">
      <alignment vertical="center"/>
    </xf>
    <xf numFmtId="49" fontId="38" fillId="53" borderId="25" xfId="0" applyNumberFormat="1" applyFont="1" applyFill="1" applyBorder="1" applyAlignment="1" applyProtection="1">
      <alignment horizontal="left" vertical="center"/>
      <protection locked="0"/>
    </xf>
    <xf numFmtId="49" fontId="38" fillId="58" borderId="25" xfId="0" applyNumberFormat="1" applyFont="1" applyFill="1" applyBorder="1" applyAlignment="1" applyProtection="1">
      <alignment horizontal="right" vertical="center"/>
      <protection locked="0"/>
    </xf>
    <xf numFmtId="49" fontId="31" fillId="0" borderId="74" xfId="0" applyNumberFormat="1" applyFont="1" applyFill="1" applyBorder="1" applyAlignment="1" applyProtection="1">
      <alignment horizontal="right" vertical="center"/>
      <protection locked="0"/>
    </xf>
    <xf numFmtId="49" fontId="31" fillId="0" borderId="119" xfId="0" applyNumberFormat="1" applyFont="1" applyFill="1" applyBorder="1" applyAlignment="1" applyProtection="1">
      <alignment horizontal="right" vertical="center"/>
      <protection locked="0"/>
    </xf>
    <xf numFmtId="49" fontId="31" fillId="0" borderId="119" xfId="0" applyNumberFormat="1" applyFont="1" applyBorder="1" applyAlignment="1">
      <alignment horizontal="right" vertical="center" wrapText="1"/>
    </xf>
    <xf numFmtId="49" fontId="31" fillId="0" borderId="119" xfId="0" applyNumberFormat="1" applyFont="1" applyBorder="1" applyAlignment="1">
      <alignment horizontal="right" vertical="center"/>
    </xf>
    <xf numFmtId="49" fontId="31" fillId="0" borderId="115" xfId="0" applyNumberFormat="1" applyFont="1" applyFill="1" applyBorder="1" applyAlignment="1" applyProtection="1">
      <alignment horizontal="right" vertical="center"/>
      <protection locked="0"/>
    </xf>
    <xf numFmtId="49" fontId="38" fillId="58" borderId="149" xfId="0" applyNumberFormat="1" applyFont="1" applyFill="1" applyBorder="1" applyAlignment="1" applyProtection="1">
      <alignment horizontal="right" vertical="center"/>
      <protection locked="0"/>
    </xf>
    <xf numFmtId="49" fontId="38" fillId="58" borderId="150" xfId="0" applyNumberFormat="1" applyFont="1" applyFill="1" applyBorder="1" applyAlignment="1" applyProtection="1">
      <alignment horizontal="right" vertical="center"/>
      <protection locked="0"/>
    </xf>
    <xf numFmtId="49" fontId="38" fillId="54" borderId="151" xfId="0" applyNumberFormat="1" applyFont="1" applyFill="1" applyBorder="1" applyAlignment="1" applyProtection="1">
      <alignment horizontal="right" vertical="center"/>
      <protection locked="0"/>
    </xf>
    <xf numFmtId="49" fontId="71" fillId="0" borderId="35" xfId="112" applyNumberFormat="1" applyFont="1" applyFill="1" applyBorder="1" applyAlignment="1">
      <alignment vertical="center" wrapText="1"/>
      <protection/>
    </xf>
    <xf numFmtId="3" fontId="71" fillId="0" borderId="55" xfId="105" applyNumberFormat="1" applyFont="1" applyFill="1" applyBorder="1" applyAlignment="1">
      <alignment horizontal="right" vertical="center"/>
    </xf>
    <xf numFmtId="3" fontId="71" fillId="0" borderId="67" xfId="0" applyNumberFormat="1" applyFont="1" applyFill="1" applyBorder="1" applyAlignment="1">
      <alignment horizontal="right" vertical="center"/>
    </xf>
    <xf numFmtId="49" fontId="71" fillId="0" borderId="35" xfId="0" applyNumberFormat="1" applyFont="1" applyFill="1" applyBorder="1" applyAlignment="1">
      <alignment vertical="center" wrapText="1"/>
    </xf>
    <xf numFmtId="3" fontId="72" fillId="0" borderId="35" xfId="105" applyNumberFormat="1" applyFont="1" applyFill="1" applyBorder="1" applyAlignment="1">
      <alignment horizontal="right" vertical="center"/>
    </xf>
    <xf numFmtId="49" fontId="71" fillId="0" borderId="127" xfId="0" applyNumberFormat="1" applyFont="1" applyFill="1" applyBorder="1" applyAlignment="1">
      <alignment vertical="center" wrapText="1"/>
    </xf>
    <xf numFmtId="3" fontId="72" fillId="0" borderId="127" xfId="105" applyNumberFormat="1" applyFont="1" applyFill="1" applyBorder="1" applyAlignment="1">
      <alignment horizontal="right" vertical="center"/>
    </xf>
    <xf numFmtId="49" fontId="71" fillId="0" borderId="114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right" vertical="center"/>
    </xf>
    <xf numFmtId="0" fontId="7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>
      <alignment horizontal="right" vertical="center"/>
    </xf>
    <xf numFmtId="3" fontId="35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79" fillId="0" borderId="41" xfId="0" applyFont="1" applyFill="1" applyBorder="1" applyAlignment="1">
      <alignment horizontal="centerContinuous" vertical="center"/>
    </xf>
    <xf numFmtId="49" fontId="8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74" fillId="0" borderId="38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3" fontId="159" fillId="0" borderId="0" xfId="0" applyNumberFormat="1" applyFont="1" applyAlignment="1">
      <alignment horizontal="center" vertical="center" wrapText="1"/>
    </xf>
    <xf numFmtId="0" fontId="35" fillId="50" borderId="152" xfId="0" applyFont="1" applyFill="1" applyBorder="1" applyAlignment="1">
      <alignment horizontal="center" vertical="center"/>
    </xf>
    <xf numFmtId="49" fontId="52" fillId="50" borderId="153" xfId="0" applyNumberFormat="1" applyFont="1" applyFill="1" applyBorder="1" applyAlignment="1" applyProtection="1">
      <alignment horizontal="center" vertical="center"/>
      <protection locked="0"/>
    </xf>
    <xf numFmtId="0" fontId="52" fillId="50" borderId="154" xfId="0" applyFont="1" applyFill="1" applyBorder="1" applyAlignment="1">
      <alignment horizontal="center" vertical="center"/>
    </xf>
    <xf numFmtId="3" fontId="52" fillId="50" borderId="155" xfId="0" applyNumberFormat="1" applyFont="1" applyFill="1" applyBorder="1" applyAlignment="1">
      <alignment horizontal="center" vertical="center"/>
    </xf>
    <xf numFmtId="0" fontId="52" fillId="50" borderId="155" xfId="0" applyFont="1" applyFill="1" applyBorder="1" applyAlignment="1">
      <alignment horizontal="center" vertical="center"/>
    </xf>
    <xf numFmtId="3" fontId="31" fillId="0" borderId="53" xfId="104" applyNumberFormat="1" applyFont="1" applyFill="1" applyBorder="1" applyAlignment="1">
      <alignment horizontal="right" vertical="center"/>
    </xf>
    <xf numFmtId="3" fontId="31" fillId="0" borderId="23" xfId="104" applyNumberFormat="1" applyFont="1" applyFill="1" applyBorder="1" applyAlignment="1">
      <alignment horizontal="right" vertical="center"/>
    </xf>
    <xf numFmtId="3" fontId="31" fillId="0" borderId="48" xfId="104" applyNumberFormat="1" applyFont="1" applyFill="1" applyBorder="1" applyAlignment="1">
      <alignment horizontal="right" vertical="center"/>
    </xf>
    <xf numFmtId="0" fontId="38" fillId="67" borderId="24" xfId="0" applyFont="1" applyFill="1" applyBorder="1" applyAlignment="1">
      <alignment horizontal="center" vertical="center"/>
    </xf>
    <xf numFmtId="3" fontId="38" fillId="67" borderId="24" xfId="104" applyNumberFormat="1" applyFont="1" applyFill="1" applyBorder="1" applyAlignment="1">
      <alignment horizontal="right" vertical="center"/>
    </xf>
    <xf numFmtId="3" fontId="71" fillId="0" borderId="23" xfId="104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vertical="center"/>
      <protection locked="0"/>
    </xf>
    <xf numFmtId="3" fontId="162" fillId="0" borderId="0" xfId="0" applyNumberFormat="1" applyFont="1" applyFill="1" applyAlignment="1">
      <alignment vertical="center"/>
    </xf>
    <xf numFmtId="0" fontId="74" fillId="0" borderId="23" xfId="0" applyFont="1" applyFill="1" applyBorder="1" applyAlignment="1">
      <alignment horizontal="center" vertical="center"/>
    </xf>
    <xf numFmtId="3" fontId="71" fillId="0" borderId="127" xfId="104" applyNumberFormat="1" applyFont="1" applyFill="1" applyBorder="1" applyAlignment="1">
      <alignment horizontal="right" vertical="center"/>
    </xf>
    <xf numFmtId="3" fontId="71" fillId="0" borderId="35" xfId="104" applyNumberFormat="1" applyFont="1" applyFill="1" applyBorder="1" applyAlignment="1">
      <alignment horizontal="right" vertical="center"/>
    </xf>
    <xf numFmtId="3" fontId="31" fillId="45" borderId="35" xfId="104" applyNumberFormat="1" applyFont="1" applyFill="1" applyBorder="1" applyAlignment="1">
      <alignment horizontal="right" vertical="center"/>
    </xf>
    <xf numFmtId="0" fontId="38" fillId="54" borderId="40" xfId="0" applyFont="1" applyFill="1" applyBorder="1" applyAlignment="1">
      <alignment horizontal="center" vertical="center"/>
    </xf>
    <xf numFmtId="3" fontId="31" fillId="0" borderId="35" xfId="105" applyNumberFormat="1" applyFont="1" applyBorder="1" applyAlignment="1">
      <alignment vertical="center"/>
    </xf>
    <xf numFmtId="3" fontId="31" fillId="45" borderId="67" xfId="0" applyNumberFormat="1" applyFont="1" applyFill="1" applyBorder="1" applyAlignment="1">
      <alignment horizontal="right" vertical="center"/>
    </xf>
    <xf numFmtId="3" fontId="31" fillId="0" borderId="34" xfId="105" applyNumberFormat="1" applyFont="1" applyBorder="1" applyAlignment="1">
      <alignment vertical="center"/>
    </xf>
    <xf numFmtId="3" fontId="31" fillId="45" borderId="55" xfId="0" applyNumberFormat="1" applyFont="1" applyFill="1" applyBorder="1" applyAlignment="1">
      <alignment horizontal="right" vertical="center"/>
    </xf>
    <xf numFmtId="3" fontId="31" fillId="0" borderId="49" xfId="105" applyNumberFormat="1" applyFont="1" applyBorder="1" applyAlignment="1">
      <alignment vertical="center"/>
    </xf>
    <xf numFmtId="3" fontId="31" fillId="45" borderId="82" xfId="0" applyNumberFormat="1" applyFont="1" applyFill="1" applyBorder="1" applyAlignment="1">
      <alignment horizontal="right" vertical="center"/>
    </xf>
    <xf numFmtId="0" fontId="38" fillId="53" borderId="40" xfId="0" applyFont="1" applyFill="1" applyBorder="1" applyAlignment="1">
      <alignment horizontal="center"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0" fontId="38" fillId="58" borderId="24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38" fillId="0" borderId="48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3" fontId="167" fillId="0" borderId="0" xfId="0" applyNumberFormat="1" applyFont="1" applyAlignment="1">
      <alignment horizontal="right" vertical="center"/>
    </xf>
    <xf numFmtId="0" fontId="38" fillId="58" borderId="136" xfId="0" applyFont="1" applyFill="1" applyBorder="1" applyAlignment="1">
      <alignment horizontal="center" vertical="center"/>
    </xf>
    <xf numFmtId="0" fontId="38" fillId="58" borderId="69" xfId="0" applyFont="1" applyFill="1" applyBorder="1" applyAlignment="1">
      <alignment horizontal="center" vertical="center"/>
    </xf>
    <xf numFmtId="0" fontId="38" fillId="54" borderId="138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centerContinuous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centerContinuous" vertical="center"/>
      <protection locked="0"/>
    </xf>
    <xf numFmtId="0" fontId="31" fillId="0" borderId="0" xfId="0" applyFont="1" applyFill="1" applyBorder="1" applyAlignment="1" applyProtection="1">
      <alignment horizontal="centerContinuous" vertical="center"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locked="0"/>
    </xf>
    <xf numFmtId="3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3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vertical="center"/>
    </xf>
    <xf numFmtId="3" fontId="39" fillId="0" borderId="0" xfId="0" applyNumberFormat="1" applyFont="1" applyFill="1" applyBorder="1" applyAlignment="1" applyProtection="1">
      <alignment horizontal="right" vertical="center"/>
      <protection locked="0"/>
    </xf>
    <xf numFmtId="3" fontId="39" fillId="0" borderId="0" xfId="0" applyNumberFormat="1" applyFont="1" applyFill="1" applyBorder="1" applyAlignment="1" applyProtection="1">
      <alignment vertical="center"/>
      <protection locked="0"/>
    </xf>
    <xf numFmtId="3" fontId="44" fillId="0" borderId="0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9" fontId="71" fillId="0" borderId="35" xfId="97" applyNumberFormat="1" applyFont="1" applyFill="1" applyBorder="1" applyAlignment="1">
      <alignment vertical="center" wrapText="1"/>
      <protection/>
    </xf>
    <xf numFmtId="3" fontId="71" fillId="0" borderId="67" xfId="105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vertical="center"/>
    </xf>
    <xf numFmtId="0" fontId="12" fillId="51" borderId="115" xfId="0" applyFont="1" applyFill="1" applyBorder="1" applyAlignment="1" applyProtection="1">
      <alignment horizontal="left" vertical="center"/>
      <protection locked="0"/>
    </xf>
    <xf numFmtId="0" fontId="51" fillId="0" borderId="49" xfId="96" applyFont="1" applyFill="1" applyBorder="1" applyAlignment="1">
      <alignment horizontal="center" vertical="center"/>
      <protection/>
    </xf>
    <xf numFmtId="3" fontId="45" fillId="0" borderId="0" xfId="96" applyNumberFormat="1" applyFont="1" applyFill="1" applyBorder="1" applyAlignment="1" quotePrefix="1">
      <alignment vertical="center"/>
      <protection/>
    </xf>
    <xf numFmtId="3" fontId="44" fillId="61" borderId="48" xfId="96" applyNumberFormat="1" applyFont="1" applyFill="1" applyBorder="1" applyAlignment="1" quotePrefix="1">
      <alignment vertical="center"/>
      <protection/>
    </xf>
    <xf numFmtId="3" fontId="45" fillId="45" borderId="23" xfId="0" applyNumberFormat="1" applyFont="1" applyFill="1" applyBorder="1" applyAlignment="1">
      <alignment horizontal="right" vertical="center"/>
    </xf>
    <xf numFmtId="3" fontId="45" fillId="45" borderId="35" xfId="0" applyNumberFormat="1" applyFont="1" applyFill="1" applyBorder="1" applyAlignment="1">
      <alignment horizontal="right" vertical="center"/>
    </xf>
    <xf numFmtId="3" fontId="45" fillId="0" borderId="38" xfId="96" applyNumberFormat="1" applyFont="1" applyFill="1" applyBorder="1" applyAlignment="1">
      <alignment vertical="center"/>
      <protection/>
    </xf>
    <xf numFmtId="3" fontId="45" fillId="0" borderId="39" xfId="96" applyNumberFormat="1" applyFont="1" applyFill="1" applyBorder="1" applyAlignment="1">
      <alignment vertical="center"/>
      <protection/>
    </xf>
    <xf numFmtId="49" fontId="31" fillId="0" borderId="149" xfId="0" applyNumberFormat="1" applyFont="1" applyFill="1" applyBorder="1" applyAlignment="1" applyProtection="1">
      <alignment horizontal="right" vertical="center"/>
      <protection locked="0"/>
    </xf>
    <xf numFmtId="49" fontId="31" fillId="0" borderId="34" xfId="0" applyNumberFormat="1" applyFont="1" applyFill="1" applyBorder="1" applyAlignment="1" applyProtection="1">
      <alignment horizontal="right" vertical="center"/>
      <protection locked="0"/>
    </xf>
    <xf numFmtId="3" fontId="31" fillId="0" borderId="34" xfId="0" applyNumberFormat="1" applyFont="1" applyFill="1" applyBorder="1" applyAlignment="1">
      <alignment vertical="center"/>
    </xf>
    <xf numFmtId="3" fontId="38" fillId="0" borderId="34" xfId="0" applyNumberFormat="1" applyFont="1" applyFill="1" applyBorder="1" applyAlignment="1">
      <alignment vertical="center"/>
    </xf>
    <xf numFmtId="0" fontId="44" fillId="0" borderId="48" xfId="96" applyFont="1" applyBorder="1" applyAlignment="1">
      <alignment vertical="center"/>
      <protection/>
    </xf>
    <xf numFmtId="3" fontId="44" fillId="0" borderId="44" xfId="96" applyNumberFormat="1" applyFont="1" applyBorder="1" applyAlignment="1">
      <alignment horizontal="right" vertical="center"/>
      <protection/>
    </xf>
    <xf numFmtId="3" fontId="39" fillId="0" borderId="73" xfId="107" applyNumberFormat="1" applyFont="1" applyFill="1" applyBorder="1" applyAlignment="1">
      <alignment horizontal="right" vertical="center"/>
      <protection/>
    </xf>
    <xf numFmtId="3" fontId="39" fillId="0" borderId="31" xfId="107" applyNumberFormat="1" applyFont="1" applyFill="1" applyBorder="1" applyAlignment="1">
      <alignment horizontal="right" vertical="center"/>
      <protection/>
    </xf>
    <xf numFmtId="3" fontId="39" fillId="0" borderId="119" xfId="107" applyNumberFormat="1" applyFont="1" applyFill="1" applyBorder="1" applyAlignment="1">
      <alignment horizontal="right" vertical="center"/>
      <protection/>
    </xf>
    <xf numFmtId="3" fontId="39" fillId="0" borderId="76" xfId="107" applyNumberFormat="1" applyFont="1" applyFill="1" applyBorder="1" applyAlignment="1">
      <alignment horizontal="right" vertical="center"/>
      <protection/>
    </xf>
    <xf numFmtId="3" fontId="44" fillId="58" borderId="35" xfId="107" applyNumberFormat="1" applyFont="1" applyFill="1" applyBorder="1" applyAlignment="1">
      <alignment horizontal="right" vertical="center"/>
      <protection/>
    </xf>
    <xf numFmtId="3" fontId="39" fillId="0" borderId="37" xfId="107" applyNumberFormat="1" applyFont="1" applyFill="1" applyBorder="1" applyAlignment="1">
      <alignment horizontal="right" vertical="center"/>
      <protection/>
    </xf>
    <xf numFmtId="3" fontId="39" fillId="0" borderId="35" xfId="107" applyNumberFormat="1" applyFont="1" applyFill="1" applyBorder="1" applyAlignment="1">
      <alignment horizontal="right" vertical="center"/>
      <protection/>
    </xf>
    <xf numFmtId="3" fontId="44" fillId="0" borderId="35" xfId="107" applyNumberFormat="1" applyFont="1" applyBorder="1" applyAlignment="1">
      <alignment horizontal="right" vertical="center"/>
      <protection/>
    </xf>
    <xf numFmtId="3" fontId="44" fillId="58" borderId="35" xfId="107" applyNumberFormat="1" applyFont="1" applyFill="1" applyBorder="1" applyAlignment="1">
      <alignment vertical="center"/>
      <protection/>
    </xf>
    <xf numFmtId="0" fontId="44" fillId="0" borderId="35" xfId="107" applyFont="1" applyFill="1" applyBorder="1" applyAlignment="1">
      <alignment horizontal="center" vertical="center"/>
      <protection/>
    </xf>
    <xf numFmtId="0" fontId="39" fillId="0" borderId="119" xfId="107" applyFont="1" applyFill="1" applyBorder="1" applyAlignment="1">
      <alignment vertical="center"/>
      <protection/>
    </xf>
    <xf numFmtId="3" fontId="39" fillId="0" borderId="0" xfId="107" applyNumberFormat="1" applyFont="1" applyFill="1" applyBorder="1" applyAlignment="1">
      <alignment horizontal="center" vertical="center"/>
      <protection/>
    </xf>
    <xf numFmtId="0" fontId="39" fillId="0" borderId="0" xfId="107" applyFont="1" applyAlignment="1">
      <alignment vertical="center"/>
      <protection/>
    </xf>
    <xf numFmtId="0" fontId="14" fillId="0" borderId="35" xfId="107" applyFont="1" applyFill="1" applyBorder="1" applyAlignment="1">
      <alignment horizontal="center" vertical="center"/>
      <protection/>
    </xf>
    <xf numFmtId="3" fontId="31" fillId="57" borderId="34" xfId="110" applyNumberFormat="1" applyFont="1" applyFill="1" applyBorder="1" applyAlignment="1">
      <alignment vertical="center"/>
      <protection/>
    </xf>
    <xf numFmtId="3" fontId="31" fillId="0" borderId="27" xfId="110" applyNumberFormat="1" applyFont="1" applyBorder="1" applyAlignment="1">
      <alignment vertical="center"/>
      <protection/>
    </xf>
    <xf numFmtId="3" fontId="31" fillId="0" borderId="115" xfId="110" applyNumberFormat="1" applyFont="1" applyBorder="1" applyAlignment="1">
      <alignment vertical="center"/>
      <protection/>
    </xf>
    <xf numFmtId="3" fontId="31" fillId="0" borderId="36" xfId="110" applyNumberFormat="1" applyFont="1" applyBorder="1" applyAlignment="1">
      <alignment vertical="center"/>
      <protection/>
    </xf>
    <xf numFmtId="3" fontId="31" fillId="0" borderId="86" xfId="110" applyNumberFormat="1" applyFont="1" applyBorder="1" applyAlignment="1">
      <alignment vertical="center"/>
      <protection/>
    </xf>
    <xf numFmtId="3" fontId="31" fillId="0" borderId="37" xfId="0" applyNumberFormat="1" applyFont="1" applyFill="1" applyBorder="1" applyAlignment="1">
      <alignment vertical="center"/>
    </xf>
    <xf numFmtId="3" fontId="31" fillId="0" borderId="31" xfId="0" applyNumberFormat="1" applyFont="1" applyFill="1" applyBorder="1" applyAlignment="1">
      <alignment vertical="center"/>
    </xf>
    <xf numFmtId="3" fontId="31" fillId="0" borderId="86" xfId="0" applyNumberFormat="1" applyFont="1" applyFill="1" applyBorder="1" applyAlignment="1">
      <alignment vertical="center"/>
    </xf>
    <xf numFmtId="0" fontId="31" fillId="0" borderId="26" xfId="0" applyFont="1" applyBorder="1" applyAlignment="1">
      <alignment wrapText="1"/>
    </xf>
    <xf numFmtId="0" fontId="38" fillId="0" borderId="34" xfId="0" applyFont="1" applyFill="1" applyBorder="1" applyAlignment="1">
      <alignment vertical="center"/>
    </xf>
    <xf numFmtId="0" fontId="38" fillId="0" borderId="136" xfId="0" applyFont="1" applyFill="1" applyBorder="1" applyAlignment="1">
      <alignment vertical="center"/>
    </xf>
    <xf numFmtId="3" fontId="75" fillId="0" borderId="49" xfId="104" applyNumberFormat="1" applyFont="1" applyFill="1" applyBorder="1" applyAlignment="1">
      <alignment horizontal="right" vertical="center"/>
    </xf>
    <xf numFmtId="3" fontId="71" fillId="45" borderId="82" xfId="0" applyNumberFormat="1" applyFont="1" applyFill="1" applyBorder="1" applyAlignment="1">
      <alignment horizontal="right" vertical="center"/>
    </xf>
    <xf numFmtId="49" fontId="31" fillId="45" borderId="36" xfId="104" applyNumberFormat="1" applyFont="1" applyFill="1" applyBorder="1" applyAlignment="1" applyProtection="1">
      <alignment horizontal="left" vertical="center" wrapText="1"/>
      <protection locked="0"/>
    </xf>
    <xf numFmtId="0" fontId="38" fillId="0" borderId="35" xfId="0" applyFont="1" applyBorder="1" applyAlignment="1">
      <alignment vertical="center"/>
    </xf>
    <xf numFmtId="0" fontId="76" fillId="0" borderId="50" xfId="0" applyFont="1" applyFill="1" applyBorder="1" applyAlignment="1">
      <alignment horizontal="center" vertical="center"/>
    </xf>
    <xf numFmtId="3" fontId="31" fillId="0" borderId="49" xfId="105" applyNumberFormat="1" applyFont="1" applyFill="1" applyBorder="1" applyAlignment="1">
      <alignment horizontal="right" vertical="center"/>
    </xf>
    <xf numFmtId="3" fontId="168" fillId="0" borderId="0" xfId="0" applyNumberFormat="1" applyFont="1" applyAlignment="1">
      <alignment vertical="center"/>
    </xf>
    <xf numFmtId="3" fontId="169" fillId="0" borderId="0" xfId="0" applyNumberFormat="1" applyFont="1" applyAlignment="1">
      <alignment vertical="center"/>
    </xf>
    <xf numFmtId="3" fontId="170" fillId="0" borderId="0" xfId="0" applyNumberFormat="1" applyFont="1" applyAlignment="1">
      <alignment vertical="center"/>
    </xf>
    <xf numFmtId="3" fontId="170" fillId="0" borderId="0" xfId="0" applyNumberFormat="1" applyFont="1" applyFill="1" applyAlignment="1">
      <alignment vertical="center"/>
    </xf>
    <xf numFmtId="3" fontId="171" fillId="0" borderId="0" xfId="0" applyNumberFormat="1" applyFont="1" applyAlignment="1">
      <alignment vertical="center"/>
    </xf>
    <xf numFmtId="3" fontId="170" fillId="0" borderId="0" xfId="0" applyNumberFormat="1" applyFont="1" applyAlignment="1">
      <alignment horizontal="center" vertical="center" wrapText="1"/>
    </xf>
    <xf numFmtId="3" fontId="172" fillId="0" borderId="0" xfId="0" applyNumberFormat="1" applyFont="1" applyAlignment="1">
      <alignment vertical="center"/>
    </xf>
    <xf numFmtId="3" fontId="173" fillId="0" borderId="0" xfId="0" applyNumberFormat="1" applyFont="1" applyAlignment="1">
      <alignment vertical="center"/>
    </xf>
    <xf numFmtId="3" fontId="174" fillId="0" borderId="0" xfId="0" applyNumberFormat="1" applyFont="1" applyAlignment="1">
      <alignment vertical="center"/>
    </xf>
    <xf numFmtId="3" fontId="171" fillId="65" borderId="0" xfId="0" applyNumberFormat="1" applyFont="1" applyFill="1" applyAlignment="1">
      <alignment vertical="center"/>
    </xf>
    <xf numFmtId="3" fontId="170" fillId="15" borderId="0" xfId="0" applyNumberFormat="1" applyFont="1" applyFill="1" applyAlignment="1">
      <alignment vertical="center"/>
    </xf>
    <xf numFmtId="3" fontId="170" fillId="65" borderId="0" xfId="0" applyNumberFormat="1" applyFont="1" applyFill="1" applyAlignment="1">
      <alignment vertical="center"/>
    </xf>
    <xf numFmtId="0" fontId="31" fillId="0" borderId="36" xfId="0" applyFont="1" applyFill="1" applyBorder="1" applyAlignment="1">
      <alignment vertical="center" wrapText="1"/>
    </xf>
    <xf numFmtId="3" fontId="171" fillId="60" borderId="0" xfId="0" applyNumberFormat="1" applyFont="1" applyFill="1" applyAlignment="1">
      <alignment vertical="center"/>
    </xf>
    <xf numFmtId="3" fontId="71" fillId="0" borderId="55" xfId="104" applyNumberFormat="1" applyFont="1" applyFill="1" applyBorder="1" applyAlignment="1">
      <alignment horizontal="right" vertical="center"/>
    </xf>
    <xf numFmtId="49" fontId="31" fillId="0" borderId="37" xfId="0" applyNumberFormat="1" applyFont="1" applyFill="1" applyBorder="1" applyAlignment="1">
      <alignment vertical="center" wrapText="1"/>
    </xf>
    <xf numFmtId="3" fontId="31" fillId="0" borderId="35" xfId="105" applyNumberFormat="1" applyFont="1" applyFill="1" applyBorder="1" applyAlignment="1">
      <alignment horizontal="right" vertical="center"/>
    </xf>
    <xf numFmtId="0" fontId="18" fillId="0" borderId="113" xfId="0" applyFont="1" applyFill="1" applyBorder="1" applyAlignment="1">
      <alignment horizontal="right"/>
    </xf>
    <xf numFmtId="0" fontId="18" fillId="51" borderId="115" xfId="0" applyFont="1" applyFill="1" applyBorder="1" applyAlignment="1" applyProtection="1">
      <alignment horizontal="left" vertical="center"/>
      <protection locked="0"/>
    </xf>
    <xf numFmtId="3" fontId="18" fillId="0" borderId="34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2" fillId="45" borderId="49" xfId="0" applyNumberFormat="1" applyFont="1" applyFill="1" applyBorder="1" applyAlignment="1">
      <alignment horizontal="right" vertical="center"/>
    </xf>
    <xf numFmtId="3" fontId="31" fillId="57" borderId="34" xfId="111" applyNumberFormat="1" applyFont="1" applyFill="1" applyBorder="1" applyAlignment="1">
      <alignment vertical="center"/>
      <protection/>
    </xf>
    <xf numFmtId="3" fontId="31" fillId="0" borderId="21" xfId="0" applyNumberFormat="1" applyFont="1" applyFill="1" applyBorder="1" applyAlignment="1">
      <alignment vertical="center"/>
    </xf>
    <xf numFmtId="0" fontId="31" fillId="0" borderId="26" xfId="111" applyFont="1" applyBorder="1" applyAlignment="1">
      <alignment vertical="center" wrapText="1"/>
      <protection/>
    </xf>
    <xf numFmtId="0" fontId="31" fillId="0" borderId="83" xfId="111" applyFont="1" applyBorder="1" applyAlignment="1">
      <alignment vertical="center" wrapText="1"/>
      <protection/>
    </xf>
    <xf numFmtId="0" fontId="31" fillId="0" borderId="91" xfId="111" applyFont="1" applyBorder="1" applyAlignment="1">
      <alignment vertical="center" wrapText="1"/>
      <protection/>
    </xf>
    <xf numFmtId="3" fontId="31" fillId="0" borderId="147" xfId="110" applyNumberFormat="1" applyFont="1" applyBorder="1" applyAlignment="1">
      <alignment vertical="center"/>
      <protection/>
    </xf>
    <xf numFmtId="3" fontId="31" fillId="0" borderId="116" xfId="111" applyNumberFormat="1" applyFont="1" applyBorder="1" applyAlignment="1">
      <alignment vertical="center"/>
      <protection/>
    </xf>
    <xf numFmtId="3" fontId="31" fillId="0" borderId="0" xfId="111" applyNumberFormat="1" applyFont="1" applyBorder="1" applyAlignment="1">
      <alignment vertical="center"/>
      <protection/>
    </xf>
    <xf numFmtId="3" fontId="31" fillId="0" borderId="72" xfId="111" applyNumberFormat="1" applyFont="1" applyBorder="1" applyAlignment="1">
      <alignment vertical="center"/>
      <protection/>
    </xf>
    <xf numFmtId="0" fontId="44" fillId="0" borderId="86" xfId="108" applyFont="1" applyBorder="1" applyAlignment="1" applyProtection="1">
      <alignment horizontal="left" vertical="center"/>
      <protection hidden="1"/>
    </xf>
    <xf numFmtId="0" fontId="44" fillId="0" borderId="115" xfId="108" applyFont="1" applyBorder="1" applyAlignment="1" applyProtection="1">
      <alignment horizontal="left" vertical="center"/>
      <protection hidden="1"/>
    </xf>
    <xf numFmtId="0" fontId="44" fillId="0" borderId="55" xfId="108" applyFont="1" applyBorder="1" applyAlignment="1" applyProtection="1">
      <alignment horizontal="left" vertical="center"/>
      <protection hidden="1"/>
    </xf>
    <xf numFmtId="0" fontId="44" fillId="54" borderId="38" xfId="108" applyFont="1" applyFill="1" applyBorder="1" applyAlignment="1" applyProtection="1">
      <alignment horizontal="left" vertical="center"/>
      <protection hidden="1"/>
    </xf>
    <xf numFmtId="0" fontId="44" fillId="54" borderId="25" xfId="108" applyFont="1" applyFill="1" applyBorder="1" applyAlignment="1" applyProtection="1">
      <alignment horizontal="left" vertical="center"/>
      <protection hidden="1"/>
    </xf>
    <xf numFmtId="0" fontId="44" fillId="54" borderId="39" xfId="108" applyFont="1" applyFill="1" applyBorder="1" applyAlignment="1" applyProtection="1">
      <alignment horizontal="left" vertical="center"/>
      <protection hidden="1"/>
    </xf>
    <xf numFmtId="0" fontId="46" fillId="62" borderId="38" xfId="108" applyFont="1" applyFill="1" applyBorder="1" applyAlignment="1" applyProtection="1">
      <alignment horizontal="left" vertical="center"/>
      <protection hidden="1"/>
    </xf>
    <xf numFmtId="0" fontId="46" fillId="62" borderId="25" xfId="108" applyFont="1" applyFill="1" applyBorder="1" applyAlignment="1" applyProtection="1">
      <alignment horizontal="left" vertical="center"/>
      <protection hidden="1"/>
    </xf>
    <xf numFmtId="0" fontId="44" fillId="0" borderId="126" xfId="108" applyFont="1" applyBorder="1" applyAlignment="1" applyProtection="1">
      <alignment horizontal="left" vertical="center"/>
      <protection hidden="1"/>
    </xf>
    <xf numFmtId="0" fontId="44" fillId="0" borderId="129" xfId="108" applyFont="1" applyBorder="1" applyAlignment="1" applyProtection="1">
      <alignment horizontal="left" vertical="center"/>
      <protection hidden="1"/>
    </xf>
    <xf numFmtId="0" fontId="44" fillId="0" borderId="118" xfId="108" applyFont="1" applyBorder="1" applyAlignment="1" applyProtection="1">
      <alignment horizontal="left" vertical="center"/>
      <protection hidden="1"/>
    </xf>
    <xf numFmtId="0" fontId="46" fillId="62" borderId="39" xfId="108" applyFont="1" applyFill="1" applyBorder="1" applyAlignment="1" applyProtection="1">
      <alignment horizontal="left" vertical="center"/>
      <protection hidden="1"/>
    </xf>
    <xf numFmtId="0" fontId="44" fillId="0" borderId="123" xfId="108" applyFont="1" applyBorder="1" applyAlignment="1" applyProtection="1">
      <alignment horizontal="left" vertical="center"/>
      <protection hidden="1"/>
    </xf>
    <xf numFmtId="0" fontId="44" fillId="0" borderId="74" xfId="108" applyFont="1" applyBorder="1" applyAlignment="1" applyProtection="1">
      <alignment horizontal="left" vertical="center"/>
      <protection hidden="1"/>
    </xf>
    <xf numFmtId="0" fontId="44" fillId="0" borderId="62" xfId="108" applyFont="1" applyBorder="1" applyAlignment="1" applyProtection="1">
      <alignment horizontal="left" vertical="center"/>
      <protection hidden="1"/>
    </xf>
    <xf numFmtId="0" fontId="39" fillId="0" borderId="123" xfId="108" applyFont="1" applyBorder="1" applyAlignment="1" applyProtection="1">
      <alignment horizontal="left" vertical="center"/>
      <protection hidden="1"/>
    </xf>
    <xf numFmtId="0" fontId="39" fillId="0" borderId="74" xfId="108" applyFont="1" applyBorder="1" applyAlignment="1" applyProtection="1">
      <alignment horizontal="left" vertical="center"/>
      <protection hidden="1"/>
    </xf>
    <xf numFmtId="0" fontId="39" fillId="0" borderId="62" xfId="108" applyFont="1" applyBorder="1" applyAlignment="1" applyProtection="1">
      <alignment horizontal="left" vertical="center"/>
      <protection hidden="1"/>
    </xf>
    <xf numFmtId="0" fontId="45" fillId="0" borderId="86" xfId="108" applyFont="1" applyBorder="1" applyAlignment="1" applyProtection="1">
      <alignment horizontal="left" vertical="center"/>
      <protection hidden="1"/>
    </xf>
    <xf numFmtId="0" fontId="45" fillId="0" borderId="55" xfId="108" applyFont="1" applyBorder="1" applyAlignment="1" applyProtection="1">
      <alignment horizontal="left" vertical="center"/>
      <protection hidden="1"/>
    </xf>
    <xf numFmtId="0" fontId="39" fillId="0" borderId="86" xfId="108" applyFont="1" applyBorder="1" applyAlignment="1" applyProtection="1">
      <alignment horizontal="left" vertical="center"/>
      <protection hidden="1"/>
    </xf>
    <xf numFmtId="0" fontId="39" fillId="0" borderId="115" xfId="108" applyFont="1" applyBorder="1" applyAlignment="1" applyProtection="1">
      <alignment horizontal="left" vertical="center"/>
      <protection hidden="1"/>
    </xf>
    <xf numFmtId="0" fontId="39" fillId="0" borderId="55" xfId="108" applyFont="1" applyBorder="1" applyAlignment="1" applyProtection="1">
      <alignment horizontal="left" vertical="center"/>
      <protection hidden="1"/>
    </xf>
    <xf numFmtId="0" fontId="39" fillId="0" borderId="126" xfId="108" applyFont="1" applyBorder="1" applyAlignment="1" applyProtection="1">
      <alignment horizontal="left" vertical="center"/>
      <protection hidden="1"/>
    </xf>
    <xf numFmtId="0" fontId="39" fillId="0" borderId="129" xfId="108" applyFont="1" applyBorder="1" applyAlignment="1" applyProtection="1">
      <alignment horizontal="left" vertical="center"/>
      <protection hidden="1"/>
    </xf>
    <xf numFmtId="0" fontId="39" fillId="0" borderId="118" xfId="108" applyFont="1" applyBorder="1" applyAlignment="1" applyProtection="1">
      <alignment horizontal="left" vertical="center"/>
      <protection hidden="1"/>
    </xf>
    <xf numFmtId="0" fontId="46" fillId="62" borderId="88" xfId="108" applyFont="1" applyFill="1" applyBorder="1" applyAlignment="1" applyProtection="1">
      <alignment horizontal="left" vertical="center"/>
      <protection hidden="1"/>
    </xf>
    <xf numFmtId="0" fontId="45" fillId="0" borderId="52" xfId="108" applyFont="1" applyBorder="1" applyAlignment="1" applyProtection="1">
      <alignment horizontal="center" vertical="top"/>
      <protection hidden="1"/>
    </xf>
    <xf numFmtId="0" fontId="45" fillId="0" borderId="83" xfId="108" applyFont="1" applyBorder="1" applyAlignment="1" applyProtection="1">
      <alignment horizontal="center" vertical="top"/>
      <protection hidden="1"/>
    </xf>
    <xf numFmtId="0" fontId="45" fillId="0" borderId="93" xfId="108" applyFont="1" applyBorder="1" applyAlignment="1" applyProtection="1">
      <alignment horizontal="center" vertical="top"/>
      <protection hidden="1"/>
    </xf>
    <xf numFmtId="0" fontId="44" fillId="54" borderId="88" xfId="108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5" fillId="0" borderId="85" xfId="108" applyFont="1" applyBorder="1" applyAlignment="1" applyProtection="1">
      <alignment horizontal="left" vertical="center"/>
      <protection hidden="1"/>
    </xf>
    <xf numFmtId="0" fontId="45" fillId="0" borderId="119" xfId="108" applyFont="1" applyBorder="1" applyAlignment="1" applyProtection="1">
      <alignment horizontal="left" vertical="center"/>
      <protection hidden="1"/>
    </xf>
    <xf numFmtId="0" fontId="44" fillId="0" borderId="25" xfId="108" applyFont="1" applyBorder="1" applyAlignment="1" applyProtection="1">
      <alignment horizontal="left" vertical="center"/>
      <protection hidden="1"/>
    </xf>
    <xf numFmtId="0" fontId="44" fillId="0" borderId="39" xfId="108" applyFont="1" applyBorder="1" applyAlignment="1" applyProtection="1">
      <alignment horizontal="left" vertical="center"/>
      <protection hidden="1"/>
    </xf>
    <xf numFmtId="0" fontId="44" fillId="0" borderId="119" xfId="108" applyFont="1" applyBorder="1" applyAlignment="1" applyProtection="1">
      <alignment horizontal="left" vertical="center"/>
      <protection hidden="1"/>
    </xf>
    <xf numFmtId="0" fontId="44" fillId="0" borderId="67" xfId="108" applyFont="1" applyBorder="1" applyAlignment="1" applyProtection="1">
      <alignment horizontal="left" vertical="center"/>
      <protection hidden="1"/>
    </xf>
    <xf numFmtId="0" fontId="48" fillId="0" borderId="86" xfId="108" applyFont="1" applyBorder="1" applyAlignment="1" applyProtection="1">
      <alignment horizontal="left" vertical="center"/>
      <protection hidden="1"/>
    </xf>
    <xf numFmtId="0" fontId="48" fillId="0" borderId="115" xfId="108" applyFont="1" applyBorder="1" applyAlignment="1" applyProtection="1">
      <alignment horizontal="left" vertical="center"/>
      <protection hidden="1"/>
    </xf>
    <xf numFmtId="0" fontId="48" fillId="0" borderId="55" xfId="108" applyFont="1" applyBorder="1" applyAlignment="1" applyProtection="1">
      <alignment horizontal="left" vertical="center"/>
      <protection hidden="1"/>
    </xf>
    <xf numFmtId="0" fontId="52" fillId="17" borderId="88" xfId="108" applyFont="1" applyFill="1" applyBorder="1" applyAlignment="1" applyProtection="1">
      <alignment horizontal="center" vertical="center" wrapText="1"/>
      <protection hidden="1"/>
    </xf>
    <xf numFmtId="0" fontId="52" fillId="17" borderId="25" xfId="108" applyFont="1" applyFill="1" applyBorder="1" applyAlignment="1" applyProtection="1">
      <alignment horizontal="center" vertical="center" wrapText="1"/>
      <protection hidden="1"/>
    </xf>
    <xf numFmtId="0" fontId="52" fillId="17" borderId="39" xfId="108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/>
    </xf>
    <xf numFmtId="0" fontId="44" fillId="45" borderId="25" xfId="108" applyFont="1" applyFill="1" applyBorder="1" applyAlignment="1" applyProtection="1">
      <alignment horizontal="center" vertical="center" wrapText="1"/>
      <protection hidden="1"/>
    </xf>
    <xf numFmtId="0" fontId="44" fillId="45" borderId="39" xfId="108" applyFont="1" applyFill="1" applyBorder="1" applyAlignment="1" applyProtection="1">
      <alignment horizontal="center" vertical="center" wrapText="1"/>
      <protection hidden="1"/>
    </xf>
    <xf numFmtId="0" fontId="44" fillId="0" borderId="88" xfId="108" applyFont="1" applyBorder="1" applyAlignment="1" applyProtection="1">
      <alignment horizontal="left" vertical="center"/>
      <protection hidden="1"/>
    </xf>
    <xf numFmtId="0" fontId="45" fillId="0" borderId="115" xfId="108" applyFont="1" applyBorder="1" applyAlignment="1" applyProtection="1">
      <alignment horizontal="left" vertical="center"/>
      <protection hidden="1"/>
    </xf>
    <xf numFmtId="0" fontId="45" fillId="0" borderId="83" xfId="108" applyFont="1" applyBorder="1" applyAlignment="1" applyProtection="1">
      <alignment horizontal="center" vertical="center"/>
      <protection hidden="1"/>
    </xf>
    <xf numFmtId="0" fontId="45" fillId="0" borderId="93" xfId="108" applyFont="1" applyBorder="1" applyAlignment="1" applyProtection="1">
      <alignment horizontal="center" vertical="center"/>
      <protection hidden="1"/>
    </xf>
    <xf numFmtId="0" fontId="39" fillId="0" borderId="52" xfId="108" applyFont="1" applyBorder="1" applyAlignment="1" applyProtection="1">
      <alignment horizontal="center" vertical="center"/>
      <protection hidden="1"/>
    </xf>
    <xf numFmtId="0" fontId="39" fillId="0" borderId="83" xfId="108" applyFont="1" applyBorder="1" applyAlignment="1" applyProtection="1">
      <alignment horizontal="center" vertical="center"/>
      <protection hidden="1"/>
    </xf>
    <xf numFmtId="0" fontId="39" fillId="0" borderId="93" xfId="108" applyFont="1" applyBorder="1" applyAlignment="1" applyProtection="1">
      <alignment horizontal="center" vertical="center"/>
      <protection hidden="1"/>
    </xf>
    <xf numFmtId="0" fontId="45" fillId="0" borderId="90" xfId="108" applyFont="1" applyBorder="1" applyAlignment="1" applyProtection="1">
      <alignment horizontal="center" vertical="center"/>
      <protection hidden="1"/>
    </xf>
    <xf numFmtId="0" fontId="45" fillId="0" borderId="116" xfId="108" applyFont="1" applyBorder="1" applyAlignment="1" applyProtection="1">
      <alignment horizontal="center" vertical="center"/>
      <protection hidden="1"/>
    </xf>
    <xf numFmtId="0" fontId="39" fillId="0" borderId="26" xfId="108" applyFont="1" applyBorder="1" applyAlignment="1" applyProtection="1">
      <alignment horizontal="left" vertical="center"/>
      <protection hidden="1"/>
    </xf>
    <xf numFmtId="0" fontId="39" fillId="0" borderId="21" xfId="108" applyFont="1" applyBorder="1" applyAlignment="1" applyProtection="1">
      <alignment horizontal="left" vertical="center"/>
      <protection hidden="1"/>
    </xf>
    <xf numFmtId="0" fontId="45" fillId="0" borderId="52" xfId="108" applyFont="1" applyBorder="1" applyAlignment="1" applyProtection="1">
      <alignment horizontal="center" vertical="center"/>
      <protection hidden="1"/>
    </xf>
    <xf numFmtId="0" fontId="44" fillId="0" borderId="75" xfId="108" applyFont="1" applyBorder="1" applyAlignment="1" applyProtection="1">
      <alignment horizontal="center" vertical="top"/>
      <protection hidden="1"/>
    </xf>
    <xf numFmtId="0" fontId="44" fillId="0" borderId="90" xfId="108" applyFont="1" applyBorder="1" applyAlignment="1" applyProtection="1">
      <alignment horizontal="center" vertical="top"/>
      <protection hidden="1"/>
    </xf>
    <xf numFmtId="0" fontId="44" fillId="0" borderId="116" xfId="108" applyFont="1" applyBorder="1" applyAlignment="1" applyProtection="1">
      <alignment horizontal="center" vertical="top"/>
      <protection hidden="1"/>
    </xf>
    <xf numFmtId="0" fontId="33" fillId="53" borderId="25" xfId="108" applyFont="1" applyFill="1" applyBorder="1" applyAlignment="1" applyProtection="1">
      <alignment horizontal="left" vertical="center"/>
      <protection hidden="1"/>
    </xf>
    <xf numFmtId="0" fontId="33" fillId="53" borderId="39" xfId="108" applyFont="1" applyFill="1" applyBorder="1" applyAlignment="1" applyProtection="1">
      <alignment horizontal="left" vertical="center"/>
      <protection hidden="1"/>
    </xf>
    <xf numFmtId="0" fontId="39" fillId="0" borderId="87" xfId="108" applyFont="1" applyBorder="1" applyAlignment="1" applyProtection="1">
      <alignment horizontal="left" vertical="center"/>
      <protection hidden="1"/>
    </xf>
    <xf numFmtId="0" fontId="39" fillId="0" borderId="125" xfId="108" applyFont="1" applyBorder="1" applyAlignment="1" applyProtection="1">
      <alignment horizontal="left" vertical="center"/>
      <protection hidden="1"/>
    </xf>
    <xf numFmtId="0" fontId="39" fillId="0" borderId="66" xfId="108" applyFont="1" applyBorder="1" applyAlignment="1" applyProtection="1">
      <alignment horizontal="left" vertical="center"/>
      <protection hidden="1"/>
    </xf>
    <xf numFmtId="0" fontId="44" fillId="0" borderId="73" xfId="108" applyFont="1" applyBorder="1" applyAlignment="1" applyProtection="1">
      <alignment horizontal="center" vertical="top"/>
      <protection hidden="1"/>
    </xf>
    <xf numFmtId="0" fontId="44" fillId="0" borderId="120" xfId="108" applyFont="1" applyBorder="1" applyAlignment="1" applyProtection="1">
      <alignment horizontal="left" vertical="center"/>
      <protection hidden="1"/>
    </xf>
    <xf numFmtId="0" fontId="44" fillId="0" borderId="30" xfId="108" applyFont="1" applyBorder="1" applyAlignment="1" applyProtection="1">
      <alignment horizontal="left" vertical="center"/>
      <protection hidden="1"/>
    </xf>
    <xf numFmtId="0" fontId="44" fillId="45" borderId="88" xfId="96" applyFont="1" applyFill="1" applyBorder="1" applyAlignment="1" applyProtection="1">
      <alignment horizontal="center" vertical="center"/>
      <protection/>
    </xf>
    <xf numFmtId="0" fontId="44" fillId="45" borderId="25" xfId="96" applyFont="1" applyFill="1" applyBorder="1" applyAlignment="1" applyProtection="1">
      <alignment horizontal="center" vertical="center"/>
      <protection/>
    </xf>
    <xf numFmtId="0" fontId="44" fillId="45" borderId="46" xfId="96" applyFont="1" applyFill="1" applyBorder="1" applyAlignment="1" applyProtection="1">
      <alignment horizontal="center" vertical="center"/>
      <protection/>
    </xf>
    <xf numFmtId="0" fontId="44" fillId="54" borderId="46" xfId="108" applyFont="1" applyFill="1" applyBorder="1" applyAlignment="1" applyProtection="1">
      <alignment horizontal="left" vertical="center"/>
      <protection hidden="1"/>
    </xf>
    <xf numFmtId="0" fontId="33" fillId="28" borderId="38" xfId="108" applyFont="1" applyFill="1" applyBorder="1" applyAlignment="1" applyProtection="1">
      <alignment horizontal="center" vertical="center"/>
      <protection hidden="1"/>
    </xf>
    <xf numFmtId="0" fontId="33" fillId="28" borderId="25" xfId="108" applyFont="1" applyFill="1" applyBorder="1" applyAlignment="1" applyProtection="1">
      <alignment horizontal="center" vertical="center"/>
      <protection hidden="1"/>
    </xf>
    <xf numFmtId="0" fontId="33" fillId="28" borderId="39" xfId="108" applyFont="1" applyFill="1" applyBorder="1" applyAlignment="1" applyProtection="1">
      <alignment horizontal="center" vertical="center"/>
      <protection hidden="1"/>
    </xf>
    <xf numFmtId="0" fontId="52" fillId="17" borderId="88" xfId="96" applyFont="1" applyFill="1" applyBorder="1" applyAlignment="1" applyProtection="1">
      <alignment horizontal="center" vertical="center"/>
      <protection/>
    </xf>
    <xf numFmtId="0" fontId="52" fillId="17" borderId="25" xfId="96" applyFont="1" applyFill="1" applyBorder="1" applyAlignment="1" applyProtection="1">
      <alignment horizontal="center" vertical="center"/>
      <protection/>
    </xf>
    <xf numFmtId="0" fontId="52" fillId="17" borderId="46" xfId="96" applyFont="1" applyFill="1" applyBorder="1" applyAlignment="1" applyProtection="1">
      <alignment horizontal="center" vertical="center"/>
      <protection/>
    </xf>
    <xf numFmtId="0" fontId="46" fillId="62" borderId="38" xfId="96" applyFont="1" applyFill="1" applyBorder="1" applyAlignment="1" applyProtection="1">
      <alignment horizontal="left" vertical="center"/>
      <protection hidden="1"/>
    </xf>
    <xf numFmtId="0" fontId="46" fillId="62" borderId="25" xfId="96" applyFont="1" applyFill="1" applyBorder="1" applyAlignment="1" applyProtection="1">
      <alignment horizontal="left" vertical="center"/>
      <protection hidden="1"/>
    </xf>
    <xf numFmtId="0" fontId="39" fillId="0" borderId="120" xfId="108" applyFont="1" applyBorder="1" applyAlignment="1" applyProtection="1">
      <alignment horizontal="left" vertical="center"/>
      <protection hidden="1"/>
    </xf>
    <xf numFmtId="0" fontId="39" fillId="0" borderId="128" xfId="108" applyFont="1" applyBorder="1" applyAlignment="1" applyProtection="1">
      <alignment horizontal="left" vertical="center"/>
      <protection hidden="1"/>
    </xf>
    <xf numFmtId="0" fontId="33" fillId="53" borderId="88" xfId="108" applyFont="1" applyFill="1" applyBorder="1" applyAlignment="1" applyProtection="1">
      <alignment horizontal="left" vertical="center"/>
      <protection hidden="1"/>
    </xf>
    <xf numFmtId="0" fontId="44" fillId="0" borderId="108" xfId="108" applyFont="1" applyBorder="1" applyAlignment="1" applyProtection="1">
      <alignment horizontal="center" vertical="top"/>
      <protection hidden="1"/>
    </xf>
    <xf numFmtId="0" fontId="44" fillId="0" borderId="83" xfId="108" applyFont="1" applyBorder="1" applyAlignment="1" applyProtection="1">
      <alignment horizontal="center" vertical="top"/>
      <protection hidden="1"/>
    </xf>
    <xf numFmtId="0" fontId="44" fillId="0" borderId="72" xfId="108" applyFont="1" applyBorder="1" applyAlignment="1" applyProtection="1">
      <alignment horizontal="center" vertical="top"/>
      <protection hidden="1"/>
    </xf>
    <xf numFmtId="0" fontId="44" fillId="0" borderId="107" xfId="96" applyFont="1" applyFill="1" applyBorder="1" applyAlignment="1" applyProtection="1">
      <alignment horizontal="center" vertical="center"/>
      <protection hidden="1"/>
    </xf>
    <xf numFmtId="0" fontId="44" fillId="0" borderId="90" xfId="96" applyFont="1" applyFill="1" applyBorder="1" applyAlignment="1" applyProtection="1">
      <alignment horizontal="center" vertical="center"/>
      <protection hidden="1"/>
    </xf>
    <xf numFmtId="0" fontId="44" fillId="0" borderId="116" xfId="96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2" xfId="0" applyNumberFormat="1" applyFont="1" applyFill="1" applyBorder="1" applyAlignment="1">
      <alignment horizontal="center" vertical="center"/>
    </xf>
    <xf numFmtId="0" fontId="44" fillId="0" borderId="128" xfId="108" applyFont="1" applyBorder="1" applyAlignment="1" applyProtection="1">
      <alignment horizontal="left" vertical="center"/>
      <protection hidden="1"/>
    </xf>
    <xf numFmtId="0" fontId="33" fillId="54" borderId="88" xfId="108" applyFont="1" applyFill="1" applyBorder="1" applyAlignment="1" applyProtection="1">
      <alignment horizontal="left" vertical="center"/>
      <protection hidden="1"/>
    </xf>
    <xf numFmtId="0" fontId="33" fillId="54" borderId="25" xfId="108" applyFont="1" applyFill="1" applyBorder="1" applyAlignment="1" applyProtection="1">
      <alignment horizontal="left" vertical="center"/>
      <protection hidden="1"/>
    </xf>
    <xf numFmtId="0" fontId="33" fillId="54" borderId="46" xfId="108" applyFont="1" applyFill="1" applyBorder="1" applyAlignment="1" applyProtection="1">
      <alignment horizontal="left" vertical="center"/>
      <protection hidden="1"/>
    </xf>
    <xf numFmtId="0" fontId="46" fillId="62" borderId="38" xfId="96" applyFont="1" applyFill="1" applyBorder="1" applyAlignment="1" applyProtection="1">
      <alignment horizontal="left" vertical="center"/>
      <protection/>
    </xf>
    <xf numFmtId="0" fontId="46" fillId="62" borderId="25" xfId="96" applyFont="1" applyFill="1" applyBorder="1" applyAlignment="1" applyProtection="1">
      <alignment horizontal="left" vertical="center"/>
      <protection/>
    </xf>
    <xf numFmtId="0" fontId="44" fillId="54" borderId="134" xfId="108" applyFont="1" applyFill="1" applyBorder="1" applyAlignment="1" applyProtection="1">
      <alignment horizontal="left" vertical="center"/>
      <protection hidden="1"/>
    </xf>
    <xf numFmtId="0" fontId="44" fillId="54" borderId="113" xfId="108" applyFont="1" applyFill="1" applyBorder="1" applyAlignment="1" applyProtection="1">
      <alignment horizontal="left" vertical="center"/>
      <protection hidden="1"/>
    </xf>
    <xf numFmtId="0" fontId="44" fillId="54" borderId="121" xfId="108" applyFont="1" applyFill="1" applyBorder="1" applyAlignment="1" applyProtection="1">
      <alignment horizontal="left" vertical="center"/>
      <protection hidden="1"/>
    </xf>
    <xf numFmtId="0" fontId="39" fillId="0" borderId="107" xfId="96" applyFont="1" applyFill="1" applyBorder="1" applyAlignment="1" applyProtection="1">
      <alignment horizontal="center" vertical="center"/>
      <protection hidden="1"/>
    </xf>
    <xf numFmtId="0" fontId="39" fillId="0" borderId="116" xfId="96" applyFont="1" applyFill="1" applyBorder="1" applyAlignment="1" applyProtection="1">
      <alignment horizontal="center" vertical="center"/>
      <protection hidden="1"/>
    </xf>
    <xf numFmtId="0" fontId="44" fillId="45" borderId="107" xfId="96" applyFont="1" applyFill="1" applyBorder="1" applyAlignment="1" applyProtection="1">
      <alignment horizontal="center" vertical="center"/>
      <protection/>
    </xf>
    <xf numFmtId="0" fontId="44" fillId="45" borderId="90" xfId="96" applyFont="1" applyFill="1" applyBorder="1" applyAlignment="1" applyProtection="1">
      <alignment horizontal="center" vertical="center"/>
      <protection/>
    </xf>
    <xf numFmtId="0" fontId="44" fillId="45" borderId="116" xfId="96" applyFont="1" applyFill="1" applyBorder="1" applyAlignment="1" applyProtection="1">
      <alignment horizontal="center" vertical="center"/>
      <protection/>
    </xf>
    <xf numFmtId="0" fontId="44" fillId="45" borderId="52" xfId="96" applyFont="1" applyFill="1" applyBorder="1" applyAlignment="1" applyProtection="1">
      <alignment horizontal="center" vertical="top"/>
      <protection/>
    </xf>
    <xf numFmtId="0" fontId="44" fillId="45" borderId="83" xfId="96" applyFont="1" applyFill="1" applyBorder="1" applyAlignment="1" applyProtection="1">
      <alignment horizontal="center" vertical="top"/>
      <protection/>
    </xf>
    <xf numFmtId="0" fontId="44" fillId="45" borderId="93" xfId="96" applyFont="1" applyFill="1" applyBorder="1" applyAlignment="1" applyProtection="1">
      <alignment horizontal="center" vertical="top"/>
      <protection/>
    </xf>
    <xf numFmtId="0" fontId="44" fillId="45" borderId="72" xfId="96" applyFont="1" applyFill="1" applyBorder="1" applyAlignment="1" applyProtection="1">
      <alignment horizontal="center" vertical="top"/>
      <protection/>
    </xf>
    <xf numFmtId="0" fontId="44" fillId="0" borderId="52" xfId="108" applyFont="1" applyBorder="1" applyAlignment="1" applyProtection="1">
      <alignment horizontal="center" vertical="top"/>
      <protection hidden="1"/>
    </xf>
    <xf numFmtId="0" fontId="50" fillId="0" borderId="52" xfId="108" applyFont="1" applyBorder="1" applyAlignment="1" applyProtection="1">
      <alignment horizontal="center" vertical="top"/>
      <protection hidden="1"/>
    </xf>
    <xf numFmtId="0" fontId="50" fillId="0" borderId="83" xfId="108" applyFont="1" applyBorder="1" applyAlignment="1" applyProtection="1">
      <alignment horizontal="center" vertical="top"/>
      <protection hidden="1"/>
    </xf>
    <xf numFmtId="0" fontId="50" fillId="0" borderId="72" xfId="108" applyFont="1" applyBorder="1" applyAlignment="1" applyProtection="1">
      <alignment horizontal="center" vertical="top"/>
      <protection hidden="1"/>
    </xf>
    <xf numFmtId="0" fontId="44" fillId="0" borderId="93" xfId="108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4" xfId="0" applyFont="1" applyFill="1" applyBorder="1" applyAlignment="1">
      <alignment horizontal="center" vertical="center"/>
    </xf>
    <xf numFmtId="0" fontId="13" fillId="68" borderId="62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4" xfId="0" applyFont="1" applyFill="1" applyBorder="1" applyAlignment="1">
      <alignment horizontal="center" vertical="center"/>
    </xf>
    <xf numFmtId="0" fontId="13" fillId="53" borderId="62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4" xfId="0" applyFont="1" applyFill="1" applyBorder="1" applyAlignment="1" applyProtection="1">
      <alignment horizontal="center" vertical="center" wrapText="1"/>
      <protection locked="0"/>
    </xf>
    <xf numFmtId="0" fontId="13" fillId="53" borderId="6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75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4" fillId="56" borderId="38" xfId="0" applyFont="1" applyFill="1" applyBorder="1" applyAlignment="1" applyProtection="1">
      <alignment horizontal="center" vertical="center"/>
      <protection locked="0"/>
    </xf>
    <xf numFmtId="0" fontId="44" fillId="56" borderId="25" xfId="0" applyFont="1" applyFill="1" applyBorder="1" applyAlignment="1" applyProtection="1">
      <alignment horizontal="center" vertical="center"/>
      <protection locked="0"/>
    </xf>
    <xf numFmtId="0" fontId="44" fillId="56" borderId="39" xfId="0" applyFont="1" applyFill="1" applyBorder="1" applyAlignment="1" applyProtection="1">
      <alignment horizontal="center" vertical="center"/>
      <protection locked="0"/>
    </xf>
    <xf numFmtId="0" fontId="21" fillId="45" borderId="38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4" fillId="61" borderId="120" xfId="96" applyFont="1" applyFill="1" applyBorder="1" applyAlignment="1">
      <alignment horizontal="left" vertical="center" wrapText="1"/>
      <protection/>
    </xf>
    <xf numFmtId="0" fontId="44" fillId="61" borderId="123" xfId="96" applyFont="1" applyFill="1" applyBorder="1" applyAlignment="1">
      <alignment horizontal="left" vertical="center" wrapText="1"/>
      <protection/>
    </xf>
    <xf numFmtId="0" fontId="44" fillId="61" borderId="38" xfId="96" applyFont="1" applyFill="1" applyBorder="1" applyAlignment="1">
      <alignment horizontal="left" vertical="center" wrapText="1"/>
      <protection/>
    </xf>
    <xf numFmtId="0" fontId="44" fillId="61" borderId="39" xfId="96" applyFont="1" applyFill="1" applyBorder="1" applyAlignment="1">
      <alignment horizontal="left" vertical="center" wrapText="1"/>
      <protection/>
    </xf>
    <xf numFmtId="0" fontId="44" fillId="61" borderId="46" xfId="96" applyFont="1" applyFill="1" applyBorder="1" applyAlignment="1">
      <alignment horizontal="left" vertical="center" wrapText="1"/>
      <protection/>
    </xf>
    <xf numFmtId="0" fontId="44" fillId="61" borderId="88" xfId="96" applyFont="1" applyFill="1" applyBorder="1" applyAlignment="1">
      <alignment horizontal="left" vertical="center" wrapText="1"/>
      <protection/>
    </xf>
    <xf numFmtId="0" fontId="44" fillId="0" borderId="5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31" fillId="0" borderId="4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left" vertical="center"/>
    </xf>
    <xf numFmtId="0" fontId="13" fillId="16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3" fillId="59" borderId="47" xfId="0" applyFont="1" applyFill="1" applyBorder="1" applyAlignment="1">
      <alignment horizontal="left" vertical="center"/>
    </xf>
    <xf numFmtId="0" fontId="13" fillId="59" borderId="65" xfId="0" applyFont="1" applyFill="1" applyBorder="1" applyAlignment="1">
      <alignment horizontal="left" vertical="center"/>
    </xf>
    <xf numFmtId="0" fontId="31" fillId="0" borderId="38" xfId="110" applyFont="1" applyBorder="1" applyAlignment="1">
      <alignment horizontal="center" vertical="center" wrapText="1"/>
      <protection/>
    </xf>
    <xf numFmtId="0" fontId="31" fillId="0" borderId="25" xfId="110" applyFont="1" applyBorder="1" applyAlignment="1">
      <alignment horizontal="center" vertical="center" wrapText="1"/>
      <protection/>
    </xf>
    <xf numFmtId="0" fontId="31" fillId="0" borderId="39" xfId="110" applyFont="1" applyBorder="1" applyAlignment="1">
      <alignment horizontal="center" vertical="center" wrapText="1"/>
      <protection/>
    </xf>
    <xf numFmtId="0" fontId="38" fillId="0" borderId="38" xfId="110" applyFont="1" applyBorder="1" applyAlignment="1">
      <alignment horizontal="center" vertical="center" wrapText="1"/>
      <protection/>
    </xf>
    <xf numFmtId="0" fontId="38" fillId="0" borderId="25" xfId="110" applyFont="1" applyBorder="1" applyAlignment="1">
      <alignment horizontal="center" vertical="center" wrapText="1"/>
      <protection/>
    </xf>
    <xf numFmtId="0" fontId="38" fillId="0" borderId="39" xfId="110" applyFont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/>
      <protection/>
    </xf>
    <xf numFmtId="0" fontId="22" fillId="0" borderId="0" xfId="107" applyFont="1" applyFill="1" applyBorder="1" applyAlignment="1">
      <alignment horizontal="center"/>
      <protection/>
    </xf>
    <xf numFmtId="0" fontId="31" fillId="0" borderId="40" xfId="110" applyFont="1" applyBorder="1" applyAlignment="1">
      <alignment horizontal="center" vertical="center" wrapText="1"/>
      <protection/>
    </xf>
    <xf numFmtId="0" fontId="31" fillId="0" borderId="23" xfId="110" applyFont="1" applyBorder="1" applyAlignment="1">
      <alignment horizontal="center" vertical="center" wrapText="1"/>
      <protection/>
    </xf>
    <xf numFmtId="0" fontId="31" fillId="0" borderId="107" xfId="110" applyFont="1" applyBorder="1" applyAlignment="1">
      <alignment horizontal="center" vertical="center" wrapText="1"/>
      <protection/>
    </xf>
    <xf numFmtId="0" fontId="31" fillId="0" borderId="116" xfId="110" applyFont="1" applyBorder="1" applyAlignment="1">
      <alignment horizontal="center" vertical="center" wrapText="1"/>
      <protection/>
    </xf>
    <xf numFmtId="0" fontId="31" fillId="0" borderId="106" xfId="110" applyFont="1" applyBorder="1" applyAlignment="1">
      <alignment horizontal="center" vertical="center" wrapText="1"/>
      <protection/>
    </xf>
    <xf numFmtId="0" fontId="31" fillId="0" borderId="135" xfId="110" applyFont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 vertical="center"/>
      <protection/>
    </xf>
    <xf numFmtId="0" fontId="10" fillId="0" borderId="40" xfId="107" applyFont="1" applyFill="1" applyBorder="1" applyAlignment="1">
      <alignment horizontal="center" vertical="center" wrapText="1"/>
      <protection/>
    </xf>
    <xf numFmtId="0" fontId="10" fillId="0" borderId="49" xfId="107" applyFont="1" applyFill="1" applyBorder="1" applyAlignment="1">
      <alignment horizontal="center" vertical="center" wrapText="1"/>
      <protection/>
    </xf>
    <xf numFmtId="0" fontId="10" fillId="0" borderId="23" xfId="107" applyFont="1" applyFill="1" applyBorder="1" applyAlignment="1">
      <alignment horizontal="center" vertical="center" wrapText="1"/>
      <protection/>
    </xf>
    <xf numFmtId="0" fontId="23" fillId="0" borderId="40" xfId="107" applyFont="1" applyFill="1" applyBorder="1" applyAlignment="1">
      <alignment horizontal="center" vertical="center" wrapText="1"/>
      <protection/>
    </xf>
    <xf numFmtId="0" fontId="23" fillId="0" borderId="49" xfId="107" applyFont="1" applyFill="1" applyBorder="1" applyAlignment="1">
      <alignment horizontal="center" vertical="center" wrapText="1"/>
      <protection/>
    </xf>
    <xf numFmtId="0" fontId="23" fillId="0" borderId="23" xfId="107" applyFont="1" applyFill="1" applyBorder="1" applyAlignment="1">
      <alignment horizontal="center" vertical="center" wrapText="1"/>
      <protection/>
    </xf>
    <xf numFmtId="0" fontId="17" fillId="0" borderId="42" xfId="107" applyFont="1" applyFill="1" applyBorder="1" applyAlignment="1">
      <alignment horizontal="center" vertical="center" wrapText="1"/>
      <protection/>
    </xf>
    <xf numFmtId="0" fontId="14" fillId="0" borderId="113" xfId="107" applyFont="1" applyFill="1" applyBorder="1" applyAlignment="1">
      <alignment horizontal="center" vertical="center" wrapText="1"/>
      <protection/>
    </xf>
    <xf numFmtId="0" fontId="14" fillId="58" borderId="40" xfId="107" applyFont="1" applyFill="1" applyBorder="1" applyAlignment="1">
      <alignment horizontal="center" vertical="center" wrapText="1"/>
      <protection/>
    </xf>
    <xf numFmtId="0" fontId="14" fillId="58" borderId="23" xfId="107" applyFont="1" applyFill="1" applyBorder="1" applyAlignment="1">
      <alignment horizontal="center" vertical="center" wrapText="1"/>
      <protection/>
    </xf>
    <xf numFmtId="0" fontId="10" fillId="0" borderId="38" xfId="107" applyFont="1" applyFill="1" applyBorder="1" applyAlignment="1">
      <alignment horizontal="center" vertical="center" wrapText="1"/>
      <protection/>
    </xf>
    <xf numFmtId="0" fontId="10" fillId="0" borderId="25" xfId="107" applyFont="1" applyFill="1" applyBorder="1" applyAlignment="1">
      <alignment horizontal="center" vertical="center" wrapText="1"/>
      <protection/>
    </xf>
    <xf numFmtId="0" fontId="10" fillId="0" borderId="39" xfId="107" applyFont="1" applyFill="1" applyBorder="1" applyAlignment="1">
      <alignment horizontal="center" vertical="center" wrapText="1"/>
      <protection/>
    </xf>
    <xf numFmtId="0" fontId="17" fillId="0" borderId="107" xfId="107" applyFont="1" applyFill="1" applyBorder="1" applyAlignment="1">
      <alignment horizontal="center" vertical="center" wrapText="1"/>
      <protection/>
    </xf>
    <xf numFmtId="0" fontId="17" fillId="0" borderId="116" xfId="107" applyFont="1" applyFill="1" applyBorder="1" applyAlignment="1">
      <alignment horizontal="center" vertical="center" wrapText="1"/>
      <protection/>
    </xf>
    <xf numFmtId="0" fontId="17" fillId="0" borderId="131" xfId="107" applyFont="1" applyFill="1" applyBorder="1" applyAlignment="1">
      <alignment horizontal="center" vertical="center" wrapText="1"/>
      <protection/>
    </xf>
    <xf numFmtId="0" fontId="17" fillId="0" borderId="121" xfId="107" applyFont="1" applyFill="1" applyBorder="1" applyAlignment="1">
      <alignment horizontal="center" vertical="center" wrapText="1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17" fillId="0" borderId="40" xfId="107" applyFont="1" applyFill="1" applyBorder="1" applyAlignment="1">
      <alignment horizontal="center" vertical="center" wrapText="1"/>
      <protection/>
    </xf>
    <xf numFmtId="0" fontId="17" fillId="0" borderId="23" xfId="107" applyFont="1" applyFill="1" applyBorder="1" applyAlignment="1">
      <alignment horizontal="center" vertical="center" wrapText="1"/>
      <protection/>
    </xf>
    <xf numFmtId="0" fontId="17" fillId="0" borderId="106" xfId="107" applyFont="1" applyFill="1" applyBorder="1" applyAlignment="1">
      <alignment horizontal="center" vertical="center" wrapText="1"/>
      <protection/>
    </xf>
    <xf numFmtId="0" fontId="14" fillId="0" borderId="135" xfId="107" applyFont="1" applyFill="1" applyBorder="1" applyAlignment="1">
      <alignment horizontal="center" vertical="center" wrapText="1"/>
      <protection/>
    </xf>
  </cellXfs>
  <cellStyles count="111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Ezres 2 2" xfId="69"/>
    <cellStyle name="Figyelmeztetés" xfId="70"/>
    <cellStyle name="Figyelmeztetés 2" xfId="71"/>
    <cellStyle name="Hyperlink" xfId="72"/>
    <cellStyle name="Hivatkozott cella" xfId="73"/>
    <cellStyle name="Hivatkozott cella 2" xfId="74"/>
    <cellStyle name="Jegyzet" xfId="75"/>
    <cellStyle name="Jegyzet 2" xfId="76"/>
    <cellStyle name="Jelölőszín (1) 2" xfId="77"/>
    <cellStyle name="Jelölőszín (2) 2" xfId="78"/>
    <cellStyle name="Jelölőszín (3) 2" xfId="79"/>
    <cellStyle name="Jelölőszín (4) 2" xfId="80"/>
    <cellStyle name="Jelölőszín (5) 2" xfId="81"/>
    <cellStyle name="Jelölőszín (6) 2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Jó 2" xfId="90"/>
    <cellStyle name="Kimenet" xfId="91"/>
    <cellStyle name="Kimenet 2" xfId="92"/>
    <cellStyle name="Followed Hyperlink" xfId="93"/>
    <cellStyle name="Magyarázó szöveg" xfId="94"/>
    <cellStyle name="Magyarázó szöveg 2" xfId="95"/>
    <cellStyle name="Normál 2" xfId="96"/>
    <cellStyle name="Normál 2 2" xfId="97"/>
    <cellStyle name="Normál 3" xfId="98"/>
    <cellStyle name="Normál 3 2" xfId="99"/>
    <cellStyle name="Normál 4 2" xfId="100"/>
    <cellStyle name="Normál 4 2 2" xfId="101"/>
    <cellStyle name="Normál_GÖRDÜLŐ" xfId="102"/>
    <cellStyle name="Normál_gördülő2" xfId="103"/>
    <cellStyle name="Normál_kiad2003eredeti" xfId="104"/>
    <cellStyle name="Normál_kiad2004eredeti HIVATALI AJÁNLOTT" xfId="105"/>
    <cellStyle name="Normál_kiad2006eredeti(4)" xfId="106"/>
    <cellStyle name="Normál_kiadásössz" xfId="107"/>
    <cellStyle name="Normál_KVFORMÁTUM" xfId="108"/>
    <cellStyle name="Normál_Önkbevét+Intézm." xfId="109"/>
    <cellStyle name="Normál_ÖSSZESSÍTETT pályázatok" xfId="110"/>
    <cellStyle name="Normál_ÖSSZESSÍTETT pályázatok 2" xfId="111"/>
    <cellStyle name="Normál_Városüzemeltetés Kht." xfId="112"/>
    <cellStyle name="Normál_x4. sz. melléklet-VÜZ" xfId="113"/>
    <cellStyle name="Összesen" xfId="114"/>
    <cellStyle name="Összesen 2" xfId="115"/>
    <cellStyle name="Currency" xfId="116"/>
    <cellStyle name="Currency [0]" xfId="117"/>
    <cellStyle name="Rossz" xfId="118"/>
    <cellStyle name="Rossz 2" xfId="119"/>
    <cellStyle name="Semleges" xfId="120"/>
    <cellStyle name="Semleges 2" xfId="121"/>
    <cellStyle name="Számítás" xfId="122"/>
    <cellStyle name="Számítás 2" xfId="123"/>
    <cellStyle name="Percen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TGVET&#201;S\2019\m&#243;dos3\kiad2019_m&#243;dos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20\02%20Febru&#225;r%2020\kiad2019_m&#243;dos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15">
        <row r="15">
          <cell r="T15">
            <v>175330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2">
        <row r="19">
          <cell r="T19">
            <v>2000</v>
          </cell>
        </row>
        <row r="29">
          <cell r="T29">
            <v>8275</v>
          </cell>
        </row>
        <row r="30">
          <cell r="T30">
            <v>200</v>
          </cell>
        </row>
        <row r="31">
          <cell r="T31">
            <v>100</v>
          </cell>
        </row>
        <row r="33">
          <cell r="T33">
            <v>900</v>
          </cell>
        </row>
      </sheetData>
      <sheetData sheetId="5">
        <row r="20">
          <cell r="E20">
            <v>40809</v>
          </cell>
        </row>
        <row r="21">
          <cell r="E21">
            <v>8000</v>
          </cell>
        </row>
        <row r="22">
          <cell r="E22">
            <v>6861</v>
          </cell>
        </row>
      </sheetData>
      <sheetData sheetId="8">
        <row r="16">
          <cell r="T16">
            <v>500</v>
          </cell>
        </row>
        <row r="17">
          <cell r="T17">
            <v>4600</v>
          </cell>
        </row>
        <row r="18">
          <cell r="T18">
            <v>10000</v>
          </cell>
        </row>
        <row r="19">
          <cell r="T19">
            <v>41969</v>
          </cell>
        </row>
      </sheetData>
      <sheetData sheetId="9">
        <row r="27">
          <cell r="T27">
            <v>8215</v>
          </cell>
        </row>
      </sheetData>
      <sheetData sheetId="10">
        <row r="16">
          <cell r="T16">
            <v>15088</v>
          </cell>
        </row>
        <row r="20">
          <cell r="T20">
            <v>1414</v>
          </cell>
        </row>
        <row r="21">
          <cell r="T21">
            <v>1300</v>
          </cell>
        </row>
        <row r="23">
          <cell r="T23">
            <v>3700</v>
          </cell>
        </row>
      </sheetData>
      <sheetData sheetId="14">
        <row r="15">
          <cell r="T15">
            <v>2000</v>
          </cell>
        </row>
        <row r="18">
          <cell r="T18">
            <v>1032</v>
          </cell>
        </row>
        <row r="23">
          <cell r="T23">
            <v>534</v>
          </cell>
        </row>
        <row r="24">
          <cell r="T24">
            <v>670</v>
          </cell>
        </row>
        <row r="25">
          <cell r="T25">
            <v>300</v>
          </cell>
        </row>
        <row r="26">
          <cell r="T26">
            <v>1212</v>
          </cell>
        </row>
      </sheetData>
      <sheetData sheetId="16">
        <row r="11">
          <cell r="T11">
            <v>3066</v>
          </cell>
        </row>
        <row r="31">
          <cell r="T31">
            <v>30485</v>
          </cell>
        </row>
        <row r="32">
          <cell r="T32">
            <v>6000</v>
          </cell>
        </row>
        <row r="33">
          <cell r="T33">
            <v>19</v>
          </cell>
        </row>
        <row r="34">
          <cell r="T34">
            <v>25000</v>
          </cell>
        </row>
        <row r="35">
          <cell r="T35">
            <v>13122</v>
          </cell>
        </row>
        <row r="38">
          <cell r="T38">
            <v>2000</v>
          </cell>
        </row>
        <row r="39">
          <cell r="T39">
            <v>66610</v>
          </cell>
        </row>
        <row r="40">
          <cell r="T40">
            <v>5000</v>
          </cell>
        </row>
        <row r="41">
          <cell r="T41">
            <v>81428</v>
          </cell>
        </row>
        <row r="42">
          <cell r="T42">
            <v>1000</v>
          </cell>
        </row>
      </sheetData>
      <sheetData sheetId="18">
        <row r="38">
          <cell r="T38">
            <v>722055</v>
          </cell>
        </row>
        <row r="41">
          <cell r="T41">
            <v>38002</v>
          </cell>
        </row>
        <row r="45">
          <cell r="T45">
            <v>47469</v>
          </cell>
        </row>
        <row r="49">
          <cell r="T49">
            <v>6765</v>
          </cell>
        </row>
        <row r="53">
          <cell r="T53">
            <v>43778</v>
          </cell>
        </row>
        <row r="128">
          <cell r="T128">
            <v>3568172</v>
          </cell>
        </row>
        <row r="138">
          <cell r="V138">
            <v>192117</v>
          </cell>
        </row>
        <row r="143">
          <cell r="V143">
            <v>61081</v>
          </cell>
        </row>
        <row r="148">
          <cell r="V148">
            <v>56512</v>
          </cell>
        </row>
        <row r="152">
          <cell r="V152">
            <v>32656</v>
          </cell>
        </row>
        <row r="179">
          <cell r="T179">
            <v>394525</v>
          </cell>
        </row>
        <row r="180">
          <cell r="T180">
            <v>58289</v>
          </cell>
        </row>
        <row r="181">
          <cell r="T181">
            <v>531515</v>
          </cell>
        </row>
        <row r="182">
          <cell r="T182">
            <v>10362</v>
          </cell>
        </row>
        <row r="201">
          <cell r="T201">
            <v>199631</v>
          </cell>
        </row>
        <row r="202">
          <cell r="T202">
            <v>107350</v>
          </cell>
        </row>
        <row r="207">
          <cell r="T207">
            <v>287427</v>
          </cell>
        </row>
        <row r="209">
          <cell r="T209">
            <v>8000</v>
          </cell>
        </row>
      </sheetData>
      <sheetData sheetId="22">
        <row r="15">
          <cell r="T15">
            <v>6000</v>
          </cell>
        </row>
        <row r="17">
          <cell r="T17">
            <v>13000</v>
          </cell>
        </row>
        <row r="18">
          <cell r="T18">
            <v>6480</v>
          </cell>
        </row>
      </sheetData>
      <sheetData sheetId="24">
        <row r="31">
          <cell r="T31">
            <v>2900</v>
          </cell>
        </row>
        <row r="32">
          <cell r="T32">
            <v>2152</v>
          </cell>
        </row>
        <row r="34">
          <cell r="T34">
            <v>8611</v>
          </cell>
        </row>
        <row r="35">
          <cell r="T35">
            <v>3000</v>
          </cell>
        </row>
        <row r="36">
          <cell r="T36">
            <v>46</v>
          </cell>
        </row>
        <row r="41">
          <cell r="K41">
            <v>2540</v>
          </cell>
          <cell r="L41">
            <v>40937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6"/>
  <sheetViews>
    <sheetView showGridLines="0" zoomScale="90" zoomScaleNormal="90"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6.875" style="587" customWidth="1"/>
    <col min="2" max="2" width="7.375" style="587" customWidth="1"/>
    <col min="3" max="3" width="11.50390625" style="589" customWidth="1"/>
    <col min="4" max="4" width="6.875" style="589" customWidth="1"/>
    <col min="5" max="5" width="83.875" style="589" customWidth="1"/>
    <col min="6" max="6" width="9.375" style="589" customWidth="1"/>
    <col min="7" max="7" width="16.50390625" style="599" customWidth="1"/>
    <col min="8" max="8" width="17.125" style="599" customWidth="1"/>
    <col min="9" max="9" width="18.00390625" style="599" customWidth="1"/>
    <col min="10" max="10" width="16.125" style="29" customWidth="1"/>
    <col min="12" max="12" width="10.375" style="762" bestFit="1" customWidth="1"/>
  </cols>
  <sheetData>
    <row r="1" spans="3:9" ht="14.25">
      <c r="C1" s="588"/>
      <c r="I1" s="600" t="s">
        <v>944</v>
      </c>
    </row>
    <row r="2" ht="13.5" customHeight="1">
      <c r="I2" s="600" t="s">
        <v>93</v>
      </c>
    </row>
    <row r="3" spans="1:12" s="597" customFormat="1" ht="30.75" customHeight="1">
      <c r="A3" s="1863" t="s">
        <v>653</v>
      </c>
      <c r="B3" s="1863"/>
      <c r="C3" s="1863"/>
      <c r="D3" s="1863"/>
      <c r="E3" s="1863"/>
      <c r="F3" s="1863"/>
      <c r="G3" s="1863"/>
      <c r="H3" s="1863"/>
      <c r="I3" s="1863"/>
      <c r="J3" s="1180"/>
      <c r="L3" s="1496"/>
    </row>
    <row r="4" spans="1:12" s="594" customFormat="1" ht="21" customHeight="1">
      <c r="A4" s="1850" t="s">
        <v>559</v>
      </c>
      <c r="B4" s="1850"/>
      <c r="C4" s="1850"/>
      <c r="D4" s="1850"/>
      <c r="E4" s="1850"/>
      <c r="F4" s="1850"/>
      <c r="G4" s="1850"/>
      <c r="H4" s="1850"/>
      <c r="I4" s="1850"/>
      <c r="J4" s="1181"/>
      <c r="L4" s="762"/>
    </row>
    <row r="5" ht="24" customHeight="1" thickBot="1">
      <c r="I5" s="600" t="s">
        <v>134</v>
      </c>
    </row>
    <row r="6" spans="1:12" s="592" customFormat="1" ht="66" customHeight="1" thickBot="1">
      <c r="A6" s="593" t="s">
        <v>317</v>
      </c>
      <c r="B6" s="1864" t="s">
        <v>318</v>
      </c>
      <c r="C6" s="1864"/>
      <c r="D6" s="1864"/>
      <c r="E6" s="1865"/>
      <c r="F6" s="621" t="s">
        <v>231</v>
      </c>
      <c r="G6" s="1006" t="s">
        <v>790</v>
      </c>
      <c r="H6" s="1007" t="s">
        <v>438</v>
      </c>
      <c r="I6" s="616" t="s">
        <v>658</v>
      </c>
      <c r="J6" s="1182"/>
      <c r="L6" s="1494"/>
    </row>
    <row r="7" spans="1:12" s="994" customFormat="1" ht="10.5" customHeight="1" thickBot="1">
      <c r="A7" s="995">
        <v>1</v>
      </c>
      <c r="B7" s="1860">
        <v>2</v>
      </c>
      <c r="C7" s="1861"/>
      <c r="D7" s="1861"/>
      <c r="E7" s="1862"/>
      <c r="F7" s="996">
        <v>3</v>
      </c>
      <c r="G7" s="997">
        <v>4</v>
      </c>
      <c r="H7" s="998">
        <v>5</v>
      </c>
      <c r="I7" s="999">
        <v>6</v>
      </c>
      <c r="J7" s="1183"/>
      <c r="L7" s="1494"/>
    </row>
    <row r="8" spans="1:12" s="200" customFormat="1" ht="17.25" customHeight="1" thickBot="1">
      <c r="A8" s="644">
        <v>1</v>
      </c>
      <c r="B8" s="1853" t="s">
        <v>319</v>
      </c>
      <c r="C8" s="1853"/>
      <c r="D8" s="1853"/>
      <c r="E8" s="1854"/>
      <c r="F8" s="645" t="s">
        <v>234</v>
      </c>
      <c r="G8" s="884">
        <f>SUM(G9:G14)</f>
        <v>2037016</v>
      </c>
      <c r="H8" s="884">
        <f>SUM(H9:H14)</f>
        <v>80403</v>
      </c>
      <c r="I8" s="1176">
        <f>SUM(I9:I14)</f>
        <v>2117419</v>
      </c>
      <c r="J8" s="152"/>
      <c r="L8" s="1495">
        <f>hivatal9!K36</f>
        <v>2117419</v>
      </c>
    </row>
    <row r="9" spans="1:12" s="88" customFormat="1" ht="15.75" customHeight="1">
      <c r="A9" s="662"/>
      <c r="B9" s="660" t="s">
        <v>98</v>
      </c>
      <c r="C9" s="1834" t="s">
        <v>235</v>
      </c>
      <c r="D9" s="1835"/>
      <c r="E9" s="1836"/>
      <c r="F9" s="649" t="s">
        <v>236</v>
      </c>
      <c r="G9" s="1031">
        <v>6515</v>
      </c>
      <c r="H9" s="650">
        <v>1911</v>
      </c>
      <c r="I9" s="651">
        <f aca="true" t="shared" si="0" ref="I9:I15">SUM(G9:H9)</f>
        <v>8426</v>
      </c>
      <c r="J9" s="234"/>
      <c r="L9" s="760"/>
    </row>
    <row r="10" spans="1:12" s="88" customFormat="1" ht="14.25">
      <c r="A10" s="662"/>
      <c r="B10" s="630" t="s">
        <v>99</v>
      </c>
      <c r="C10" s="1839" t="s">
        <v>237</v>
      </c>
      <c r="D10" s="1840"/>
      <c r="E10" s="1841"/>
      <c r="F10" s="622" t="s">
        <v>238</v>
      </c>
      <c r="G10" s="611">
        <v>905423</v>
      </c>
      <c r="H10" s="604">
        <v>22605</v>
      </c>
      <c r="I10" s="651">
        <f t="shared" si="0"/>
        <v>928028</v>
      </c>
      <c r="J10" s="234"/>
      <c r="L10" s="760"/>
    </row>
    <row r="11" spans="1:12" s="88" customFormat="1" ht="14.25">
      <c r="A11" s="662"/>
      <c r="B11" s="630" t="s">
        <v>100</v>
      </c>
      <c r="C11" s="1857" t="s">
        <v>239</v>
      </c>
      <c r="D11" s="1858"/>
      <c r="E11" s="1859"/>
      <c r="F11" s="622" t="s">
        <v>240</v>
      </c>
      <c r="G11" s="611">
        <v>892141</v>
      </c>
      <c r="H11" s="604">
        <v>54073</v>
      </c>
      <c r="I11" s="651">
        <f t="shared" si="0"/>
        <v>946214</v>
      </c>
      <c r="J11" s="964">
        <f>SUM(I9:I11)</f>
        <v>1882668</v>
      </c>
      <c r="L11" s="760"/>
    </row>
    <row r="12" spans="1:12" s="88" customFormat="1" ht="14.25">
      <c r="A12" s="662"/>
      <c r="B12" s="630" t="s">
        <v>101</v>
      </c>
      <c r="C12" s="1839" t="s">
        <v>241</v>
      </c>
      <c r="D12" s="1840"/>
      <c r="E12" s="1841"/>
      <c r="F12" s="622" t="s">
        <v>242</v>
      </c>
      <c r="G12" s="611">
        <v>228078</v>
      </c>
      <c r="H12" s="604">
        <v>1814</v>
      </c>
      <c r="I12" s="651">
        <f t="shared" si="0"/>
        <v>229892</v>
      </c>
      <c r="J12" s="234"/>
      <c r="L12" s="760"/>
    </row>
    <row r="13" spans="1:12" s="88" customFormat="1" ht="14.25">
      <c r="A13" s="662"/>
      <c r="B13" s="630" t="s">
        <v>192</v>
      </c>
      <c r="C13" s="1839" t="s">
        <v>534</v>
      </c>
      <c r="D13" s="1840"/>
      <c r="E13" s="1841"/>
      <c r="F13" s="622" t="s">
        <v>243</v>
      </c>
      <c r="G13" s="611">
        <v>0</v>
      </c>
      <c r="H13" s="604"/>
      <c r="I13" s="651">
        <f t="shared" si="0"/>
        <v>0</v>
      </c>
      <c r="J13" s="234"/>
      <c r="L13" s="760"/>
    </row>
    <row r="14" spans="1:12" s="88" customFormat="1" ht="15" thickBot="1">
      <c r="A14" s="663"/>
      <c r="B14" s="638" t="s">
        <v>339</v>
      </c>
      <c r="C14" s="1842" t="s">
        <v>535</v>
      </c>
      <c r="D14" s="1843"/>
      <c r="E14" s="1844"/>
      <c r="F14" s="653" t="s">
        <v>244</v>
      </c>
      <c r="G14" s="613">
        <v>4859</v>
      </c>
      <c r="H14" s="605"/>
      <c r="I14" s="651">
        <f t="shared" si="0"/>
        <v>4859</v>
      </c>
      <c r="J14" s="234"/>
      <c r="L14" s="760"/>
    </row>
    <row r="15" spans="1:12" s="88" customFormat="1" ht="15.75" thickBot="1">
      <c r="A15" s="661">
        <v>2</v>
      </c>
      <c r="B15" s="1866" t="s">
        <v>245</v>
      </c>
      <c r="C15" s="1853"/>
      <c r="D15" s="1853"/>
      <c r="E15" s="1854"/>
      <c r="F15" s="695" t="s">
        <v>246</v>
      </c>
      <c r="G15" s="654"/>
      <c r="H15" s="655"/>
      <c r="I15" s="648">
        <f t="shared" si="0"/>
        <v>0</v>
      </c>
      <c r="J15" s="234"/>
      <c r="L15" s="760"/>
    </row>
    <row r="16" spans="1:12" s="234" customFormat="1" ht="14.25" customHeight="1">
      <c r="A16" s="657">
        <v>3</v>
      </c>
      <c r="B16" s="1831" t="s">
        <v>247</v>
      </c>
      <c r="C16" s="1832"/>
      <c r="D16" s="1832"/>
      <c r="E16" s="1833"/>
      <c r="F16" s="1755" t="s">
        <v>248</v>
      </c>
      <c r="G16" s="1756">
        <f>SUM(G17:G19)</f>
        <v>213708</v>
      </c>
      <c r="H16" s="1756">
        <f>SUM(H17:H19)</f>
        <v>427114</v>
      </c>
      <c r="I16" s="658">
        <f>SUM(I17:I19)</f>
        <v>640822</v>
      </c>
      <c r="L16" s="1457">
        <f>hivatal9!K39</f>
        <v>640822</v>
      </c>
    </row>
    <row r="17" spans="1:12" s="200" customFormat="1" ht="15" customHeight="1">
      <c r="A17" s="634"/>
      <c r="B17" s="1868"/>
      <c r="C17" s="793" t="s">
        <v>253</v>
      </c>
      <c r="D17" s="1851" t="s">
        <v>624</v>
      </c>
      <c r="E17" s="1852"/>
      <c r="F17" s="1038" t="s">
        <v>248</v>
      </c>
      <c r="G17" s="690">
        <v>128417</v>
      </c>
      <c r="H17" s="691">
        <v>730</v>
      </c>
      <c r="I17" s="1039">
        <f>SUM(G17:H17)</f>
        <v>129147</v>
      </c>
      <c r="J17" s="152"/>
      <c r="L17" s="760"/>
    </row>
    <row r="18" spans="1:12" s="200" customFormat="1" ht="14.25">
      <c r="A18" s="634"/>
      <c r="B18" s="1868"/>
      <c r="C18" s="1203" t="s">
        <v>253</v>
      </c>
      <c r="D18" s="1837" t="s">
        <v>320</v>
      </c>
      <c r="E18" s="1867"/>
      <c r="F18" s="598" t="s">
        <v>248</v>
      </c>
      <c r="G18" s="619">
        <v>0</v>
      </c>
      <c r="H18" s="619"/>
      <c r="I18" s="1039">
        <f>SUM(G18:H18)</f>
        <v>0</v>
      </c>
      <c r="J18" s="152"/>
      <c r="L18" s="760"/>
    </row>
    <row r="19" spans="1:12" s="200" customFormat="1" ht="15" thickBot="1">
      <c r="A19" s="634"/>
      <c r="B19" s="1869"/>
      <c r="C19" s="793" t="s">
        <v>253</v>
      </c>
      <c r="D19" s="1851" t="s">
        <v>364</v>
      </c>
      <c r="E19" s="1852"/>
      <c r="F19" s="598" t="s">
        <v>248</v>
      </c>
      <c r="G19" s="690">
        <v>85291</v>
      </c>
      <c r="H19" s="691">
        <f>1123-10395-1290+4954-2652-71+8398+241597+197759+2911-15950</f>
        <v>426384</v>
      </c>
      <c r="I19" s="601">
        <f>SUM(G19:H19)</f>
        <v>511675</v>
      </c>
      <c r="J19" s="152"/>
      <c r="L19" s="760"/>
    </row>
    <row r="20" spans="1:15" s="200" customFormat="1" ht="18.75" customHeight="1" thickBot="1">
      <c r="A20" s="705" t="s">
        <v>95</v>
      </c>
      <c r="B20" s="1849" t="s">
        <v>232</v>
      </c>
      <c r="C20" s="1823"/>
      <c r="D20" s="1823"/>
      <c r="E20" s="1824"/>
      <c r="F20" s="706" t="s">
        <v>233</v>
      </c>
      <c r="G20" s="707">
        <f>G8+G15+G16</f>
        <v>2250724</v>
      </c>
      <c r="H20" s="707">
        <f>H8+H15+H16</f>
        <v>507517</v>
      </c>
      <c r="I20" s="708">
        <f>I8+I106+I16</f>
        <v>2758241</v>
      </c>
      <c r="J20" s="1178">
        <f>SUM(G20:H20)</f>
        <v>2758241</v>
      </c>
      <c r="L20" s="1495">
        <f>hivatal9!K40</f>
        <v>2758241</v>
      </c>
      <c r="O20" s="596"/>
    </row>
    <row r="21" spans="1:12" s="200" customFormat="1" ht="15.75" thickBot="1">
      <c r="A21" s="644">
        <v>1</v>
      </c>
      <c r="B21" s="1853" t="s">
        <v>251</v>
      </c>
      <c r="C21" s="1853"/>
      <c r="D21" s="1853"/>
      <c r="E21" s="1854"/>
      <c r="F21" s="645" t="s">
        <v>252</v>
      </c>
      <c r="G21" s="646">
        <v>0</v>
      </c>
      <c r="H21" s="647">
        <v>0</v>
      </c>
      <c r="I21" s="652">
        <f>SUM(G21:H21)</f>
        <v>0</v>
      </c>
      <c r="J21" s="152"/>
      <c r="L21" s="760"/>
    </row>
    <row r="22" spans="1:12" s="200" customFormat="1" ht="15">
      <c r="A22" s="657">
        <v>2</v>
      </c>
      <c r="B22" s="1855" t="s">
        <v>254</v>
      </c>
      <c r="C22" s="1855"/>
      <c r="D22" s="1855"/>
      <c r="E22" s="1856"/>
      <c r="F22" s="632" t="s">
        <v>255</v>
      </c>
      <c r="G22" s="643">
        <f>SUM(G23:G25)</f>
        <v>1810000</v>
      </c>
      <c r="H22" s="610">
        <f>SUM(H23:H25)</f>
        <v>216143</v>
      </c>
      <c r="I22" s="610">
        <f>SUM(I23:I25)</f>
        <v>2026143</v>
      </c>
      <c r="J22" s="1178">
        <f>SUM(I23:I25)</f>
        <v>2026143</v>
      </c>
      <c r="L22" s="760"/>
    </row>
    <row r="23" spans="1:12" s="88" customFormat="1" ht="14.25">
      <c r="A23" s="634"/>
      <c r="B23" s="630" t="s">
        <v>98</v>
      </c>
      <c r="C23" s="1839" t="s">
        <v>96</v>
      </c>
      <c r="D23" s="1840"/>
      <c r="E23" s="1841"/>
      <c r="F23" s="624" t="s">
        <v>255</v>
      </c>
      <c r="G23" s="612">
        <v>1100000</v>
      </c>
      <c r="H23" s="619">
        <v>83170</v>
      </c>
      <c r="I23" s="618">
        <f>SUM(G23:H23)</f>
        <v>1183170</v>
      </c>
      <c r="J23" s="234"/>
      <c r="L23" s="760"/>
    </row>
    <row r="24" spans="1:12" s="88" customFormat="1" ht="14.25">
      <c r="A24" s="634"/>
      <c r="B24" s="630" t="s">
        <v>99</v>
      </c>
      <c r="C24" s="1839" t="s">
        <v>103</v>
      </c>
      <c r="D24" s="1840"/>
      <c r="E24" s="1841"/>
      <c r="F24" s="624" t="s">
        <v>255</v>
      </c>
      <c r="G24" s="612">
        <v>210000</v>
      </c>
      <c r="H24" s="619">
        <v>5695</v>
      </c>
      <c r="I24" s="618">
        <f>SUM(G24:H24)</f>
        <v>215695</v>
      </c>
      <c r="J24" s="234"/>
      <c r="L24" s="760"/>
    </row>
    <row r="25" spans="1:12" s="88" customFormat="1" ht="15" thickBot="1">
      <c r="A25" s="634"/>
      <c r="B25" s="638" t="s">
        <v>100</v>
      </c>
      <c r="C25" s="1883" t="s">
        <v>97</v>
      </c>
      <c r="D25" s="1884"/>
      <c r="E25" s="1885"/>
      <c r="F25" s="669" t="s">
        <v>255</v>
      </c>
      <c r="G25" s="614">
        <v>500000</v>
      </c>
      <c r="H25" s="620">
        <v>127278</v>
      </c>
      <c r="I25" s="618">
        <f>SUM(G25:H25)</f>
        <v>627278</v>
      </c>
      <c r="J25" s="234"/>
      <c r="L25" s="760"/>
    </row>
    <row r="26" spans="1:12" s="200" customFormat="1" ht="15" customHeight="1">
      <c r="A26" s="657">
        <v>3</v>
      </c>
      <c r="B26" s="1831" t="s">
        <v>256</v>
      </c>
      <c r="C26" s="1832"/>
      <c r="D26" s="1832"/>
      <c r="E26" s="1833"/>
      <c r="F26" s="629" t="s">
        <v>257</v>
      </c>
      <c r="G26" s="639">
        <f>G27+G29+G30+G28</f>
        <v>4504967</v>
      </c>
      <c r="H26" s="639">
        <f>H27+H29+H30+H28</f>
        <v>253757</v>
      </c>
      <c r="I26" s="640">
        <f>I27+I29+I30+I28</f>
        <v>4758724</v>
      </c>
      <c r="J26" s="152"/>
      <c r="L26" s="760"/>
    </row>
    <row r="27" spans="1:12" s="200" customFormat="1" ht="14.25">
      <c r="A27" s="634"/>
      <c r="B27" s="630" t="s">
        <v>98</v>
      </c>
      <c r="C27" s="1839" t="s">
        <v>380</v>
      </c>
      <c r="D27" s="1840"/>
      <c r="E27" s="1841"/>
      <c r="F27" s="623" t="s">
        <v>258</v>
      </c>
      <c r="G27" s="965">
        <v>4319222</v>
      </c>
      <c r="H27" s="601">
        <v>250465</v>
      </c>
      <c r="I27" s="601">
        <f>SUM(G27:H27)</f>
        <v>4569687</v>
      </c>
      <c r="J27" s="152"/>
      <c r="L27" s="760"/>
    </row>
    <row r="28" spans="1:12" s="200" customFormat="1" ht="14.25">
      <c r="A28" s="634"/>
      <c r="B28" s="630" t="s">
        <v>99</v>
      </c>
      <c r="C28" s="1056" t="s">
        <v>501</v>
      </c>
      <c r="D28" s="1057"/>
      <c r="E28" s="623"/>
      <c r="F28" s="623" t="s">
        <v>502</v>
      </c>
      <c r="G28" s="965"/>
      <c r="H28" s="601"/>
      <c r="I28" s="601">
        <f>SUM(G28:H28)</f>
        <v>0</v>
      </c>
      <c r="J28" s="152"/>
      <c r="L28" s="760"/>
    </row>
    <row r="29" spans="1:12" s="88" customFormat="1" ht="14.25">
      <c r="A29" s="634"/>
      <c r="B29" s="630" t="s">
        <v>100</v>
      </c>
      <c r="C29" s="1839" t="s">
        <v>104</v>
      </c>
      <c r="D29" s="1840"/>
      <c r="E29" s="1841"/>
      <c r="F29" s="623" t="s">
        <v>259</v>
      </c>
      <c r="G29" s="965">
        <v>185000</v>
      </c>
      <c r="H29" s="601">
        <v>2888</v>
      </c>
      <c r="I29" s="601">
        <f>SUM(G29:H29)</f>
        <v>187888</v>
      </c>
      <c r="J29" s="234"/>
      <c r="L29" s="760"/>
    </row>
    <row r="30" spans="1:12" s="88" customFormat="1" ht="15">
      <c r="A30" s="634"/>
      <c r="B30" s="1846" t="s">
        <v>101</v>
      </c>
      <c r="C30" s="1839" t="s">
        <v>260</v>
      </c>
      <c r="D30" s="1840"/>
      <c r="E30" s="1841"/>
      <c r="F30" s="633" t="s">
        <v>261</v>
      </c>
      <c r="G30" s="685">
        <f>SUM(G31:G32)</f>
        <v>745</v>
      </c>
      <c r="H30" s="685">
        <f>SUM(H31:H32)</f>
        <v>404</v>
      </c>
      <c r="I30" s="602">
        <f>SUM(I31:I32)</f>
        <v>1149</v>
      </c>
      <c r="J30" s="234"/>
      <c r="L30" s="760"/>
    </row>
    <row r="31" spans="1:12" s="88" customFormat="1" ht="14.25">
      <c r="A31" s="634"/>
      <c r="B31" s="1847"/>
      <c r="C31" s="736" t="s">
        <v>253</v>
      </c>
      <c r="D31" s="1186" t="s">
        <v>528</v>
      </c>
      <c r="E31" s="623"/>
      <c r="F31" s="624" t="s">
        <v>261</v>
      </c>
      <c r="G31" s="1195">
        <v>745</v>
      </c>
      <c r="H31" s="1195">
        <v>404</v>
      </c>
      <c r="I31" s="891">
        <f>SUM(G31:H31)</f>
        <v>1149</v>
      </c>
      <c r="J31" s="234"/>
      <c r="L31" s="760"/>
    </row>
    <row r="32" spans="1:12" s="1009" customFormat="1" ht="14.25" customHeight="1" thickBot="1">
      <c r="A32" s="1010"/>
      <c r="B32" s="1848"/>
      <c r="C32" s="755" t="s">
        <v>253</v>
      </c>
      <c r="D32" s="636" t="s">
        <v>365</v>
      </c>
      <c r="E32" s="637"/>
      <c r="F32" s="669" t="s">
        <v>261</v>
      </c>
      <c r="G32" s="1011"/>
      <c r="H32" s="970"/>
      <c r="I32" s="1196">
        <f>SUM(G32:H32)</f>
        <v>0</v>
      </c>
      <c r="J32" s="1184"/>
      <c r="L32" s="739"/>
    </row>
    <row r="33" spans="1:12" s="200" customFormat="1" ht="14.25" customHeight="1">
      <c r="A33" s="657">
        <v>4</v>
      </c>
      <c r="B33" s="1831" t="s">
        <v>262</v>
      </c>
      <c r="C33" s="1832"/>
      <c r="D33" s="1832"/>
      <c r="E33" s="1832"/>
      <c r="F33" s="1273" t="s">
        <v>263</v>
      </c>
      <c r="G33" s="1269">
        <f>SUM(G34:G39)</f>
        <v>25767</v>
      </c>
      <c r="H33" s="640">
        <f>SUM(H34:H39)</f>
        <v>1267</v>
      </c>
      <c r="I33" s="1269">
        <f>SUM(I34:I39)</f>
        <v>27034</v>
      </c>
      <c r="J33" s="1178">
        <f>SUM(G33:H33)</f>
        <v>27034</v>
      </c>
      <c r="L33" s="760"/>
    </row>
    <row r="34" spans="1:12" s="88" customFormat="1" ht="14.25" customHeight="1">
      <c r="A34" s="634"/>
      <c r="B34" s="1870"/>
      <c r="C34" s="736" t="s">
        <v>253</v>
      </c>
      <c r="D34" s="1839" t="s">
        <v>48</v>
      </c>
      <c r="E34" s="1840"/>
      <c r="F34" s="598" t="s">
        <v>263</v>
      </c>
      <c r="G34" s="1267">
        <v>65</v>
      </c>
      <c r="H34" s="619">
        <v>5</v>
      </c>
      <c r="I34" s="618">
        <f>SUM(G34:H34)</f>
        <v>70</v>
      </c>
      <c r="J34" s="234"/>
      <c r="L34" s="760"/>
    </row>
    <row r="35" spans="1:12" s="88" customFormat="1" ht="14.25" customHeight="1">
      <c r="A35" s="634"/>
      <c r="B35" s="1871"/>
      <c r="C35" s="736" t="s">
        <v>253</v>
      </c>
      <c r="D35" s="1839" t="s">
        <v>844</v>
      </c>
      <c r="E35" s="1840"/>
      <c r="F35" s="598" t="s">
        <v>263</v>
      </c>
      <c r="G35" s="1267">
        <v>2077</v>
      </c>
      <c r="H35" s="619">
        <v>148</v>
      </c>
      <c r="I35" s="618">
        <f>SUM(G35:H35)</f>
        <v>2225</v>
      </c>
      <c r="J35" s="234"/>
      <c r="L35" s="760"/>
    </row>
    <row r="36" spans="1:12" s="88" customFormat="1" ht="14.25" customHeight="1">
      <c r="A36" s="634"/>
      <c r="B36" s="1871"/>
      <c r="C36" s="736" t="s">
        <v>253</v>
      </c>
      <c r="D36" s="1839" t="s">
        <v>337</v>
      </c>
      <c r="E36" s="1840"/>
      <c r="F36" s="598" t="s">
        <v>263</v>
      </c>
      <c r="G36" s="1267"/>
      <c r="H36" s="619">
        <v>270</v>
      </c>
      <c r="I36" s="618">
        <f>SUM(G36:H36)</f>
        <v>270</v>
      </c>
      <c r="J36" s="234"/>
      <c r="L36" s="760"/>
    </row>
    <row r="37" spans="1:12" s="200" customFormat="1" ht="14.25" customHeight="1">
      <c r="A37" s="635"/>
      <c r="B37" s="1871"/>
      <c r="C37" s="736" t="s">
        <v>253</v>
      </c>
      <c r="D37" s="1839" t="s">
        <v>338</v>
      </c>
      <c r="E37" s="1840"/>
      <c r="F37" s="598" t="s">
        <v>263</v>
      </c>
      <c r="G37" s="1267"/>
      <c r="H37" s="619"/>
      <c r="I37" s="618">
        <f>SUM(G37:H37)</f>
        <v>0</v>
      </c>
      <c r="J37" s="152"/>
      <c r="L37" s="760"/>
    </row>
    <row r="38" spans="1:12" s="200" customFormat="1" ht="14.25" customHeight="1">
      <c r="A38" s="635"/>
      <c r="B38" s="1871"/>
      <c r="C38" s="736" t="s">
        <v>253</v>
      </c>
      <c r="D38" s="1839" t="s">
        <v>321</v>
      </c>
      <c r="E38" s="1840"/>
      <c r="F38" s="598" t="s">
        <v>263</v>
      </c>
      <c r="G38" s="1267"/>
      <c r="H38" s="619"/>
      <c r="I38" s="618">
        <f>SUM(G38:H38)</f>
        <v>0</v>
      </c>
      <c r="J38" s="152"/>
      <c r="L38" s="760"/>
    </row>
    <row r="39" spans="1:12" s="88" customFormat="1" ht="14.25" customHeight="1">
      <c r="A39" s="1873"/>
      <c r="B39" s="1871"/>
      <c r="C39" s="1846" t="s">
        <v>253</v>
      </c>
      <c r="D39" s="1839" t="s">
        <v>49</v>
      </c>
      <c r="E39" s="1840"/>
      <c r="F39" s="598" t="s">
        <v>263</v>
      </c>
      <c r="G39" s="1267">
        <f>SUM(G40:G43)</f>
        <v>23625</v>
      </c>
      <c r="H39" s="619">
        <f>SUM(H40:H43)</f>
        <v>844</v>
      </c>
      <c r="I39" s="1267">
        <f>SUM(I40:I43)</f>
        <v>24469</v>
      </c>
      <c r="J39" s="234"/>
      <c r="L39" s="760"/>
    </row>
    <row r="40" spans="1:12" s="88" customFormat="1" ht="14.25" customHeight="1">
      <c r="A40" s="1873"/>
      <c r="B40" s="1871"/>
      <c r="C40" s="1847"/>
      <c r="D40" s="585" t="s">
        <v>57</v>
      </c>
      <c r="E40" s="1270" t="s">
        <v>445</v>
      </c>
      <c r="F40" s="598" t="s">
        <v>263</v>
      </c>
      <c r="G40" s="1268">
        <v>5000</v>
      </c>
      <c r="H40" s="606">
        <v>1430</v>
      </c>
      <c r="I40" s="1266">
        <f>SUM(G40:H40)</f>
        <v>6430</v>
      </c>
      <c r="J40" s="234"/>
      <c r="L40" s="760"/>
    </row>
    <row r="41" spans="1:12" s="88" customFormat="1" ht="14.25" customHeight="1">
      <c r="A41" s="1873"/>
      <c r="B41" s="1871"/>
      <c r="C41" s="1847"/>
      <c r="D41" s="585" t="s">
        <v>58</v>
      </c>
      <c r="E41" s="1270" t="s">
        <v>440</v>
      </c>
      <c r="F41" s="598" t="s">
        <v>263</v>
      </c>
      <c r="G41" s="1386">
        <v>10535</v>
      </c>
      <c r="H41" s="606">
        <v>-727</v>
      </c>
      <c r="I41" s="1266">
        <f>SUM(G41:H41)</f>
        <v>9808</v>
      </c>
      <c r="J41" s="234"/>
      <c r="L41" s="760"/>
    </row>
    <row r="42" spans="1:12" s="88" customFormat="1" ht="14.25" customHeight="1">
      <c r="A42" s="1873"/>
      <c r="B42" s="1871"/>
      <c r="C42" s="1847"/>
      <c r="D42" s="664" t="s">
        <v>555</v>
      </c>
      <c r="E42" s="1270" t="s">
        <v>335</v>
      </c>
      <c r="F42" s="598" t="s">
        <v>263</v>
      </c>
      <c r="G42" s="1268">
        <v>8000</v>
      </c>
      <c r="H42" s="606">
        <v>30</v>
      </c>
      <c r="I42" s="1266">
        <f>SUM(G42:H42)</f>
        <v>8030</v>
      </c>
      <c r="J42" s="234"/>
      <c r="L42" s="760"/>
    </row>
    <row r="43" spans="1:12" s="88" customFormat="1" ht="14.25" customHeight="1" thickBot="1">
      <c r="A43" s="1874"/>
      <c r="B43" s="1872"/>
      <c r="C43" s="1848"/>
      <c r="D43" s="664" t="s">
        <v>556</v>
      </c>
      <c r="E43" s="1270" t="s">
        <v>381</v>
      </c>
      <c r="F43" s="1272" t="s">
        <v>263</v>
      </c>
      <c r="G43" s="1271">
        <v>90</v>
      </c>
      <c r="H43" s="970">
        <v>111</v>
      </c>
      <c r="I43" s="1266">
        <f>SUM(G43:H43)</f>
        <v>201</v>
      </c>
      <c r="J43" s="234"/>
      <c r="L43" s="760"/>
    </row>
    <row r="44" spans="1:12" s="200" customFormat="1" ht="18.75" customHeight="1" thickBot="1">
      <c r="A44" s="709" t="s">
        <v>102</v>
      </c>
      <c r="B44" s="1822" t="s">
        <v>249</v>
      </c>
      <c r="C44" s="1823"/>
      <c r="D44" s="1823"/>
      <c r="E44" s="1824"/>
      <c r="F44" s="710" t="s">
        <v>250</v>
      </c>
      <c r="G44" s="711">
        <f>G21+G22++G26+G33</f>
        <v>6340734</v>
      </c>
      <c r="H44" s="712">
        <f>H21+H22++H26+H33</f>
        <v>471167</v>
      </c>
      <c r="I44" s="708">
        <f>I21+I22++I26+I33</f>
        <v>6811901</v>
      </c>
      <c r="J44" s="1178">
        <f>SUM(G44:H44)</f>
        <v>6811901</v>
      </c>
      <c r="L44" s="1495">
        <f>hivatal9!K45</f>
        <v>6811901</v>
      </c>
    </row>
    <row r="45" spans="1:12" s="200" customFormat="1" ht="15.75" customHeight="1">
      <c r="A45" s="657">
        <v>1</v>
      </c>
      <c r="B45" s="1831" t="s">
        <v>266</v>
      </c>
      <c r="C45" s="1832"/>
      <c r="D45" s="1832"/>
      <c r="E45" s="1833"/>
      <c r="F45" s="667" t="s">
        <v>267</v>
      </c>
      <c r="G45" s="673">
        <v>2040</v>
      </c>
      <c r="H45" s="674">
        <f>927+7+117</f>
        <v>1051</v>
      </c>
      <c r="I45" s="686">
        <f aca="true" t="shared" si="1" ref="I45:I56">SUM(G45:H45)</f>
        <v>3091</v>
      </c>
      <c r="J45" s="152"/>
      <c r="L45" s="760"/>
    </row>
    <row r="46" spans="1:12" s="200" customFormat="1" ht="15" customHeight="1">
      <c r="A46" s="656">
        <v>2</v>
      </c>
      <c r="B46" s="1819" t="s">
        <v>268</v>
      </c>
      <c r="C46" s="1820"/>
      <c r="D46" s="1820"/>
      <c r="E46" s="1821"/>
      <c r="F46" s="668" t="s">
        <v>269</v>
      </c>
      <c r="G46" s="677">
        <v>626691</v>
      </c>
      <c r="H46" s="678">
        <f>777+2446+400-100+89427+578</f>
        <v>93528</v>
      </c>
      <c r="I46" s="703">
        <f t="shared" si="1"/>
        <v>720219</v>
      </c>
      <c r="J46" s="152"/>
      <c r="L46" s="760"/>
    </row>
    <row r="47" spans="1:10" s="739" customFormat="1" ht="15" customHeight="1">
      <c r="A47" s="735"/>
      <c r="B47" s="1054"/>
      <c r="C47" s="585" t="s">
        <v>253</v>
      </c>
      <c r="D47" s="585" t="s">
        <v>322</v>
      </c>
      <c r="E47" s="586"/>
      <c r="F47" s="624" t="s">
        <v>269</v>
      </c>
      <c r="G47" s="1387">
        <v>517954</v>
      </c>
      <c r="H47" s="606">
        <v>89427</v>
      </c>
      <c r="I47" s="891">
        <f t="shared" si="1"/>
        <v>607381</v>
      </c>
      <c r="J47" s="1008"/>
    </row>
    <row r="48" spans="1:12" s="200" customFormat="1" ht="15" customHeight="1">
      <c r="A48" s="656">
        <v>3</v>
      </c>
      <c r="B48" s="1819" t="s">
        <v>270</v>
      </c>
      <c r="C48" s="1820"/>
      <c r="D48" s="1820"/>
      <c r="E48" s="1821"/>
      <c r="F48" s="668" t="s">
        <v>271</v>
      </c>
      <c r="G48" s="677">
        <v>119015</v>
      </c>
      <c r="H48" s="678">
        <f>255+413+250+12969+30245</f>
        <v>44132</v>
      </c>
      <c r="I48" s="602">
        <f t="shared" si="1"/>
        <v>163147</v>
      </c>
      <c r="J48" s="152"/>
      <c r="L48" s="760"/>
    </row>
    <row r="49" spans="1:12" s="200" customFormat="1" ht="15" customHeight="1">
      <c r="A49" s="675">
        <v>4</v>
      </c>
      <c r="B49" s="1820" t="s">
        <v>272</v>
      </c>
      <c r="C49" s="1820"/>
      <c r="D49" s="1820"/>
      <c r="E49" s="1821"/>
      <c r="F49" s="633" t="s">
        <v>273</v>
      </c>
      <c r="G49" s="615">
        <v>7080</v>
      </c>
      <c r="H49" s="615">
        <v>-2585</v>
      </c>
      <c r="I49" s="602">
        <f t="shared" si="1"/>
        <v>4495</v>
      </c>
      <c r="J49" s="152"/>
      <c r="L49" s="760"/>
    </row>
    <row r="50" spans="1:12" s="200" customFormat="1" ht="16.5" customHeight="1">
      <c r="A50" s="642">
        <v>5</v>
      </c>
      <c r="B50" s="1819" t="s">
        <v>274</v>
      </c>
      <c r="C50" s="1820"/>
      <c r="D50" s="1820"/>
      <c r="E50" s="1821"/>
      <c r="F50" s="633" t="s">
        <v>275</v>
      </c>
      <c r="G50" s="615">
        <v>244932</v>
      </c>
      <c r="H50" s="607">
        <v>-5977</v>
      </c>
      <c r="I50" s="602">
        <f t="shared" si="1"/>
        <v>238955</v>
      </c>
      <c r="J50" s="152"/>
      <c r="L50" s="760"/>
    </row>
    <row r="51" spans="1:12" s="200" customFormat="1" ht="16.5" customHeight="1">
      <c r="A51" s="675">
        <v>6</v>
      </c>
      <c r="B51" s="1819" t="s">
        <v>276</v>
      </c>
      <c r="C51" s="1820"/>
      <c r="D51" s="1820"/>
      <c r="E51" s="1821"/>
      <c r="F51" s="668" t="s">
        <v>277</v>
      </c>
      <c r="G51" s="677">
        <v>221061</v>
      </c>
      <c r="H51" s="678">
        <f>205-836+108-27+6-121829+8976</f>
        <v>-113397</v>
      </c>
      <c r="I51" s="703">
        <f t="shared" si="1"/>
        <v>107664</v>
      </c>
      <c r="J51" s="152"/>
      <c r="L51" s="760"/>
    </row>
    <row r="52" spans="1:12" s="200" customFormat="1" ht="16.5" customHeight="1">
      <c r="A52" s="675">
        <v>7</v>
      </c>
      <c r="B52" s="1819" t="s">
        <v>278</v>
      </c>
      <c r="C52" s="1820"/>
      <c r="D52" s="1820"/>
      <c r="E52" s="1821"/>
      <c r="F52" s="633" t="s">
        <v>279</v>
      </c>
      <c r="G52" s="615">
        <v>68837</v>
      </c>
      <c r="H52" s="607">
        <v>46039</v>
      </c>
      <c r="I52" s="602">
        <f t="shared" si="1"/>
        <v>114876</v>
      </c>
      <c r="J52" s="152"/>
      <c r="L52" s="760"/>
    </row>
    <row r="53" spans="1:12" s="200" customFormat="1" ht="15.75" customHeight="1">
      <c r="A53" s="675">
        <v>8</v>
      </c>
      <c r="B53" s="1819" t="s">
        <v>47</v>
      </c>
      <c r="C53" s="1820"/>
      <c r="D53" s="1820"/>
      <c r="E53" s="1821"/>
      <c r="F53" s="633" t="s">
        <v>280</v>
      </c>
      <c r="G53" s="615">
        <v>30547</v>
      </c>
      <c r="H53" s="607">
        <f>2585+611</f>
        <v>3196</v>
      </c>
      <c r="I53" s="602">
        <f t="shared" si="1"/>
        <v>33743</v>
      </c>
      <c r="J53" s="152"/>
      <c r="L53" s="760"/>
    </row>
    <row r="54" spans="1:12" s="152" customFormat="1" ht="15">
      <c r="A54" s="675">
        <v>9</v>
      </c>
      <c r="B54" s="1819" t="s">
        <v>281</v>
      </c>
      <c r="C54" s="1820"/>
      <c r="D54" s="1820"/>
      <c r="E54" s="1821"/>
      <c r="F54" s="668" t="s">
        <v>282</v>
      </c>
      <c r="G54" s="677">
        <v>0</v>
      </c>
      <c r="H54" s="678"/>
      <c r="I54" s="602">
        <f t="shared" si="1"/>
        <v>0</v>
      </c>
      <c r="L54" s="764"/>
    </row>
    <row r="55" spans="1:12" s="152" customFormat="1" ht="15">
      <c r="A55" s="675">
        <v>10</v>
      </c>
      <c r="B55" s="1819" t="s">
        <v>495</v>
      </c>
      <c r="C55" s="1820"/>
      <c r="D55" s="1820"/>
      <c r="E55" s="1821"/>
      <c r="F55" s="1067" t="s">
        <v>284</v>
      </c>
      <c r="G55" s="677">
        <v>1360</v>
      </c>
      <c r="H55" s="678">
        <v>321</v>
      </c>
      <c r="I55" s="602">
        <f t="shared" si="1"/>
        <v>1681</v>
      </c>
      <c r="L55" s="764"/>
    </row>
    <row r="56" spans="1:12" s="152" customFormat="1" ht="16.5" customHeight="1" thickBot="1">
      <c r="A56" s="680">
        <v>11</v>
      </c>
      <c r="B56" s="1827" t="s">
        <v>283</v>
      </c>
      <c r="C56" s="1828"/>
      <c r="D56" s="1828"/>
      <c r="E56" s="1829"/>
      <c r="F56" s="1068" t="s">
        <v>494</v>
      </c>
      <c r="G56" s="682">
        <v>22071</v>
      </c>
      <c r="H56" s="683">
        <f>940+3899+3712+734+61+93+2057</f>
        <v>11496</v>
      </c>
      <c r="I56" s="602">
        <f t="shared" si="1"/>
        <v>33567</v>
      </c>
      <c r="L56" s="764"/>
    </row>
    <row r="57" spans="1:12" s="200" customFormat="1" ht="18.75" customHeight="1" thickBot="1">
      <c r="A57" s="705" t="s">
        <v>105</v>
      </c>
      <c r="B57" s="1849" t="s">
        <v>264</v>
      </c>
      <c r="C57" s="1823"/>
      <c r="D57" s="1823"/>
      <c r="E57" s="1824"/>
      <c r="F57" s="714" t="s">
        <v>265</v>
      </c>
      <c r="G57" s="707">
        <f>G45+G46+G48+G49+G50+G51+G52+G53+G54+G56+G55</f>
        <v>1343634</v>
      </c>
      <c r="H57" s="707">
        <f>H45+H46+H48+H49+H50+H51+H52+H53+H54+H56+H55</f>
        <v>77804</v>
      </c>
      <c r="I57" s="708">
        <f>I45+I46+I48+I49+I50+I51+I52+I53+I54+I56+I55</f>
        <v>1421438</v>
      </c>
      <c r="J57" s="1178">
        <f>SUM(G57:H57)</f>
        <v>1421438</v>
      </c>
      <c r="L57" s="1495">
        <f>hivatal9!K46</f>
        <v>1421438</v>
      </c>
    </row>
    <row r="58" spans="1:12" s="88" customFormat="1" ht="15">
      <c r="A58" s="625">
        <v>1</v>
      </c>
      <c r="B58" s="1834" t="s">
        <v>287</v>
      </c>
      <c r="C58" s="1835"/>
      <c r="D58" s="1835"/>
      <c r="E58" s="1836"/>
      <c r="F58" s="1067" t="s">
        <v>496</v>
      </c>
      <c r="G58" s="611"/>
      <c r="H58" s="604"/>
      <c r="I58" s="617"/>
      <c r="J58" s="234"/>
      <c r="L58" s="760"/>
    </row>
    <row r="59" spans="1:12" s="88" customFormat="1" ht="15.75" thickBot="1">
      <c r="A59" s="626">
        <v>2</v>
      </c>
      <c r="B59" s="1842" t="s">
        <v>288</v>
      </c>
      <c r="C59" s="1843"/>
      <c r="D59" s="1843"/>
      <c r="E59" s="1844"/>
      <c r="F59" s="1068" t="s">
        <v>497</v>
      </c>
      <c r="G59" s="613">
        <v>361</v>
      </c>
      <c r="H59" s="605">
        <f>103+14121</f>
        <v>14224</v>
      </c>
      <c r="I59" s="617">
        <f>SUM(G59:H59)</f>
        <v>14585</v>
      </c>
      <c r="J59" s="234"/>
      <c r="L59" s="760"/>
    </row>
    <row r="60" spans="1:12" s="88" customFormat="1" ht="17.25" customHeight="1" thickBot="1">
      <c r="A60" s="705" t="s">
        <v>106</v>
      </c>
      <c r="B60" s="1849" t="s">
        <v>285</v>
      </c>
      <c r="C60" s="1823"/>
      <c r="D60" s="1823"/>
      <c r="E60" s="1824"/>
      <c r="F60" s="713" t="s">
        <v>286</v>
      </c>
      <c r="G60" s="707">
        <f>SUM(G58:G59)</f>
        <v>361</v>
      </c>
      <c r="H60" s="708">
        <f>SUM(H58:H59)</f>
        <v>14224</v>
      </c>
      <c r="I60" s="715">
        <f>SUM(I58:I59)</f>
        <v>14585</v>
      </c>
      <c r="J60" s="964">
        <f>SUM(G60:H60)</f>
        <v>14585</v>
      </c>
      <c r="L60" s="1495">
        <f>hivatal9!K47</f>
        <v>14585</v>
      </c>
    </row>
    <row r="61" spans="1:12" s="540" customFormat="1" ht="21" customHeight="1" thickBot="1">
      <c r="A61" s="850" t="s">
        <v>120</v>
      </c>
      <c r="B61" s="1845" t="s">
        <v>419</v>
      </c>
      <c r="C61" s="1826"/>
      <c r="D61" s="1826"/>
      <c r="E61" s="1830"/>
      <c r="F61" s="851"/>
      <c r="G61" s="852">
        <f>G20+G44+G57+G60</f>
        <v>9935453</v>
      </c>
      <c r="H61" s="852">
        <f>H20+H44+H57+H60</f>
        <v>1070712</v>
      </c>
      <c r="I61" s="853">
        <f>I20+I44+I57+I60</f>
        <v>11006165</v>
      </c>
      <c r="J61" s="1185">
        <f>SUM(G61:H61)</f>
        <v>11006165</v>
      </c>
      <c r="L61" s="760"/>
    </row>
    <row r="62" spans="1:12" s="200" customFormat="1" ht="16.5" customHeight="1">
      <c r="A62" s="675">
        <v>1</v>
      </c>
      <c r="B62" s="1831" t="s">
        <v>291</v>
      </c>
      <c r="C62" s="1832"/>
      <c r="D62" s="1832"/>
      <c r="E62" s="1833"/>
      <c r="F62" s="633" t="s">
        <v>292</v>
      </c>
      <c r="G62" s="615">
        <v>2066600</v>
      </c>
      <c r="H62" s="607">
        <f>1112+2000-1136400-930200</f>
        <v>-2063488</v>
      </c>
      <c r="I62" s="640">
        <f>SUM(G62:H62)</f>
        <v>3112</v>
      </c>
      <c r="J62" s="152"/>
      <c r="L62" s="1495">
        <f>hivatal9!K48</f>
        <v>3112</v>
      </c>
    </row>
    <row r="63" spans="1:12" s="200" customFormat="1" ht="16.5" customHeight="1">
      <c r="A63" s="1878">
        <v>2</v>
      </c>
      <c r="B63" s="1819" t="s">
        <v>293</v>
      </c>
      <c r="C63" s="1820"/>
      <c r="D63" s="1820"/>
      <c r="E63" s="1821"/>
      <c r="F63" s="670" t="s">
        <v>294</v>
      </c>
      <c r="G63" s="682">
        <v>542279</v>
      </c>
      <c r="H63" s="682">
        <f>SUM(H65:H66)</f>
        <v>1667021</v>
      </c>
      <c r="I63" s="683">
        <f>SUM(I64:I66)</f>
        <v>2209300</v>
      </c>
      <c r="J63" s="1178">
        <f>SUM(G63:H63)</f>
        <v>2209300</v>
      </c>
      <c r="L63" s="1495">
        <f>hivatal9!K50</f>
        <v>2209300</v>
      </c>
    </row>
    <row r="64" spans="1:12" s="88" customFormat="1" ht="15" customHeight="1">
      <c r="A64" s="1879"/>
      <c r="B64" s="1877"/>
      <c r="C64" s="584" t="s">
        <v>253</v>
      </c>
      <c r="D64" s="1837" t="s">
        <v>382</v>
      </c>
      <c r="E64" s="1838"/>
      <c r="F64" s="622" t="s">
        <v>294</v>
      </c>
      <c r="G64" s="612">
        <v>106287</v>
      </c>
      <c r="H64" s="619"/>
      <c r="I64" s="601">
        <f>SUM(G64:H64)</f>
        <v>106287</v>
      </c>
      <c r="J64" s="234"/>
      <c r="L64" s="760"/>
    </row>
    <row r="65" spans="1:12" s="88" customFormat="1" ht="15" customHeight="1">
      <c r="A65" s="1879"/>
      <c r="B65" s="1868"/>
      <c r="C65" s="734" t="s">
        <v>253</v>
      </c>
      <c r="D65" s="757" t="s">
        <v>320</v>
      </c>
      <c r="E65" s="758"/>
      <c r="F65" s="756" t="s">
        <v>294</v>
      </c>
      <c r="G65" s="690">
        <v>261325</v>
      </c>
      <c r="H65" s="691">
        <v>8675</v>
      </c>
      <c r="I65" s="601">
        <f>SUM(G65:H65)</f>
        <v>270000</v>
      </c>
      <c r="J65" s="234"/>
      <c r="L65" s="760"/>
    </row>
    <row r="66" spans="1:12" s="88" customFormat="1" ht="15" customHeight="1" thickBot="1">
      <c r="A66" s="1880"/>
      <c r="B66" s="1869"/>
      <c r="C66" s="584" t="s">
        <v>253</v>
      </c>
      <c r="D66" s="585" t="s">
        <v>429</v>
      </c>
      <c r="E66" s="586"/>
      <c r="F66" s="653" t="s">
        <v>294</v>
      </c>
      <c r="G66" s="612">
        <v>174667</v>
      </c>
      <c r="H66" s="619">
        <f>31102+894803+732441</f>
        <v>1658346</v>
      </c>
      <c r="I66" s="1410">
        <f>SUM(G66:H66)</f>
        <v>1833013</v>
      </c>
      <c r="J66" s="234"/>
      <c r="L66" s="760"/>
    </row>
    <row r="67" spans="1:10" ht="15.75" thickBot="1">
      <c r="A67" s="705" t="s">
        <v>107</v>
      </c>
      <c r="B67" s="1822" t="s">
        <v>289</v>
      </c>
      <c r="C67" s="1823"/>
      <c r="D67" s="1823"/>
      <c r="E67" s="1824"/>
      <c r="F67" s="713" t="s">
        <v>290</v>
      </c>
      <c r="G67" s="707">
        <f>SUM(G62:G63)</f>
        <v>2608879</v>
      </c>
      <c r="H67" s="707">
        <f>SUM(H62:H63)</f>
        <v>-396467</v>
      </c>
      <c r="I67" s="708">
        <f>SUM(I62:I63)</f>
        <v>2212412</v>
      </c>
      <c r="J67" s="1005">
        <f>SUM(G67:H67)</f>
        <v>2212412</v>
      </c>
    </row>
    <row r="68" spans="1:12" s="88" customFormat="1" ht="16.5" customHeight="1">
      <c r="A68" s="688">
        <v>1</v>
      </c>
      <c r="B68" s="1834" t="s">
        <v>50</v>
      </c>
      <c r="C68" s="1835"/>
      <c r="D68" s="1835"/>
      <c r="E68" s="1836"/>
      <c r="F68" s="689" t="s">
        <v>297</v>
      </c>
      <c r="G68" s="690"/>
      <c r="H68" s="691">
        <v>5326</v>
      </c>
      <c r="I68" s="692">
        <f>SUM(G68:H68)</f>
        <v>5326</v>
      </c>
      <c r="J68" s="234"/>
      <c r="L68" s="760"/>
    </row>
    <row r="69" spans="1:12" s="88" customFormat="1" ht="16.5" customHeight="1">
      <c r="A69" s="625">
        <v>2</v>
      </c>
      <c r="B69" s="1839" t="s">
        <v>298</v>
      </c>
      <c r="C69" s="1840"/>
      <c r="D69" s="1840"/>
      <c r="E69" s="1841"/>
      <c r="F69" s="623" t="s">
        <v>299</v>
      </c>
      <c r="G69" s="612">
        <v>563991</v>
      </c>
      <c r="H69" s="619">
        <f>-331372+55574-43222+15803</f>
        <v>-303217</v>
      </c>
      <c r="I69" s="692">
        <f>SUM(G69:H69)</f>
        <v>260774</v>
      </c>
      <c r="J69" s="234"/>
      <c r="L69" s="760"/>
    </row>
    <row r="70" spans="1:12" s="88" customFormat="1" ht="16.5" customHeight="1">
      <c r="A70" s="625">
        <v>3</v>
      </c>
      <c r="B70" s="1839" t="s">
        <v>300</v>
      </c>
      <c r="C70" s="1840"/>
      <c r="D70" s="1840"/>
      <c r="E70" s="1841"/>
      <c r="F70" s="623" t="s">
        <v>301</v>
      </c>
      <c r="G70" s="612">
        <v>1194</v>
      </c>
      <c r="H70" s="619">
        <f>15+16</f>
        <v>31</v>
      </c>
      <c r="I70" s="692">
        <f>SUM(G70:H70)</f>
        <v>1225</v>
      </c>
      <c r="J70" s="234"/>
      <c r="L70" s="760"/>
    </row>
    <row r="71" spans="1:12" s="200" customFormat="1" ht="16.5" customHeight="1" thickBot="1">
      <c r="A71" s="626">
        <v>4</v>
      </c>
      <c r="B71" s="1842" t="s">
        <v>625</v>
      </c>
      <c r="C71" s="1843"/>
      <c r="D71" s="1843"/>
      <c r="E71" s="1844"/>
      <c r="F71" s="671" t="s">
        <v>302</v>
      </c>
      <c r="G71" s="614"/>
      <c r="H71" s="620"/>
      <c r="I71" s="692">
        <f>SUM(G71:H71)</f>
        <v>0</v>
      </c>
      <c r="J71" s="152"/>
      <c r="L71" s="760"/>
    </row>
    <row r="72" spans="1:12" s="88" customFormat="1" ht="16.5" customHeight="1" thickBot="1">
      <c r="A72" s="705" t="s">
        <v>326</v>
      </c>
      <c r="B72" s="1822" t="s">
        <v>295</v>
      </c>
      <c r="C72" s="1823"/>
      <c r="D72" s="1823"/>
      <c r="E72" s="1824"/>
      <c r="F72" s="713" t="s">
        <v>296</v>
      </c>
      <c r="G72" s="715">
        <f>SUM(G68:G71)</f>
        <v>565185</v>
      </c>
      <c r="H72" s="715">
        <f>SUM(H68:H71)</f>
        <v>-297860</v>
      </c>
      <c r="I72" s="715">
        <f>SUM(I68:I71)</f>
        <v>267325</v>
      </c>
      <c r="J72" s="964">
        <f>SUM(G72:H72)</f>
        <v>267325</v>
      </c>
      <c r="L72" s="1495">
        <f>hivatal9!K52</f>
        <v>267325</v>
      </c>
    </row>
    <row r="73" spans="1:12" s="200" customFormat="1" ht="16.5" customHeight="1">
      <c r="A73" s="641">
        <v>1</v>
      </c>
      <c r="B73" s="1831" t="s">
        <v>305</v>
      </c>
      <c r="C73" s="1832"/>
      <c r="D73" s="1832"/>
      <c r="E73" s="1833"/>
      <c r="F73" s="1069" t="s">
        <v>498</v>
      </c>
      <c r="G73" s="693">
        <f>SUM(G74:G75)</f>
        <v>2956</v>
      </c>
      <c r="H73" s="693">
        <f>SUM(H74:H75)</f>
        <v>-21</v>
      </c>
      <c r="I73" s="658">
        <f>SUM(I74:I75)</f>
        <v>2935</v>
      </c>
      <c r="J73" s="152"/>
      <c r="L73" s="1495">
        <f>hivatal9!K53</f>
        <v>2935</v>
      </c>
    </row>
    <row r="74" spans="1:10" s="739" customFormat="1" ht="15" customHeight="1">
      <c r="A74" s="635"/>
      <c r="B74" s="1877"/>
      <c r="C74" s="584" t="s">
        <v>253</v>
      </c>
      <c r="D74" s="585" t="s">
        <v>80</v>
      </c>
      <c r="E74" s="586"/>
      <c r="F74" s="1070" t="s">
        <v>498</v>
      </c>
      <c r="G74" s="684"/>
      <c r="H74" s="606"/>
      <c r="I74" s="891">
        <f>SUM(G74:H74)</f>
        <v>0</v>
      </c>
      <c r="J74" s="1008"/>
    </row>
    <row r="75" spans="1:10" s="739" customFormat="1" ht="15" customHeight="1" thickBot="1">
      <c r="A75" s="635"/>
      <c r="B75" s="1869"/>
      <c r="C75" s="609" t="s">
        <v>253</v>
      </c>
      <c r="D75" s="696" t="s">
        <v>81</v>
      </c>
      <c r="E75" s="627"/>
      <c r="F75" s="1071" t="str">
        <f>F74</f>
        <v>B74</v>
      </c>
      <c r="G75" s="1013">
        <v>2956</v>
      </c>
      <c r="H75" s="1014">
        <f>379+122+115-637</f>
        <v>-21</v>
      </c>
      <c r="I75" s="891">
        <f>SUM(G75:H75)</f>
        <v>2935</v>
      </c>
      <c r="J75" s="1008"/>
    </row>
    <row r="76" spans="1:12" s="200" customFormat="1" ht="16.5" customHeight="1">
      <c r="A76" s="641">
        <v>2</v>
      </c>
      <c r="B76" s="1831" t="s">
        <v>82</v>
      </c>
      <c r="C76" s="1832"/>
      <c r="D76" s="1832"/>
      <c r="E76" s="1833"/>
      <c r="F76" s="1072" t="s">
        <v>499</v>
      </c>
      <c r="G76" s="665">
        <f>SUM(G77:G78)</f>
        <v>0</v>
      </c>
      <c r="H76" s="665">
        <f>SUM(H77:H78)</f>
        <v>0</v>
      </c>
      <c r="I76" s="666">
        <f>SUM(I77:I78)</f>
        <v>0</v>
      </c>
      <c r="J76" s="1178">
        <f>SUM(I78:I78)</f>
        <v>0</v>
      </c>
      <c r="L76" s="760"/>
    </row>
    <row r="77" spans="1:10" s="739" customFormat="1" ht="15" customHeight="1">
      <c r="A77" s="635"/>
      <c r="B77" s="631"/>
      <c r="C77" s="609" t="s">
        <v>253</v>
      </c>
      <c r="D77" s="696" t="s">
        <v>81</v>
      </c>
      <c r="E77" s="627"/>
      <c r="F77" s="1012" t="str">
        <f>F76</f>
        <v>B75</v>
      </c>
      <c r="G77" s="1013"/>
      <c r="H77" s="1014"/>
      <c r="I77" s="966">
        <f>SUM(G77:H77)</f>
        <v>0</v>
      </c>
      <c r="J77" s="1008"/>
    </row>
    <row r="78" spans="1:10" s="739" customFormat="1" ht="15" customHeight="1" thickBot="1">
      <c r="A78" s="635"/>
      <c r="B78" s="631"/>
      <c r="C78" s="609" t="s">
        <v>253</v>
      </c>
      <c r="D78" s="696" t="s">
        <v>428</v>
      </c>
      <c r="E78" s="627"/>
      <c r="F78" s="1012" t="str">
        <f>F77</f>
        <v>B75</v>
      </c>
      <c r="G78" s="1011"/>
      <c r="H78" s="970"/>
      <c r="I78" s="966">
        <f>SUM(G78:H78)</f>
        <v>0</v>
      </c>
      <c r="J78" s="1008"/>
    </row>
    <row r="79" spans="1:12" s="200" customFormat="1" ht="18" customHeight="1" thickBot="1">
      <c r="A79" s="1002" t="s">
        <v>327</v>
      </c>
      <c r="B79" s="1822" t="s">
        <v>303</v>
      </c>
      <c r="C79" s="1823"/>
      <c r="D79" s="1823"/>
      <c r="E79" s="1824"/>
      <c r="F79" s="713" t="s">
        <v>304</v>
      </c>
      <c r="G79" s="707">
        <f>G73+G76</f>
        <v>2956</v>
      </c>
      <c r="H79" s="707">
        <f>H73+H76</f>
        <v>-21</v>
      </c>
      <c r="I79" s="708">
        <f>I73+I76</f>
        <v>2935</v>
      </c>
      <c r="J79" s="1178">
        <f>SUM(G79:H79)</f>
        <v>2935</v>
      </c>
      <c r="L79" s="760"/>
    </row>
    <row r="80" spans="1:12" s="200" customFormat="1" ht="21" customHeight="1" thickBot="1">
      <c r="A80" s="1003" t="s">
        <v>121</v>
      </c>
      <c r="B80" s="1825" t="s">
        <v>420</v>
      </c>
      <c r="C80" s="1826"/>
      <c r="D80" s="1826"/>
      <c r="E80" s="1830"/>
      <c r="F80" s="851"/>
      <c r="G80" s="852">
        <f>G67+G72+G79</f>
        <v>3177020</v>
      </c>
      <c r="H80" s="852">
        <f>H67+H72+H79</f>
        <v>-694348</v>
      </c>
      <c r="I80" s="853">
        <f>I67+I72+I79</f>
        <v>2482672</v>
      </c>
      <c r="J80" s="152"/>
      <c r="L80" s="760"/>
    </row>
    <row r="81" spans="1:12" s="540" customFormat="1" ht="24" customHeight="1" thickBot="1">
      <c r="A81" s="754" t="s">
        <v>111</v>
      </c>
      <c r="B81" s="1881" t="s">
        <v>83</v>
      </c>
      <c r="C81" s="1881"/>
      <c r="D81" s="1881"/>
      <c r="E81" s="1882"/>
      <c r="F81" s="697"/>
      <c r="G81" s="698">
        <f>G61+G80</f>
        <v>13112473</v>
      </c>
      <c r="H81" s="698">
        <f>H61+H80</f>
        <v>376364</v>
      </c>
      <c r="I81" s="699">
        <f>I61+I80</f>
        <v>13488837</v>
      </c>
      <c r="J81" s="1179"/>
      <c r="L81" s="760"/>
    </row>
    <row r="82" spans="1:12" s="200" customFormat="1" ht="15.75" customHeight="1">
      <c r="A82" s="642">
        <v>1</v>
      </c>
      <c r="B82" s="1831" t="s">
        <v>308</v>
      </c>
      <c r="C82" s="1832"/>
      <c r="D82" s="1832"/>
      <c r="E82" s="1833"/>
      <c r="F82" s="667" t="s">
        <v>309</v>
      </c>
      <c r="G82" s="700"/>
      <c r="H82" s="701"/>
      <c r="I82" s="658">
        <f>SUM(G82:H82)</f>
        <v>0</v>
      </c>
      <c r="J82" s="152"/>
      <c r="L82" s="760"/>
    </row>
    <row r="83" spans="1:12" s="200" customFormat="1" ht="15.75" customHeight="1">
      <c r="A83" s="675">
        <v>2</v>
      </c>
      <c r="B83" s="1819" t="s">
        <v>310</v>
      </c>
      <c r="C83" s="1820"/>
      <c r="D83" s="1820"/>
      <c r="E83" s="1821"/>
      <c r="F83" s="668" t="s">
        <v>311</v>
      </c>
      <c r="G83" s="1392"/>
      <c r="H83" s="678"/>
      <c r="I83" s="678">
        <f>SUM(G83:H83)</f>
        <v>0</v>
      </c>
      <c r="J83" s="152"/>
      <c r="L83" s="760"/>
    </row>
    <row r="84" spans="1:12" s="200" customFormat="1" ht="15.75" customHeight="1">
      <c r="A84" s="1878">
        <v>3</v>
      </c>
      <c r="B84" s="1819" t="s">
        <v>312</v>
      </c>
      <c r="C84" s="1820"/>
      <c r="D84" s="1820"/>
      <c r="E84" s="1821"/>
      <c r="F84" s="668" t="s">
        <v>313</v>
      </c>
      <c r="G84" s="702">
        <f>SUM(G85:G86)</f>
        <v>3707472</v>
      </c>
      <c r="H84" s="702">
        <f>SUM(H85:H86)</f>
        <v>0</v>
      </c>
      <c r="I84" s="703">
        <f>SUM(I85:I86)</f>
        <v>3707472</v>
      </c>
      <c r="J84" s="152"/>
      <c r="L84" s="760"/>
    </row>
    <row r="85" spans="1:12" s="88" customFormat="1" ht="15.75" customHeight="1">
      <c r="A85" s="1879"/>
      <c r="B85" s="785">
        <v>1</v>
      </c>
      <c r="C85" s="1875" t="s">
        <v>470</v>
      </c>
      <c r="D85" s="1875"/>
      <c r="E85" s="1876"/>
      <c r="F85" s="623" t="s">
        <v>314</v>
      </c>
      <c r="G85" s="612">
        <v>3707472</v>
      </c>
      <c r="H85" s="619"/>
      <c r="I85" s="604">
        <f>SUM(G85:H85)</f>
        <v>3707472</v>
      </c>
      <c r="J85" s="234"/>
      <c r="L85" s="760"/>
    </row>
    <row r="86" spans="1:12" s="88" customFormat="1" ht="15.75" customHeight="1">
      <c r="A86" s="1886"/>
      <c r="B86" s="785">
        <v>2</v>
      </c>
      <c r="C86" s="1875" t="s">
        <v>471</v>
      </c>
      <c r="D86" s="1875"/>
      <c r="E86" s="1876"/>
      <c r="F86" s="623" t="s">
        <v>472</v>
      </c>
      <c r="G86" s="612"/>
      <c r="H86" s="619"/>
      <c r="I86" s="604">
        <f>SUM(G86:H86)</f>
        <v>0</v>
      </c>
      <c r="J86" s="234"/>
      <c r="L86" s="760"/>
    </row>
    <row r="87" spans="1:12" s="200" customFormat="1" ht="15.75" customHeight="1">
      <c r="A87" s="675">
        <v>4</v>
      </c>
      <c r="B87" s="1819" t="s">
        <v>480</v>
      </c>
      <c r="C87" s="1820"/>
      <c r="D87" s="1820"/>
      <c r="E87" s="1821"/>
      <c r="F87" s="668" t="s">
        <v>479</v>
      </c>
      <c r="G87" s="677"/>
      <c r="H87" s="677">
        <v>72111</v>
      </c>
      <c r="I87" s="678">
        <f>SUM(G87:H87)</f>
        <v>72111</v>
      </c>
      <c r="J87" s="152"/>
      <c r="L87" s="760"/>
    </row>
    <row r="88" spans="1:12" s="200" customFormat="1" ht="15.75" customHeight="1" thickBot="1">
      <c r="A88" s="680">
        <v>5</v>
      </c>
      <c r="B88" s="1827" t="s">
        <v>315</v>
      </c>
      <c r="C88" s="1828"/>
      <c r="D88" s="1828"/>
      <c r="E88" s="1829"/>
      <c r="F88" s="670" t="s">
        <v>316</v>
      </c>
      <c r="G88" s="682">
        <v>2000000</v>
      </c>
      <c r="H88" s="683"/>
      <c r="I88" s="678">
        <f>SUM(G88:H88)</f>
        <v>2000000</v>
      </c>
      <c r="J88" s="152"/>
      <c r="L88" s="760"/>
    </row>
    <row r="89" spans="1:12" s="200" customFormat="1" ht="21" customHeight="1" thickBot="1">
      <c r="A89" s="1002" t="s">
        <v>110</v>
      </c>
      <c r="B89" s="1822" t="s">
        <v>306</v>
      </c>
      <c r="C89" s="1823"/>
      <c r="D89" s="1823"/>
      <c r="E89" s="1824"/>
      <c r="F89" s="713" t="s">
        <v>307</v>
      </c>
      <c r="G89" s="707">
        <f>G82+G83+G84+G87+G88</f>
        <v>5707472</v>
      </c>
      <c r="H89" s="707">
        <f>H82+H83+H84+H87+H88</f>
        <v>72111</v>
      </c>
      <c r="I89" s="708">
        <f>I82+I83+I84+I87+I88</f>
        <v>5779583</v>
      </c>
      <c r="J89" s="1178">
        <f>SUM(G89:H89)</f>
        <v>5779583</v>
      </c>
      <c r="L89" s="760"/>
    </row>
    <row r="90" spans="1:12" s="200" customFormat="1" ht="21" customHeight="1" thickBot="1">
      <c r="A90" s="1002" t="s">
        <v>422</v>
      </c>
      <c r="B90" s="1822" t="s">
        <v>433</v>
      </c>
      <c r="C90" s="1823"/>
      <c r="D90" s="1823"/>
      <c r="E90" s="1824"/>
      <c r="F90" s="713" t="s">
        <v>40</v>
      </c>
      <c r="G90" s="707"/>
      <c r="H90" s="707"/>
      <c r="I90" s="708">
        <f>SUM(G90:H90)</f>
        <v>0</v>
      </c>
      <c r="J90" s="1178">
        <f>SUM(G90:H90)</f>
        <v>0</v>
      </c>
      <c r="L90" s="760"/>
    </row>
    <row r="91" spans="1:12" s="200" customFormat="1" ht="21" customHeight="1" thickBot="1">
      <c r="A91" s="1003" t="s">
        <v>42</v>
      </c>
      <c r="B91" s="1825" t="s">
        <v>423</v>
      </c>
      <c r="C91" s="1826"/>
      <c r="D91" s="1826"/>
      <c r="E91" s="1826"/>
      <c r="F91" s="1055" t="s">
        <v>44</v>
      </c>
      <c r="G91" s="852">
        <f>SUM(G89:G90)</f>
        <v>5707472</v>
      </c>
      <c r="H91" s="852">
        <f>SUM(H89:H90)</f>
        <v>72111</v>
      </c>
      <c r="I91" s="853">
        <f>SUM(I89:I90)</f>
        <v>5779583</v>
      </c>
      <c r="J91" s="152"/>
      <c r="L91" s="760"/>
    </row>
    <row r="92" spans="1:12" s="540" customFormat="1" ht="21" customHeight="1" thickBot="1">
      <c r="A92" s="754" t="s">
        <v>43</v>
      </c>
      <c r="B92" s="1881" t="s">
        <v>41</v>
      </c>
      <c r="C92" s="1881"/>
      <c r="D92" s="1881"/>
      <c r="E92" s="1882"/>
      <c r="F92" s="697"/>
      <c r="G92" s="698">
        <f>G81+G91</f>
        <v>18819945</v>
      </c>
      <c r="H92" s="698">
        <f>H81+H91</f>
        <v>448475</v>
      </c>
      <c r="I92" s="699">
        <f>I81+I91</f>
        <v>19268420</v>
      </c>
      <c r="J92" s="1185">
        <f>hivatal9!K60</f>
        <v>19268420</v>
      </c>
      <c r="L92" s="760"/>
    </row>
    <row r="93" spans="1:12" s="88" customFormat="1" ht="14.25">
      <c r="A93" s="590"/>
      <c r="B93" s="590"/>
      <c r="C93" s="591"/>
      <c r="D93" s="591"/>
      <c r="E93" s="591"/>
      <c r="F93" s="591"/>
      <c r="G93" s="608"/>
      <c r="H93" s="608"/>
      <c r="I93" s="608"/>
      <c r="J93" s="234"/>
      <c r="L93" s="760"/>
    </row>
    <row r="94" spans="1:12" s="88" customFormat="1" ht="14.25">
      <c r="A94" s="590"/>
      <c r="B94" s="590"/>
      <c r="C94" s="591"/>
      <c r="D94" s="591"/>
      <c r="E94" s="591"/>
      <c r="F94" s="591"/>
      <c r="G94" s="608"/>
      <c r="H94" s="608"/>
      <c r="I94" s="608"/>
      <c r="J94" s="234"/>
      <c r="L94" s="760"/>
    </row>
    <row r="95" spans="1:12" s="88" customFormat="1" ht="14.25">
      <c r="A95" s="590"/>
      <c r="B95" s="590"/>
      <c r="C95" s="591"/>
      <c r="D95" s="591"/>
      <c r="E95" s="591"/>
      <c r="F95" s="591"/>
      <c r="G95" s="608"/>
      <c r="H95" s="608"/>
      <c r="I95" s="608"/>
      <c r="J95" s="234"/>
      <c r="L95" s="760"/>
    </row>
    <row r="96" spans="1:12" s="88" customFormat="1" ht="14.25">
      <c r="A96" s="590"/>
      <c r="B96" s="590"/>
      <c r="C96" s="591"/>
      <c r="D96" s="591"/>
      <c r="E96" s="591"/>
      <c r="F96" s="591"/>
      <c r="G96" s="608"/>
      <c r="H96" s="608"/>
      <c r="I96" s="608">
        <f>I92-hivatal9!K60</f>
        <v>0</v>
      </c>
      <c r="J96" s="234"/>
      <c r="L96" s="760"/>
    </row>
    <row r="97" spans="1:12" s="88" customFormat="1" ht="14.25">
      <c r="A97" s="590"/>
      <c r="B97" s="590"/>
      <c r="C97" s="591"/>
      <c r="D97" s="591"/>
      <c r="E97" s="591"/>
      <c r="F97" s="591"/>
      <c r="G97" s="608"/>
      <c r="H97" s="608"/>
      <c r="I97" s="608"/>
      <c r="J97" s="234"/>
      <c r="L97" s="760"/>
    </row>
    <row r="98" spans="1:12" s="88" customFormat="1" ht="14.25">
      <c r="A98" s="590"/>
      <c r="B98" s="590"/>
      <c r="C98" s="591"/>
      <c r="D98" s="591"/>
      <c r="E98" s="591"/>
      <c r="F98" s="591"/>
      <c r="G98" s="608"/>
      <c r="H98" s="608"/>
      <c r="I98" s="608"/>
      <c r="J98" s="234"/>
      <c r="L98" s="760"/>
    </row>
    <row r="99" spans="1:12" s="88" customFormat="1" ht="14.25">
      <c r="A99" s="590"/>
      <c r="B99" s="590"/>
      <c r="C99" s="591"/>
      <c r="D99" s="591"/>
      <c r="E99" s="591"/>
      <c r="F99" s="591"/>
      <c r="G99" s="608"/>
      <c r="H99" s="608"/>
      <c r="I99" s="608"/>
      <c r="J99" s="234"/>
      <c r="L99" s="760"/>
    </row>
    <row r="100" spans="1:12" s="88" customFormat="1" ht="14.25">
      <c r="A100" s="590"/>
      <c r="B100" s="590"/>
      <c r="C100" s="591"/>
      <c r="D100" s="591"/>
      <c r="E100" s="591"/>
      <c r="F100" s="591"/>
      <c r="G100" s="608"/>
      <c r="H100" s="608"/>
      <c r="I100" s="608"/>
      <c r="J100" s="234"/>
      <c r="L100" s="760"/>
    </row>
    <row r="101" spans="1:12" s="88" customFormat="1" ht="14.25">
      <c r="A101" s="590"/>
      <c r="B101" s="590"/>
      <c r="C101" s="591"/>
      <c r="D101" s="591"/>
      <c r="E101" s="591"/>
      <c r="F101" s="591"/>
      <c r="G101" s="603"/>
      <c r="H101" s="603"/>
      <c r="I101" s="603"/>
      <c r="J101" s="234"/>
      <c r="L101" s="760"/>
    </row>
    <row r="102" spans="1:12" s="88" customFormat="1" ht="14.25">
      <c r="A102" s="590"/>
      <c r="B102" s="590"/>
      <c r="C102" s="591"/>
      <c r="D102" s="591"/>
      <c r="E102" s="591"/>
      <c r="F102" s="591"/>
      <c r="G102" s="603"/>
      <c r="H102" s="603"/>
      <c r="I102" s="603"/>
      <c r="J102" s="234"/>
      <c r="L102" s="760"/>
    </row>
    <row r="103" spans="1:12" s="88" customFormat="1" ht="14.25">
      <c r="A103" s="590"/>
      <c r="B103" s="590"/>
      <c r="C103" s="591"/>
      <c r="D103" s="591"/>
      <c r="E103" s="591"/>
      <c r="F103" s="591"/>
      <c r="G103" s="603"/>
      <c r="H103" s="603"/>
      <c r="I103" s="603"/>
      <c r="J103" s="234"/>
      <c r="L103" s="760"/>
    </row>
    <row r="104" spans="1:12" s="88" customFormat="1" ht="14.25">
      <c r="A104" s="590"/>
      <c r="B104" s="590"/>
      <c r="C104" s="591"/>
      <c r="D104" s="591"/>
      <c r="E104" s="591"/>
      <c r="F104" s="591"/>
      <c r="G104" s="603"/>
      <c r="H104" s="603"/>
      <c r="I104" s="603"/>
      <c r="J104" s="234"/>
      <c r="L104" s="760"/>
    </row>
    <row r="105" spans="1:12" s="88" customFormat="1" ht="14.25">
      <c r="A105" s="590"/>
      <c r="B105" s="590"/>
      <c r="C105" s="591"/>
      <c r="D105" s="591"/>
      <c r="E105" s="591"/>
      <c r="F105" s="591"/>
      <c r="G105" s="603"/>
      <c r="H105" s="603"/>
      <c r="I105" s="603"/>
      <c r="J105" s="234"/>
      <c r="L105" s="760"/>
    </row>
    <row r="106" spans="1:12" s="88" customFormat="1" ht="14.25">
      <c r="A106" s="590"/>
      <c r="B106" s="590"/>
      <c r="C106" s="591"/>
      <c r="D106" s="591"/>
      <c r="E106" s="591"/>
      <c r="F106" s="591"/>
      <c r="G106" s="603"/>
      <c r="H106" s="603"/>
      <c r="I106" s="603"/>
      <c r="J106" s="234"/>
      <c r="L106" s="760"/>
    </row>
    <row r="107" spans="1:12" s="88" customFormat="1" ht="14.25">
      <c r="A107" s="590"/>
      <c r="B107" s="590"/>
      <c r="C107" s="591"/>
      <c r="D107" s="591"/>
      <c r="E107" s="591"/>
      <c r="F107" s="591"/>
      <c r="G107" s="603"/>
      <c r="H107" s="603"/>
      <c r="I107" s="603"/>
      <c r="J107" s="234"/>
      <c r="L107" s="760"/>
    </row>
    <row r="108" spans="1:12" s="88" customFormat="1" ht="14.25">
      <c r="A108" s="590"/>
      <c r="B108" s="590"/>
      <c r="C108" s="591"/>
      <c r="D108" s="591"/>
      <c r="E108" s="591"/>
      <c r="F108" s="591"/>
      <c r="G108" s="603"/>
      <c r="H108" s="603"/>
      <c r="I108" s="603"/>
      <c r="J108" s="234"/>
      <c r="L108" s="760"/>
    </row>
    <row r="109" spans="1:12" s="88" customFormat="1" ht="14.25">
      <c r="A109" s="590"/>
      <c r="B109" s="590"/>
      <c r="C109" s="591"/>
      <c r="D109" s="591"/>
      <c r="E109" s="591"/>
      <c r="F109" s="591"/>
      <c r="G109" s="603"/>
      <c r="H109" s="603"/>
      <c r="I109" s="603"/>
      <c r="J109" s="234"/>
      <c r="L109" s="760"/>
    </row>
    <row r="110" spans="1:12" s="88" customFormat="1" ht="14.25">
      <c r="A110" s="590"/>
      <c r="B110" s="590"/>
      <c r="C110" s="591"/>
      <c r="D110" s="591"/>
      <c r="E110" s="591"/>
      <c r="F110" s="591"/>
      <c r="G110" s="603"/>
      <c r="H110" s="603"/>
      <c r="I110" s="603"/>
      <c r="J110" s="234"/>
      <c r="L110" s="760"/>
    </row>
    <row r="111" spans="1:12" s="88" customFormat="1" ht="14.25">
      <c r="A111" s="590"/>
      <c r="B111" s="590"/>
      <c r="C111" s="591"/>
      <c r="D111" s="591"/>
      <c r="E111" s="591"/>
      <c r="F111" s="591"/>
      <c r="G111" s="603"/>
      <c r="H111" s="603"/>
      <c r="I111" s="603"/>
      <c r="J111" s="234"/>
      <c r="L111" s="760"/>
    </row>
    <row r="112" spans="1:12" s="88" customFormat="1" ht="14.25">
      <c r="A112" s="590"/>
      <c r="B112" s="590"/>
      <c r="C112" s="591"/>
      <c r="D112" s="591"/>
      <c r="E112" s="591"/>
      <c r="F112" s="591"/>
      <c r="G112" s="603"/>
      <c r="H112" s="603"/>
      <c r="I112" s="603"/>
      <c r="J112" s="234"/>
      <c r="L112" s="760"/>
    </row>
    <row r="113" spans="1:12" s="88" customFormat="1" ht="14.25">
      <c r="A113" s="590"/>
      <c r="B113" s="590"/>
      <c r="C113" s="591"/>
      <c r="D113" s="591"/>
      <c r="E113" s="591"/>
      <c r="F113" s="591"/>
      <c r="G113" s="603"/>
      <c r="H113" s="603"/>
      <c r="I113" s="603"/>
      <c r="J113" s="234"/>
      <c r="L113" s="760"/>
    </row>
    <row r="114" spans="1:12" s="88" customFormat="1" ht="14.25">
      <c r="A114" s="590"/>
      <c r="B114" s="590"/>
      <c r="C114" s="591"/>
      <c r="D114" s="591"/>
      <c r="E114" s="591"/>
      <c r="F114" s="591"/>
      <c r="G114" s="603"/>
      <c r="H114" s="603"/>
      <c r="I114" s="603"/>
      <c r="J114" s="234"/>
      <c r="L114" s="760"/>
    </row>
    <row r="115" spans="1:12" s="88" customFormat="1" ht="14.25">
      <c r="A115" s="590"/>
      <c r="B115" s="590"/>
      <c r="C115" s="591"/>
      <c r="D115" s="591"/>
      <c r="E115" s="591"/>
      <c r="F115" s="591"/>
      <c r="G115" s="603"/>
      <c r="H115" s="603"/>
      <c r="I115" s="603"/>
      <c r="J115" s="234"/>
      <c r="L115" s="760"/>
    </row>
    <row r="116" spans="1:12" s="88" customFormat="1" ht="14.25">
      <c r="A116" s="590"/>
      <c r="B116" s="590"/>
      <c r="C116" s="591"/>
      <c r="D116" s="591"/>
      <c r="E116" s="591"/>
      <c r="F116" s="591"/>
      <c r="G116" s="603"/>
      <c r="H116" s="603"/>
      <c r="I116" s="603"/>
      <c r="J116" s="234"/>
      <c r="L116" s="760"/>
    </row>
    <row r="117" spans="1:12" s="88" customFormat="1" ht="14.25">
      <c r="A117" s="590"/>
      <c r="B117" s="590"/>
      <c r="C117" s="591"/>
      <c r="D117" s="591"/>
      <c r="E117" s="591"/>
      <c r="F117" s="591"/>
      <c r="G117" s="603"/>
      <c r="H117" s="603"/>
      <c r="I117" s="603"/>
      <c r="J117" s="234"/>
      <c r="L117" s="760"/>
    </row>
    <row r="118" spans="1:12" s="88" customFormat="1" ht="14.25">
      <c r="A118" s="590"/>
      <c r="B118" s="590"/>
      <c r="C118" s="591"/>
      <c r="D118" s="591"/>
      <c r="E118" s="591"/>
      <c r="F118" s="591"/>
      <c r="G118" s="603"/>
      <c r="H118" s="603"/>
      <c r="I118" s="603"/>
      <c r="J118" s="234"/>
      <c r="L118" s="760"/>
    </row>
    <row r="119" spans="1:12" s="88" customFormat="1" ht="14.25">
      <c r="A119" s="590"/>
      <c r="B119" s="590"/>
      <c r="C119" s="591"/>
      <c r="D119" s="591"/>
      <c r="E119" s="591"/>
      <c r="F119" s="591"/>
      <c r="G119" s="603"/>
      <c r="H119" s="603"/>
      <c r="I119" s="603"/>
      <c r="J119" s="234"/>
      <c r="L119" s="760"/>
    </row>
    <row r="120" spans="1:12" s="88" customFormat="1" ht="14.25">
      <c r="A120" s="590"/>
      <c r="B120" s="590"/>
      <c r="C120" s="591"/>
      <c r="D120" s="591"/>
      <c r="E120" s="591"/>
      <c r="F120" s="591"/>
      <c r="G120" s="603"/>
      <c r="H120" s="603"/>
      <c r="I120" s="603"/>
      <c r="J120" s="234"/>
      <c r="L120" s="760"/>
    </row>
    <row r="121" spans="1:12" s="88" customFormat="1" ht="14.25">
      <c r="A121" s="590"/>
      <c r="B121" s="590"/>
      <c r="C121" s="591"/>
      <c r="D121" s="591"/>
      <c r="E121" s="591"/>
      <c r="F121" s="591"/>
      <c r="G121" s="603"/>
      <c r="H121" s="603"/>
      <c r="I121" s="603"/>
      <c r="J121" s="234"/>
      <c r="L121" s="760"/>
    </row>
    <row r="122" spans="1:12" s="88" customFormat="1" ht="14.25">
      <c r="A122" s="590"/>
      <c r="B122" s="590"/>
      <c r="C122" s="591"/>
      <c r="D122" s="591"/>
      <c r="E122" s="591"/>
      <c r="F122" s="591"/>
      <c r="G122" s="603"/>
      <c r="H122" s="603"/>
      <c r="I122" s="603"/>
      <c r="J122" s="234"/>
      <c r="L122" s="760"/>
    </row>
    <row r="123" spans="1:12" s="88" customFormat="1" ht="14.25">
      <c r="A123" s="590"/>
      <c r="B123" s="590"/>
      <c r="C123" s="591"/>
      <c r="D123" s="591"/>
      <c r="E123" s="591"/>
      <c r="F123" s="591"/>
      <c r="G123" s="603"/>
      <c r="H123" s="603"/>
      <c r="I123" s="603"/>
      <c r="J123" s="234"/>
      <c r="L123" s="760"/>
    </row>
    <row r="124" spans="1:12" s="88" customFormat="1" ht="14.25">
      <c r="A124" s="590"/>
      <c r="B124" s="590"/>
      <c r="C124" s="591"/>
      <c r="D124" s="591"/>
      <c r="E124" s="591"/>
      <c r="F124" s="591"/>
      <c r="G124" s="603"/>
      <c r="H124" s="603"/>
      <c r="I124" s="603"/>
      <c r="J124" s="234"/>
      <c r="L124" s="760"/>
    </row>
    <row r="125" spans="1:12" s="88" customFormat="1" ht="14.25">
      <c r="A125" s="590"/>
      <c r="B125" s="590"/>
      <c r="C125" s="591"/>
      <c r="D125" s="591"/>
      <c r="E125" s="591"/>
      <c r="F125" s="591"/>
      <c r="G125" s="603"/>
      <c r="H125" s="603"/>
      <c r="I125" s="603"/>
      <c r="J125" s="234"/>
      <c r="L125" s="760"/>
    </row>
    <row r="126" spans="1:12" s="88" customFormat="1" ht="14.25">
      <c r="A126" s="590"/>
      <c r="B126" s="590"/>
      <c r="C126" s="591"/>
      <c r="D126" s="591"/>
      <c r="E126" s="591"/>
      <c r="F126" s="591"/>
      <c r="G126" s="603"/>
      <c r="H126" s="603"/>
      <c r="I126" s="603"/>
      <c r="J126" s="234"/>
      <c r="L126" s="760"/>
    </row>
    <row r="127" spans="1:12" s="88" customFormat="1" ht="14.25">
      <c r="A127" s="590"/>
      <c r="B127" s="590"/>
      <c r="C127" s="591"/>
      <c r="D127" s="591"/>
      <c r="E127" s="591"/>
      <c r="F127" s="591"/>
      <c r="G127" s="603"/>
      <c r="H127" s="603"/>
      <c r="I127" s="603"/>
      <c r="J127" s="234"/>
      <c r="L127" s="760"/>
    </row>
    <row r="128" spans="1:12" s="88" customFormat="1" ht="14.25">
      <c r="A128" s="590"/>
      <c r="B128" s="590"/>
      <c r="C128" s="591"/>
      <c r="D128" s="591"/>
      <c r="E128" s="591"/>
      <c r="F128" s="591"/>
      <c r="G128" s="603"/>
      <c r="H128" s="603"/>
      <c r="I128" s="603"/>
      <c r="J128" s="234"/>
      <c r="L128" s="760"/>
    </row>
    <row r="129" spans="1:12" s="88" customFormat="1" ht="14.25">
      <c r="A129" s="590"/>
      <c r="B129" s="590"/>
      <c r="C129" s="591"/>
      <c r="D129" s="591"/>
      <c r="E129" s="591"/>
      <c r="F129" s="591"/>
      <c r="G129" s="603"/>
      <c r="H129" s="603"/>
      <c r="I129" s="603"/>
      <c r="J129" s="234"/>
      <c r="L129" s="760"/>
    </row>
    <row r="130" spans="1:12" s="88" customFormat="1" ht="14.25">
      <c r="A130" s="590"/>
      <c r="B130" s="590"/>
      <c r="C130" s="591"/>
      <c r="D130" s="591"/>
      <c r="E130" s="591"/>
      <c r="F130" s="591"/>
      <c r="G130" s="603"/>
      <c r="H130" s="603"/>
      <c r="I130" s="603"/>
      <c r="J130" s="234"/>
      <c r="L130" s="760"/>
    </row>
    <row r="131" spans="1:12" s="88" customFormat="1" ht="14.25">
      <c r="A131" s="590"/>
      <c r="B131" s="590"/>
      <c r="C131" s="591"/>
      <c r="D131" s="591"/>
      <c r="E131" s="591"/>
      <c r="F131" s="591"/>
      <c r="G131" s="603"/>
      <c r="H131" s="603"/>
      <c r="I131" s="603"/>
      <c r="J131" s="234"/>
      <c r="L131" s="760"/>
    </row>
    <row r="132" spans="1:12" s="88" customFormat="1" ht="14.25">
      <c r="A132" s="590"/>
      <c r="B132" s="590"/>
      <c r="C132" s="591"/>
      <c r="D132" s="591"/>
      <c r="E132" s="591"/>
      <c r="F132" s="591"/>
      <c r="G132" s="603"/>
      <c r="H132" s="603"/>
      <c r="I132" s="603"/>
      <c r="J132" s="234"/>
      <c r="L132" s="760"/>
    </row>
    <row r="133" spans="1:12" s="88" customFormat="1" ht="14.25">
      <c r="A133" s="590"/>
      <c r="B133" s="590"/>
      <c r="C133" s="591"/>
      <c r="D133" s="591"/>
      <c r="E133" s="591"/>
      <c r="F133" s="591"/>
      <c r="G133" s="603"/>
      <c r="H133" s="603"/>
      <c r="I133" s="603"/>
      <c r="J133" s="234"/>
      <c r="L133" s="760"/>
    </row>
    <row r="134" spans="1:12" s="88" customFormat="1" ht="14.25">
      <c r="A134" s="590"/>
      <c r="B134" s="590"/>
      <c r="C134" s="591"/>
      <c r="D134" s="591"/>
      <c r="E134" s="591"/>
      <c r="F134" s="591"/>
      <c r="G134" s="603"/>
      <c r="H134" s="603"/>
      <c r="I134" s="603"/>
      <c r="J134" s="234"/>
      <c r="L134" s="760"/>
    </row>
    <row r="135" spans="1:12" s="88" customFormat="1" ht="14.25">
      <c r="A135" s="590"/>
      <c r="B135" s="590"/>
      <c r="C135" s="591"/>
      <c r="D135" s="591"/>
      <c r="E135" s="591"/>
      <c r="F135" s="591"/>
      <c r="G135" s="603"/>
      <c r="H135" s="603"/>
      <c r="I135" s="603"/>
      <c r="J135" s="234"/>
      <c r="L135" s="760"/>
    </row>
    <row r="136" spans="1:12" s="88" customFormat="1" ht="14.25">
      <c r="A136" s="590"/>
      <c r="B136" s="590"/>
      <c r="C136" s="591"/>
      <c r="D136" s="591"/>
      <c r="E136" s="591"/>
      <c r="F136" s="591"/>
      <c r="G136" s="603"/>
      <c r="H136" s="603"/>
      <c r="I136" s="603"/>
      <c r="J136" s="234"/>
      <c r="L136" s="760"/>
    </row>
  </sheetData>
  <sheetProtection/>
  <mergeCells count="84"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D39:E39"/>
    <mergeCell ref="B44:E44"/>
    <mergeCell ref="B45:E45"/>
    <mergeCell ref="B46:E46"/>
    <mergeCell ref="B33:E33"/>
    <mergeCell ref="C39:C43"/>
    <mergeCell ref="D37:E37"/>
    <mergeCell ref="D38:E38"/>
    <mergeCell ref="D35:E35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84:E84"/>
    <mergeCell ref="B87:E87"/>
    <mergeCell ref="B89:E89"/>
    <mergeCell ref="B90:E90"/>
    <mergeCell ref="B91:E91"/>
    <mergeCell ref="B88:E88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3.875" style="88" customWidth="1"/>
    <col min="4" max="4" width="14.50390625" style="88" customWidth="1"/>
    <col min="5" max="5" width="14.00390625" style="88" customWidth="1"/>
    <col min="6" max="6" width="13.125" style="88" customWidth="1"/>
    <col min="7" max="7" width="12.875" style="88" customWidth="1"/>
    <col min="8" max="9" width="13.625" style="88" customWidth="1"/>
    <col min="10" max="10" width="14.00390625" style="88" customWidth="1"/>
    <col min="11" max="11" width="13.125" style="88" customWidth="1"/>
    <col min="12" max="12" width="14.625" style="88" customWidth="1"/>
    <col min="13" max="13" width="14.50390625" style="88" customWidth="1"/>
    <col min="14" max="14" width="14.375" style="88" customWidth="1"/>
    <col min="15" max="15" width="14.625" style="234" customWidth="1"/>
    <col min="16" max="16" width="14.50390625" style="234" customWidth="1"/>
    <col min="17" max="17" width="14.375" style="234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O1" s="400"/>
      <c r="P1" s="400"/>
      <c r="Q1" s="892" t="s">
        <v>947</v>
      </c>
    </row>
    <row r="2" spans="1:17" ht="13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O2" s="400"/>
      <c r="P2" s="400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O3" s="400"/>
      <c r="P3" s="400"/>
      <c r="Q3" s="892" t="s">
        <v>144</v>
      </c>
    </row>
    <row r="4" spans="1:17" s="15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s="15" customFormat="1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17" ht="45" customHeight="1" thickBot="1">
      <c r="A6" s="303"/>
      <c r="B6" s="304"/>
      <c r="C6" s="931"/>
      <c r="D6" s="931"/>
      <c r="E6" s="931"/>
      <c r="F6" s="386"/>
      <c r="G6" s="386"/>
      <c r="H6" s="386"/>
      <c r="I6" s="386"/>
      <c r="J6" s="386"/>
      <c r="K6" s="386"/>
      <c r="L6" s="386"/>
      <c r="M6" s="386"/>
      <c r="N6" s="896"/>
      <c r="O6" s="400"/>
      <c r="P6" s="400"/>
      <c r="Q6" s="123" t="s">
        <v>134</v>
      </c>
    </row>
    <row r="7" spans="1:17" s="122" customFormat="1" ht="32.25" customHeight="1">
      <c r="A7" s="120" t="s">
        <v>124</v>
      </c>
      <c r="B7" s="121" t="s">
        <v>125</v>
      </c>
      <c r="C7" s="1939" t="s">
        <v>524</v>
      </c>
      <c r="D7" s="1963"/>
      <c r="E7" s="1962"/>
      <c r="F7" s="1939" t="s">
        <v>659</v>
      </c>
      <c r="G7" s="1963"/>
      <c r="H7" s="1962"/>
      <c r="I7" s="1939" t="s">
        <v>660</v>
      </c>
      <c r="J7" s="1963"/>
      <c r="K7" s="1962"/>
      <c r="L7" s="1964" t="s">
        <v>661</v>
      </c>
      <c r="M7" s="1965"/>
      <c r="N7" s="1966"/>
      <c r="O7" s="1964" t="s">
        <v>662</v>
      </c>
      <c r="P7" s="1965"/>
      <c r="Q7" s="1966"/>
    </row>
    <row r="8" spans="1:17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29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384"/>
      <c r="M10" s="385"/>
      <c r="N10" s="383"/>
      <c r="O10" s="384"/>
      <c r="P10" s="385"/>
      <c r="Q10" s="383"/>
    </row>
    <row r="11" spans="1:17" ht="16.5" thickBot="1">
      <c r="A11" s="313">
        <v>1</v>
      </c>
      <c r="B11" s="305" t="s">
        <v>113</v>
      </c>
      <c r="C11" s="314">
        <v>5578</v>
      </c>
      <c r="D11" s="314">
        <v>64</v>
      </c>
      <c r="E11" s="358">
        <f>SUM(C11:D11)</f>
        <v>5642</v>
      </c>
      <c r="F11" s="314">
        <v>12</v>
      </c>
      <c r="G11" s="314">
        <v>1</v>
      </c>
      <c r="H11" s="358">
        <f>SUM(F11:G11)</f>
        <v>13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87"/>
      <c r="P11" s="387"/>
      <c r="Q11" s="388">
        <f aca="true" t="shared" si="2" ref="Q11:Q16">SUM(O11:P11)</f>
        <v>0</v>
      </c>
    </row>
    <row r="12" spans="1:17" s="28" customFormat="1" ht="16.5" thickBot="1">
      <c r="A12" s="317">
        <v>2</v>
      </c>
      <c r="B12" s="932" t="s">
        <v>202</v>
      </c>
      <c r="C12" s="316">
        <v>982</v>
      </c>
      <c r="D12" s="314">
        <v>31</v>
      </c>
      <c r="E12" s="358">
        <f>SUM(C12:D12)</f>
        <v>1013</v>
      </c>
      <c r="F12" s="316"/>
      <c r="G12" s="314">
        <v>6</v>
      </c>
      <c r="H12" s="358">
        <f>SUM(F12:G12)</f>
        <v>6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387"/>
      <c r="P12" s="387"/>
      <c r="Q12" s="388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16">
        <v>181512</v>
      </c>
      <c r="D13" s="314">
        <v>-120</v>
      </c>
      <c r="E13" s="358">
        <f>SUM(C13:D13)</f>
        <v>181392</v>
      </c>
      <c r="F13" s="314">
        <v>120133</v>
      </c>
      <c r="G13" s="314">
        <v>2206</v>
      </c>
      <c r="H13" s="358">
        <f>SUM(F13:G13)</f>
        <v>122339</v>
      </c>
      <c r="I13" s="314">
        <v>3124</v>
      </c>
      <c r="J13" s="314"/>
      <c r="K13" s="358">
        <f t="shared" si="0"/>
        <v>3124</v>
      </c>
      <c r="L13" s="314">
        <v>10866</v>
      </c>
      <c r="M13" s="314"/>
      <c r="N13" s="358">
        <f t="shared" si="1"/>
        <v>10866</v>
      </c>
      <c r="O13" s="387">
        <v>84924</v>
      </c>
      <c r="P13" s="387"/>
      <c r="Q13" s="388">
        <f t="shared" si="2"/>
        <v>84924</v>
      </c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19"/>
      <c r="P14" s="316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90"/>
      <c r="P15" s="390"/>
      <c r="Q15" s="391">
        <f t="shared" si="2"/>
        <v>0</v>
      </c>
    </row>
    <row r="16" spans="1:17" ht="15">
      <c r="A16" s="153" t="s">
        <v>99</v>
      </c>
      <c r="B16" s="149" t="s">
        <v>626</v>
      </c>
      <c r="C16" s="139"/>
      <c r="D16" s="139"/>
      <c r="E16" s="389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92"/>
      <c r="P16" s="392"/>
      <c r="Q16" s="391">
        <f t="shared" si="2"/>
        <v>0</v>
      </c>
    </row>
    <row r="17" spans="1:17" ht="15">
      <c r="A17" s="153" t="s">
        <v>100</v>
      </c>
      <c r="B17" s="149" t="s">
        <v>627</v>
      </c>
      <c r="C17" s="139"/>
      <c r="D17" s="139"/>
      <c r="E17" s="389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92"/>
      <c r="P17" s="392"/>
      <c r="Q17" s="391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143">
        <v>675</v>
      </c>
      <c r="D18" s="139">
        <v>25</v>
      </c>
      <c r="E18" s="389">
        <f t="shared" si="3"/>
        <v>700</v>
      </c>
      <c r="F18" s="139"/>
      <c r="G18" s="139"/>
      <c r="H18" s="389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392"/>
      <c r="P18" s="392"/>
      <c r="Q18" s="391">
        <f t="shared" si="7"/>
        <v>0</v>
      </c>
    </row>
    <row r="19" spans="1:17" ht="15">
      <c r="A19" s="148" t="s">
        <v>192</v>
      </c>
      <c r="B19" s="149" t="s">
        <v>628</v>
      </c>
      <c r="C19" s="143"/>
      <c r="D19" s="139"/>
      <c r="E19" s="389">
        <f>C19+D19</f>
        <v>0</v>
      </c>
      <c r="F19" s="139"/>
      <c r="G19" s="139"/>
      <c r="H19" s="389">
        <f>F19+G19</f>
        <v>0</v>
      </c>
      <c r="I19" s="139"/>
      <c r="J19" s="139"/>
      <c r="K19" s="389">
        <f>SUM(I19:J19)</f>
        <v>0</v>
      </c>
      <c r="L19" s="139"/>
      <c r="M19" s="139"/>
      <c r="N19" s="389">
        <f>SUM(L19:M19)</f>
        <v>0</v>
      </c>
      <c r="O19" s="392"/>
      <c r="P19" s="392"/>
      <c r="Q19" s="391">
        <f>SUM(O19:P19)</f>
        <v>0</v>
      </c>
    </row>
    <row r="20" spans="1:17" ht="15">
      <c r="A20" s="148" t="s">
        <v>339</v>
      </c>
      <c r="B20" s="149" t="s">
        <v>629</v>
      </c>
      <c r="C20" s="143"/>
      <c r="D20" s="139"/>
      <c r="E20" s="389">
        <f t="shared" si="3"/>
        <v>0</v>
      </c>
      <c r="F20" s="139"/>
      <c r="G20" s="139"/>
      <c r="H20" s="389">
        <f t="shared" si="4"/>
        <v>0</v>
      </c>
      <c r="I20" s="139"/>
      <c r="J20" s="139"/>
      <c r="K20" s="389">
        <f t="shared" si="5"/>
        <v>0</v>
      </c>
      <c r="L20" s="139"/>
      <c r="M20" s="139"/>
      <c r="N20" s="389">
        <f t="shared" si="6"/>
        <v>0</v>
      </c>
      <c r="O20" s="392"/>
      <c r="P20" s="392"/>
      <c r="Q20" s="391">
        <f t="shared" si="7"/>
        <v>0</v>
      </c>
    </row>
    <row r="21" spans="1:17" ht="15">
      <c r="A21" s="148" t="s">
        <v>340</v>
      </c>
      <c r="B21" s="149" t="s">
        <v>385</v>
      </c>
      <c r="C21" s="239"/>
      <c r="D21" s="226"/>
      <c r="E21" s="389">
        <f>C21+D21</f>
        <v>0</v>
      </c>
      <c r="F21" s="306">
        <v>1970</v>
      </c>
      <c r="G21" s="139"/>
      <c r="H21" s="228">
        <f t="shared" si="4"/>
        <v>1970</v>
      </c>
      <c r="I21" s="226">
        <v>87</v>
      </c>
      <c r="J21" s="226"/>
      <c r="K21" s="389">
        <f t="shared" si="5"/>
        <v>87</v>
      </c>
      <c r="L21" s="306"/>
      <c r="M21" s="139"/>
      <c r="N21" s="228">
        <f t="shared" si="6"/>
        <v>0</v>
      </c>
      <c r="O21" s="390"/>
      <c r="P21" s="390"/>
      <c r="Q21" s="391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150"/>
      <c r="D22" s="151"/>
      <c r="E22" s="389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1144"/>
      <c r="P22" s="393"/>
      <c r="Q22" s="1115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19">
        <f aca="true" t="shared" si="8" ref="C23:Q23">SUM(C15:C22)</f>
        <v>675</v>
      </c>
      <c r="D23" s="316">
        <f t="shared" si="8"/>
        <v>25</v>
      </c>
      <c r="E23" s="320">
        <f t="shared" si="8"/>
        <v>700</v>
      </c>
      <c r="F23" s="330">
        <f t="shared" si="8"/>
        <v>1970</v>
      </c>
      <c r="G23" s="314">
        <f t="shared" si="8"/>
        <v>0</v>
      </c>
      <c r="H23" s="330">
        <f t="shared" si="8"/>
        <v>1970</v>
      </c>
      <c r="I23" s="347">
        <f t="shared" si="8"/>
        <v>87</v>
      </c>
      <c r="J23" s="314">
        <f t="shared" si="8"/>
        <v>0</v>
      </c>
      <c r="K23" s="320">
        <f t="shared" si="8"/>
        <v>87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ht="16.5" thickBot="1">
      <c r="A24" s="313">
        <v>6</v>
      </c>
      <c r="B24" s="305" t="s">
        <v>174</v>
      </c>
      <c r="C24" s="314">
        <v>12</v>
      </c>
      <c r="D24" s="314"/>
      <c r="E24" s="358">
        <f aca="true" t="shared" si="9" ref="E24:E30">SUM(C24:D24)</f>
        <v>12</v>
      </c>
      <c r="F24" s="318">
        <v>475991</v>
      </c>
      <c r="G24" s="314">
        <v>-25584</v>
      </c>
      <c r="H24" s="320">
        <f aca="true" t="shared" si="10" ref="H24:H30">SUM(F24:G24)</f>
        <v>450407</v>
      </c>
      <c r="I24" s="318"/>
      <c r="J24" s="314"/>
      <c r="K24" s="320">
        <f aca="true" t="shared" si="11" ref="K24:K30">SUM(I24:J24)</f>
        <v>0</v>
      </c>
      <c r="L24" s="318">
        <v>41561</v>
      </c>
      <c r="M24" s="314"/>
      <c r="N24" s="330">
        <f aca="true" t="shared" si="12" ref="N24:N30">SUM(L24:M24)</f>
        <v>41561</v>
      </c>
      <c r="O24" s="1128">
        <v>314531</v>
      </c>
      <c r="P24" s="387">
        <v>3000</v>
      </c>
      <c r="Q24" s="1116">
        <f aca="true" t="shared" si="13" ref="Q24:Q30">SUM(O24:P24)</f>
        <v>317531</v>
      </c>
    </row>
    <row r="25" spans="1:17" s="15" customFormat="1" ht="16.5" thickBot="1">
      <c r="A25" s="313">
        <v>7</v>
      </c>
      <c r="B25" s="305" t="s">
        <v>435</v>
      </c>
      <c r="C25" s="314"/>
      <c r="D25" s="314"/>
      <c r="E25" s="358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30">
        <f t="shared" si="12"/>
        <v>0</v>
      </c>
      <c r="O25" s="1128"/>
      <c r="P25" s="387"/>
      <c r="Q25" s="1116">
        <f t="shared" si="13"/>
        <v>0</v>
      </c>
    </row>
    <row r="26" spans="1:17" ht="15">
      <c r="A26" s="156" t="s">
        <v>98</v>
      </c>
      <c r="B26" s="149" t="s">
        <v>632</v>
      </c>
      <c r="C26" s="226"/>
      <c r="D26" s="226"/>
      <c r="E26" s="389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887">
        <f t="shared" si="12"/>
        <v>0</v>
      </c>
      <c r="O26" s="1126"/>
      <c r="P26" s="390"/>
      <c r="Q26" s="1115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139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887">
        <f t="shared" si="12"/>
        <v>0</v>
      </c>
      <c r="O27" s="1126"/>
      <c r="P27" s="390"/>
      <c r="Q27" s="1115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887">
        <f t="shared" si="12"/>
        <v>0</v>
      </c>
      <c r="O28" s="1126"/>
      <c r="P28" s="390"/>
      <c r="Q28" s="1115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887">
        <f t="shared" si="12"/>
        <v>0</v>
      </c>
      <c r="O29" s="1126"/>
      <c r="P29" s="390"/>
      <c r="Q29" s="1115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/>
      <c r="M30" s="321"/>
      <c r="N30" s="157">
        <f t="shared" si="12"/>
        <v>0</v>
      </c>
      <c r="O30" s="1129"/>
      <c r="P30" s="396"/>
      <c r="Q30" s="1117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30">
        <f>SUM(L32:M32)</f>
        <v>0</v>
      </c>
      <c r="O32" s="1128"/>
      <c r="P32" s="387"/>
      <c r="Q32" s="1116">
        <f>SUM(O32:P32)</f>
        <v>0</v>
      </c>
    </row>
    <row r="33" spans="1:21" s="34" customFormat="1" ht="16.5" thickBot="1">
      <c r="A33" s="367">
        <v>10</v>
      </c>
      <c r="B33" s="933"/>
      <c r="C33" s="158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293">
        <f>SUM(L33:M33)</f>
        <v>0</v>
      </c>
      <c r="O33" s="158"/>
      <c r="P33" s="369"/>
      <c r="Q33" s="1106">
        <f>SUM(O33:P33)</f>
        <v>0</v>
      </c>
      <c r="R33" s="32"/>
      <c r="S33" s="32"/>
      <c r="T33" s="32"/>
      <c r="U33" s="32"/>
    </row>
    <row r="34" spans="1:93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188759</v>
      </c>
      <c r="D34" s="344">
        <f t="shared" si="15"/>
        <v>0</v>
      </c>
      <c r="E34" s="778">
        <f t="shared" si="15"/>
        <v>188759</v>
      </c>
      <c r="F34" s="365">
        <f t="shared" si="15"/>
        <v>598106</v>
      </c>
      <c r="G34" s="344">
        <f t="shared" si="15"/>
        <v>-23371</v>
      </c>
      <c r="H34" s="778">
        <f t="shared" si="15"/>
        <v>574735</v>
      </c>
      <c r="I34" s="365">
        <f t="shared" si="15"/>
        <v>3211</v>
      </c>
      <c r="J34" s="344">
        <f t="shared" si="15"/>
        <v>0</v>
      </c>
      <c r="K34" s="778">
        <f t="shared" si="15"/>
        <v>3211</v>
      </c>
      <c r="L34" s="365">
        <f t="shared" si="15"/>
        <v>52427</v>
      </c>
      <c r="M34" s="344">
        <f t="shared" si="15"/>
        <v>0</v>
      </c>
      <c r="N34" s="778">
        <f t="shared" si="15"/>
        <v>52427</v>
      </c>
      <c r="O34" s="365">
        <f t="shared" si="15"/>
        <v>399455</v>
      </c>
      <c r="P34" s="344">
        <f t="shared" si="15"/>
        <v>3000</v>
      </c>
      <c r="Q34" s="374">
        <f t="shared" si="15"/>
        <v>402455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</row>
    <row r="35" spans="1:93" ht="17.25" thickBot="1" thickTop="1">
      <c r="A35" s="144"/>
      <c r="B35" s="346" t="s">
        <v>131</v>
      </c>
      <c r="C35" s="1076"/>
      <c r="D35" s="302"/>
      <c r="E35" s="1107"/>
      <c r="F35" s="888"/>
      <c r="G35" s="302"/>
      <c r="H35" s="1107"/>
      <c r="I35" s="935"/>
      <c r="J35" s="302"/>
      <c r="K35" s="1107"/>
      <c r="L35" s="935"/>
      <c r="M35" s="302"/>
      <c r="N35" s="888"/>
      <c r="O35" s="1076"/>
      <c r="P35" s="302"/>
      <c r="Q35" s="1107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>
        <f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5">
        <f>SUM(L36:M36)</f>
        <v>0</v>
      </c>
      <c r="O36" s="1130"/>
      <c r="P36" s="774"/>
      <c r="Q36" s="1118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885">
        <f>SUM(L37:M37)</f>
        <v>0</v>
      </c>
      <c r="O37" s="1125"/>
      <c r="P37" s="392"/>
      <c r="Q37" s="1119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5"/>
      <c r="D38" s="321"/>
      <c r="E38" s="324">
        <f>SUM(C38:D38)</f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157">
        <f>SUM(L38:M38)</f>
        <v>0</v>
      </c>
      <c r="O38" s="1129"/>
      <c r="P38" s="396"/>
      <c r="Q38" s="1117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>
        <v>26613</v>
      </c>
      <c r="D39" s="151"/>
      <c r="E39" s="238">
        <f>SUM(C39:D39)</f>
        <v>26613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886">
        <f>SUM(L39:M39)</f>
        <v>0</v>
      </c>
      <c r="O39" s="1127"/>
      <c r="P39" s="393"/>
      <c r="Q39" s="1120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26613</v>
      </c>
      <c r="D40" s="314">
        <f t="shared" si="16"/>
        <v>0</v>
      </c>
      <c r="E40" s="320">
        <f t="shared" si="16"/>
        <v>26613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4"/>
      <c r="D41" s="226"/>
      <c r="E41" s="228">
        <f>SUM(C41:D41)</f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887">
        <f>SUM(L41:M41)</f>
        <v>0</v>
      </c>
      <c r="O41" s="1126"/>
      <c r="P41" s="390"/>
      <c r="Q41" s="1115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885">
        <f>SUM(L42:M42)</f>
        <v>0</v>
      </c>
      <c r="O42" s="1125"/>
      <c r="P42" s="392"/>
      <c r="Q42" s="1119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885">
        <f>SUM(L43:M43)</f>
        <v>0</v>
      </c>
      <c r="O43" s="1125"/>
      <c r="P43" s="392"/>
      <c r="Q43" s="1119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886">
        <f>SUM(L44:M44)</f>
        <v>0</v>
      </c>
      <c r="O44" s="1127"/>
      <c r="P44" s="393"/>
      <c r="Q44" s="1120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887">
        <f>SUM(L48:M48)</f>
        <v>0</v>
      </c>
      <c r="O48" s="1126"/>
      <c r="P48" s="390"/>
      <c r="Q48" s="1115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885">
        <f>SUM(L49:M49)</f>
        <v>0</v>
      </c>
      <c r="O49" s="1125"/>
      <c r="P49" s="392"/>
      <c r="Q49" s="1119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>
        <v>200000</v>
      </c>
      <c r="G50" s="139"/>
      <c r="H50" s="162">
        <f>SUM(F50:G50)</f>
        <v>200000</v>
      </c>
      <c r="I50" s="906">
        <v>51325</v>
      </c>
      <c r="J50" s="139">
        <v>8675</v>
      </c>
      <c r="K50" s="162">
        <f>SUM(I50:J50)</f>
        <v>60000</v>
      </c>
      <c r="L50" s="906"/>
      <c r="M50" s="139"/>
      <c r="N50" s="885">
        <f>SUM(L50:M50)</f>
        <v>0</v>
      </c>
      <c r="O50" s="1125"/>
      <c r="P50" s="392"/>
      <c r="Q50" s="1119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200000</v>
      </c>
      <c r="G51" s="314">
        <f t="shared" si="18"/>
        <v>0</v>
      </c>
      <c r="H51" s="316">
        <f t="shared" si="18"/>
        <v>200000</v>
      </c>
      <c r="I51" s="347">
        <f t="shared" si="18"/>
        <v>51325</v>
      </c>
      <c r="J51" s="314">
        <f t="shared" si="18"/>
        <v>8675</v>
      </c>
      <c r="K51" s="316">
        <f t="shared" si="18"/>
        <v>60000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1083"/>
      <c r="M52" s="339"/>
      <c r="N52" s="333">
        <f>SUM(L52:M52)</f>
        <v>0</v>
      </c>
      <c r="O52" s="1131"/>
      <c r="P52" s="759"/>
      <c r="Q52" s="1121">
        <f>SUM(O52:P52)</f>
        <v>0</v>
      </c>
    </row>
    <row r="53" spans="1:17" ht="15">
      <c r="A53" s="137" t="s">
        <v>98</v>
      </c>
      <c r="B53" s="138" t="s">
        <v>395</v>
      </c>
      <c r="C53" s="1078"/>
      <c r="D53" s="140"/>
      <c r="E53" s="195">
        <f>SUM(C53:D53)</f>
        <v>0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1078"/>
      <c r="M53" s="140"/>
      <c r="N53" s="889">
        <f>SUM(L53:M53)</f>
        <v>0</v>
      </c>
      <c r="O53" s="1132"/>
      <c r="P53" s="401"/>
      <c r="Q53" s="1122">
        <f>SUM(O53:P53)</f>
        <v>0</v>
      </c>
    </row>
    <row r="54" spans="1:17" ht="15.7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157">
        <f>SUM(L54:M54)</f>
        <v>0</v>
      </c>
      <c r="O54" s="1129"/>
      <c r="P54" s="396"/>
      <c r="Q54" s="1117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5">
        <f t="shared" si="19"/>
        <v>0</v>
      </c>
      <c r="P55" s="1087">
        <f t="shared" si="19"/>
        <v>0</v>
      </c>
      <c r="Q55" s="1089">
        <f t="shared" si="19"/>
        <v>0</v>
      </c>
    </row>
    <row r="56" spans="1:17" s="28" customFormat="1" ht="19.5" customHeight="1" thickBot="1">
      <c r="A56" s="716">
        <v>8</v>
      </c>
      <c r="B56" s="717" t="s">
        <v>46</v>
      </c>
      <c r="C56" s="1110">
        <f>C34-C40-C45-C46-C47-C51-C52-C55-C57-C58-C59</f>
        <v>162146</v>
      </c>
      <c r="D56" s="1111">
        <f>D34-D40-D45-D46-D47-D51-D52-D55-D57-D58-D59</f>
        <v>0</v>
      </c>
      <c r="E56" s="1108">
        <f aca="true" t="shared" si="20" ref="E56:Q56">E34-E40-E45-E46-E47-E51-E52-E55-E57-E58-E59</f>
        <v>162146</v>
      </c>
      <c r="F56" s="1110">
        <f t="shared" si="20"/>
        <v>398106</v>
      </c>
      <c r="G56" s="1111">
        <f t="shared" si="20"/>
        <v>-23371</v>
      </c>
      <c r="H56" s="1108">
        <f t="shared" si="20"/>
        <v>374735</v>
      </c>
      <c r="I56" s="1110">
        <f t="shared" si="20"/>
        <v>-48114</v>
      </c>
      <c r="J56" s="1111">
        <f t="shared" si="20"/>
        <v>-8675</v>
      </c>
      <c r="K56" s="1108">
        <f t="shared" si="20"/>
        <v>-56789</v>
      </c>
      <c r="L56" s="1110">
        <f t="shared" si="20"/>
        <v>52427</v>
      </c>
      <c r="M56" s="1111">
        <f t="shared" si="20"/>
        <v>0</v>
      </c>
      <c r="N56" s="1108">
        <f t="shared" si="20"/>
        <v>52427</v>
      </c>
      <c r="O56" s="1133">
        <f t="shared" si="20"/>
        <v>399455</v>
      </c>
      <c r="P56" s="1135">
        <f t="shared" si="20"/>
        <v>3000</v>
      </c>
      <c r="Q56" s="1123">
        <f t="shared" si="20"/>
        <v>402455</v>
      </c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1109">
        <f>SUM(L57:M57)</f>
        <v>0</v>
      </c>
      <c r="O57" s="1134"/>
      <c r="P57" s="404"/>
      <c r="Q57" s="1124">
        <f>SUM(O57:P57)</f>
        <v>0</v>
      </c>
    </row>
    <row r="58" spans="1:17" s="15" customFormat="1" ht="15.75">
      <c r="A58" s="336" t="s">
        <v>183</v>
      </c>
      <c r="B58" s="337" t="s">
        <v>397</v>
      </c>
      <c r="C58" s="1080"/>
      <c r="D58" s="327"/>
      <c r="E58" s="1109">
        <f>SUM(C58:D58)</f>
        <v>0</v>
      </c>
      <c r="F58" s="890"/>
      <c r="G58" s="327"/>
      <c r="H58" s="1109">
        <f>SUM(F58:G58)</f>
        <v>0</v>
      </c>
      <c r="I58" s="326"/>
      <c r="J58" s="327"/>
      <c r="K58" s="402">
        <f>SUM(I58:J58)</f>
        <v>0</v>
      </c>
      <c r="L58" s="326"/>
      <c r="M58" s="327"/>
      <c r="N58" s="402">
        <f>SUM(L58:M58)</f>
        <v>0</v>
      </c>
      <c r="O58" s="1134"/>
      <c r="P58" s="404"/>
      <c r="Q58" s="1124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188759</v>
      </c>
      <c r="D60" s="780">
        <f aca="true" t="shared" si="21" ref="D60:Q60">D40+D45+D46+D47+D51+D52+D55+D56+D57+D58+D59</f>
        <v>0</v>
      </c>
      <c r="E60" s="778">
        <f t="shared" si="21"/>
        <v>188759</v>
      </c>
      <c r="F60" s="364">
        <f t="shared" si="21"/>
        <v>598106</v>
      </c>
      <c r="G60" s="344">
        <f t="shared" si="21"/>
        <v>-23371</v>
      </c>
      <c r="H60" s="778">
        <f t="shared" si="21"/>
        <v>574735</v>
      </c>
      <c r="I60" s="779">
        <f t="shared" si="21"/>
        <v>3211</v>
      </c>
      <c r="J60" s="780">
        <f t="shared" si="21"/>
        <v>0</v>
      </c>
      <c r="K60" s="778">
        <f t="shared" si="21"/>
        <v>3211</v>
      </c>
      <c r="L60" s="364">
        <f t="shared" si="21"/>
        <v>52427</v>
      </c>
      <c r="M60" s="344">
        <f t="shared" si="21"/>
        <v>0</v>
      </c>
      <c r="N60" s="778">
        <f t="shared" si="21"/>
        <v>52427</v>
      </c>
      <c r="O60" s="364">
        <f t="shared" si="21"/>
        <v>399455</v>
      </c>
      <c r="P60" s="344">
        <f t="shared" si="21"/>
        <v>3000</v>
      </c>
      <c r="Q60" s="374">
        <f t="shared" si="21"/>
        <v>402455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415"/>
      <c r="P62" s="416"/>
      <c r="Q62" s="417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415"/>
      <c r="P63" s="416"/>
      <c r="Q63" s="417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N1" sqref="N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4" width="16.625" style="88" customWidth="1"/>
    <col min="15" max="15" width="14.125" style="161" customWidth="1"/>
    <col min="16" max="17" width="9.375" style="161" customWidth="1"/>
  </cols>
  <sheetData>
    <row r="1" spans="1:14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892" t="s">
        <v>947</v>
      </c>
    </row>
    <row r="2" spans="1:14" ht="12.7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892" t="s">
        <v>93</v>
      </c>
    </row>
    <row r="3" spans="1:14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893" t="s">
        <v>145</v>
      </c>
    </row>
    <row r="4" spans="1:17" s="15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902"/>
      <c r="P4" s="902"/>
      <c r="Q4" s="902"/>
    </row>
    <row r="5" spans="1:17" s="15" customFormat="1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904"/>
      <c r="P5" s="904"/>
      <c r="Q5" s="904"/>
    </row>
    <row r="6" spans="1:14" ht="29.2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13" t="s">
        <v>134</v>
      </c>
    </row>
    <row r="7" spans="1:17" s="88" customFormat="1" ht="30" customHeight="1">
      <c r="A7" s="230" t="s">
        <v>124</v>
      </c>
      <c r="B7" s="87" t="s">
        <v>125</v>
      </c>
      <c r="C7" s="93" t="s">
        <v>146</v>
      </c>
      <c r="D7" s="231"/>
      <c r="E7" s="232"/>
      <c r="F7" s="1309" t="s">
        <v>353</v>
      </c>
      <c r="G7" s="1310"/>
      <c r="H7" s="1311"/>
      <c r="I7" s="1967" t="s">
        <v>68</v>
      </c>
      <c r="J7" s="1968"/>
      <c r="K7" s="1969"/>
      <c r="L7" s="53" t="s">
        <v>147</v>
      </c>
      <c r="M7" s="14"/>
      <c r="N7" s="52"/>
      <c r="O7" s="161"/>
      <c r="P7" s="161"/>
      <c r="Q7" s="161"/>
    </row>
    <row r="8" spans="1:26" s="25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912"/>
      <c r="P8" s="912"/>
      <c r="Q8" s="912"/>
      <c r="R8" s="60"/>
      <c r="S8" s="60"/>
      <c r="T8" s="60"/>
      <c r="U8" s="60"/>
      <c r="V8" s="60"/>
      <c r="W8" s="60"/>
      <c r="X8" s="60"/>
      <c r="Y8" s="60"/>
      <c r="Z8" s="60"/>
    </row>
    <row r="9" spans="1:26" s="33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1">
        <v>6</v>
      </c>
      <c r="G9" s="422">
        <v>7</v>
      </c>
      <c r="H9" s="913">
        <v>8</v>
      </c>
      <c r="I9" s="914">
        <v>9</v>
      </c>
      <c r="J9" s="422">
        <v>10</v>
      </c>
      <c r="K9" s="424">
        <v>11</v>
      </c>
      <c r="L9" s="421">
        <v>12</v>
      </c>
      <c r="M9" s="422">
        <v>13</v>
      </c>
      <c r="N9" s="424">
        <v>14</v>
      </c>
      <c r="O9" s="357"/>
      <c r="P9" s="357"/>
      <c r="Q9" s="357"/>
      <c r="R9" s="29"/>
      <c r="S9" s="29"/>
      <c r="T9" s="29"/>
      <c r="U9" s="29"/>
      <c r="V9" s="29"/>
      <c r="W9" s="29"/>
      <c r="X9" s="29"/>
      <c r="Y9" s="29"/>
      <c r="Z9" s="29"/>
    </row>
    <row r="10" spans="1:14" ht="18.75" thickBot="1">
      <c r="A10" s="380"/>
      <c r="B10" s="425" t="s">
        <v>129</v>
      </c>
      <c r="C10" s="381"/>
      <c r="D10" s="382"/>
      <c r="E10" s="426"/>
      <c r="F10" s="384"/>
      <c r="G10" s="385"/>
      <c r="H10" s="915"/>
      <c r="I10" s="916"/>
      <c r="J10" s="385"/>
      <c r="K10" s="383"/>
      <c r="L10" s="384"/>
      <c r="M10" s="385"/>
      <c r="N10" s="383"/>
    </row>
    <row r="11" spans="1:17" ht="16.5" thickBot="1">
      <c r="A11" s="313">
        <v>1</v>
      </c>
      <c r="B11" s="305" t="s">
        <v>113</v>
      </c>
      <c r="C11" s="314"/>
      <c r="D11" s="314"/>
      <c r="E11" s="358">
        <f>SUM(C11:D11)</f>
        <v>0</v>
      </c>
      <c r="F11" s="319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258235</v>
      </c>
      <c r="G11" s="314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5478</v>
      </c>
      <c r="H11" s="320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263713</v>
      </c>
      <c r="I11" s="316"/>
      <c r="J11" s="314"/>
      <c r="K11" s="358">
        <f aca="true" t="shared" si="0" ref="K11:K16">SUM(I11:J11)</f>
        <v>0</v>
      </c>
      <c r="L11" s="319"/>
      <c r="M11" s="314"/>
      <c r="N11" s="358"/>
      <c r="O11" s="917">
        <f>SUM(L11:M11)</f>
        <v>0</v>
      </c>
      <c r="P11" s="341"/>
      <c r="Q11" s="341"/>
    </row>
    <row r="12" spans="1:17" s="28" customFormat="1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19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64217</v>
      </c>
      <c r="G12" s="314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1135</v>
      </c>
      <c r="H12" s="320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65352</v>
      </c>
      <c r="I12" s="316"/>
      <c r="J12" s="314"/>
      <c r="K12" s="358">
        <f t="shared" si="0"/>
        <v>0</v>
      </c>
      <c r="L12" s="316"/>
      <c r="M12" s="314"/>
      <c r="N12" s="358"/>
      <c r="O12" s="917"/>
      <c r="P12" s="341"/>
      <c r="Q12" s="918">
        <f>SUM(O12:P12)</f>
        <v>0</v>
      </c>
    </row>
    <row r="13" spans="1:17" s="15" customFormat="1" ht="16.5" thickBot="1">
      <c r="A13" s="317">
        <v>3</v>
      </c>
      <c r="B13" s="305" t="s">
        <v>116</v>
      </c>
      <c r="C13" s="316"/>
      <c r="D13" s="314"/>
      <c r="E13" s="358">
        <f>SUM(C13:D13)</f>
        <v>0</v>
      </c>
      <c r="F13" s="319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3708682</v>
      </c>
      <c r="G13" s="314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-68985</v>
      </c>
      <c r="H13" s="320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3639697</v>
      </c>
      <c r="I13" s="316"/>
      <c r="J13" s="314"/>
      <c r="K13" s="358">
        <f t="shared" si="0"/>
        <v>0</v>
      </c>
      <c r="L13" s="319"/>
      <c r="M13" s="314"/>
      <c r="N13" s="358"/>
      <c r="O13" s="917">
        <f aca="true" t="shared" si="1" ref="O13:O21">SUM(L13:M13)</f>
        <v>0</v>
      </c>
      <c r="P13" s="341"/>
      <c r="Q13" s="341"/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286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121687</v>
      </c>
      <c r="G14" s="290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1134</v>
      </c>
      <c r="H14" s="288">
        <f>F14+G14</f>
        <v>122821</v>
      </c>
      <c r="I14" s="316"/>
      <c r="J14" s="316"/>
      <c r="K14" s="320">
        <f t="shared" si="0"/>
        <v>0</v>
      </c>
      <c r="L14" s="319"/>
      <c r="M14" s="316"/>
      <c r="N14" s="320"/>
      <c r="O14" s="333"/>
      <c r="P14" s="333"/>
      <c r="Q14" s="333"/>
    </row>
    <row r="15" spans="1:15" ht="15">
      <c r="A15" s="156" t="s">
        <v>98</v>
      </c>
      <c r="B15" s="145" t="s">
        <v>383</v>
      </c>
      <c r="C15" s="226"/>
      <c r="D15" s="226"/>
      <c r="E15" s="389">
        <f aca="true" t="shared" si="2" ref="E15:E22">C15+D15</f>
        <v>0</v>
      </c>
      <c r="F15" s="227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157855</v>
      </c>
      <c r="G15" s="226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0</v>
      </c>
      <c r="H15" s="228">
        <f>F15+G15</f>
        <v>157855</v>
      </c>
      <c r="I15" s="239"/>
      <c r="J15" s="226"/>
      <c r="K15" s="389">
        <f t="shared" si="0"/>
        <v>0</v>
      </c>
      <c r="L15" s="227"/>
      <c r="M15" s="226"/>
      <c r="N15" s="389"/>
      <c r="O15" s="917">
        <f t="shared" si="1"/>
        <v>0</v>
      </c>
    </row>
    <row r="16" spans="1:15" ht="15">
      <c r="A16" s="153" t="s">
        <v>99</v>
      </c>
      <c r="B16" s="149" t="s">
        <v>626</v>
      </c>
      <c r="C16" s="139"/>
      <c r="D16" s="139"/>
      <c r="E16" s="389">
        <f t="shared" si="2"/>
        <v>0</v>
      </c>
      <c r="F16" s="227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26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28">
        <f>F16+G16</f>
        <v>0</v>
      </c>
      <c r="I16" s="141"/>
      <c r="J16" s="139"/>
      <c r="K16" s="389">
        <f t="shared" si="0"/>
        <v>0</v>
      </c>
      <c r="L16" s="143"/>
      <c r="M16" s="139"/>
      <c r="N16" s="389"/>
      <c r="O16" s="917">
        <f>SUM(L16:M16)</f>
        <v>0</v>
      </c>
    </row>
    <row r="17" spans="1:15" ht="15">
      <c r="A17" s="153" t="s">
        <v>100</v>
      </c>
      <c r="B17" s="149" t="s">
        <v>627</v>
      </c>
      <c r="C17" s="139"/>
      <c r="D17" s="139"/>
      <c r="E17" s="389">
        <f t="shared" si="2"/>
        <v>0</v>
      </c>
      <c r="F17" s="227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26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28">
        <f aca="true" t="shared" si="3" ref="H17:H22">F17+G17</f>
        <v>0</v>
      </c>
      <c r="I17" s="141"/>
      <c r="J17" s="139"/>
      <c r="K17" s="389">
        <f aca="true" t="shared" si="4" ref="K17:K22">SUM(I17:J17)</f>
        <v>0</v>
      </c>
      <c r="L17" s="143"/>
      <c r="M17" s="139"/>
      <c r="N17" s="389"/>
      <c r="O17" s="917">
        <f t="shared" si="1"/>
        <v>0</v>
      </c>
    </row>
    <row r="18" spans="1:15" ht="15">
      <c r="A18" s="153" t="s">
        <v>101</v>
      </c>
      <c r="B18" s="149" t="s">
        <v>384</v>
      </c>
      <c r="C18" s="139"/>
      <c r="D18" s="139"/>
      <c r="E18" s="389">
        <f t="shared" si="2"/>
        <v>0</v>
      </c>
      <c r="F18" s="227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38443</v>
      </c>
      <c r="G18" s="226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700</v>
      </c>
      <c r="H18" s="228">
        <f t="shared" si="3"/>
        <v>39143</v>
      </c>
      <c r="I18" s="141"/>
      <c r="J18" s="139"/>
      <c r="K18" s="389">
        <f t="shared" si="4"/>
        <v>0</v>
      </c>
      <c r="L18" s="237"/>
      <c r="M18" s="151"/>
      <c r="N18" s="389"/>
      <c r="O18" s="917">
        <f t="shared" si="1"/>
        <v>0</v>
      </c>
    </row>
    <row r="19" spans="1:15" ht="15">
      <c r="A19" s="148" t="s">
        <v>192</v>
      </c>
      <c r="B19" s="149" t="s">
        <v>628</v>
      </c>
      <c r="C19" s="141"/>
      <c r="D19" s="139"/>
      <c r="E19" s="389">
        <f t="shared" si="2"/>
        <v>0</v>
      </c>
      <c r="F19" s="227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26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0</v>
      </c>
      <c r="H19" s="228">
        <f t="shared" si="3"/>
        <v>0</v>
      </c>
      <c r="I19" s="141"/>
      <c r="J19" s="139"/>
      <c r="K19" s="389">
        <f>SUM(I19:J19)</f>
        <v>0</v>
      </c>
      <c r="L19" s="143"/>
      <c r="M19" s="139"/>
      <c r="N19" s="389"/>
      <c r="O19" s="917">
        <f>SUM(L19:M19)</f>
        <v>0</v>
      </c>
    </row>
    <row r="20" spans="1:15" ht="15">
      <c r="A20" s="148" t="s">
        <v>339</v>
      </c>
      <c r="B20" s="149" t="s">
        <v>629</v>
      </c>
      <c r="C20" s="141"/>
      <c r="D20" s="139"/>
      <c r="E20" s="389">
        <f t="shared" si="2"/>
        <v>0</v>
      </c>
      <c r="F20" s="227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26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28">
        <f t="shared" si="3"/>
        <v>0</v>
      </c>
      <c r="I20" s="141"/>
      <c r="J20" s="139"/>
      <c r="K20" s="389">
        <f t="shared" si="4"/>
        <v>0</v>
      </c>
      <c r="L20" s="143"/>
      <c r="M20" s="139"/>
      <c r="N20" s="389"/>
      <c r="O20" s="917">
        <f t="shared" si="1"/>
        <v>0</v>
      </c>
    </row>
    <row r="21" spans="1:15" ht="15">
      <c r="A21" s="148" t="s">
        <v>340</v>
      </c>
      <c r="B21" s="149" t="s">
        <v>385</v>
      </c>
      <c r="C21" s="239"/>
      <c r="D21" s="226"/>
      <c r="E21" s="389">
        <f t="shared" si="2"/>
        <v>0</v>
      </c>
      <c r="F21" s="227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184141</v>
      </c>
      <c r="G21" s="226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-15968</v>
      </c>
      <c r="H21" s="228">
        <f t="shared" si="3"/>
        <v>168173</v>
      </c>
      <c r="I21" s="239"/>
      <c r="J21" s="226"/>
      <c r="K21" s="389">
        <f t="shared" si="4"/>
        <v>0</v>
      </c>
      <c r="L21" s="227"/>
      <c r="M21" s="226"/>
      <c r="N21" s="389"/>
      <c r="O21" s="917">
        <f t="shared" si="1"/>
        <v>0</v>
      </c>
    </row>
    <row r="22" spans="1:15" ht="15" customHeight="1" thickBot="1">
      <c r="A22" s="16" t="s">
        <v>69</v>
      </c>
      <c r="B22" s="919" t="s">
        <v>386</v>
      </c>
      <c r="C22" s="150">
        <f>tartalék!D36</f>
        <v>635260</v>
      </c>
      <c r="D22" s="150">
        <f>tartalék!E36</f>
        <v>334102</v>
      </c>
      <c r="E22" s="389">
        <f t="shared" si="2"/>
        <v>969362</v>
      </c>
      <c r="F22" s="227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635260</v>
      </c>
      <c r="G22" s="226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334102</v>
      </c>
      <c r="H22" s="228">
        <f t="shared" si="3"/>
        <v>969362</v>
      </c>
      <c r="I22" s="150"/>
      <c r="J22" s="151"/>
      <c r="K22" s="389">
        <f t="shared" si="4"/>
        <v>0</v>
      </c>
      <c r="L22" s="237"/>
      <c r="M22" s="151"/>
      <c r="N22" s="389"/>
      <c r="O22" s="917"/>
    </row>
    <row r="23" spans="1:17" s="15" customFormat="1" ht="16.5" thickBot="1">
      <c r="A23" s="317">
        <v>5</v>
      </c>
      <c r="B23" s="305" t="s">
        <v>171</v>
      </c>
      <c r="C23" s="319">
        <f aca="true" t="shared" si="5" ref="C23:P23">SUM(C15:C22)</f>
        <v>635260</v>
      </c>
      <c r="D23" s="316">
        <f t="shared" si="5"/>
        <v>334102</v>
      </c>
      <c r="E23" s="320">
        <f t="shared" si="5"/>
        <v>969362</v>
      </c>
      <c r="F23" s="316">
        <f t="shared" si="5"/>
        <v>1015699</v>
      </c>
      <c r="G23" s="316">
        <f t="shared" si="5"/>
        <v>318834</v>
      </c>
      <c r="H23" s="330">
        <f t="shared" si="5"/>
        <v>1334533</v>
      </c>
      <c r="I23" s="319">
        <f t="shared" si="5"/>
        <v>0</v>
      </c>
      <c r="J23" s="316">
        <f t="shared" si="5"/>
        <v>0</v>
      </c>
      <c r="K23" s="320">
        <f t="shared" si="5"/>
        <v>0</v>
      </c>
      <c r="L23" s="319"/>
      <c r="M23" s="316"/>
      <c r="N23" s="320"/>
      <c r="O23" s="333">
        <f t="shared" si="5"/>
        <v>0</v>
      </c>
      <c r="P23" s="333">
        <f t="shared" si="5"/>
        <v>0</v>
      </c>
      <c r="Q23" s="333"/>
    </row>
    <row r="24" spans="1:17" ht="16.5" thickBot="1">
      <c r="A24" s="313">
        <v>6</v>
      </c>
      <c r="B24" s="305" t="s">
        <v>174</v>
      </c>
      <c r="C24" s="314"/>
      <c r="D24" s="314"/>
      <c r="E24" s="358">
        <f aca="true" t="shared" si="6" ref="E24:E30">SUM(C24:D24)</f>
        <v>0</v>
      </c>
      <c r="F24" s="286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4779232</v>
      </c>
      <c r="G24" s="290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13607</v>
      </c>
      <c r="H24" s="288">
        <f>F24+G24</f>
        <v>4792839</v>
      </c>
      <c r="I24" s="316"/>
      <c r="J24" s="314"/>
      <c r="K24" s="358">
        <f aca="true" t="shared" si="7" ref="K24:K33">SUM(I24:J24)</f>
        <v>0</v>
      </c>
      <c r="L24" s="319"/>
      <c r="M24" s="314"/>
      <c r="N24" s="358"/>
      <c r="O24" s="917">
        <f aca="true" t="shared" si="8" ref="O24:O34">SUM(L24:M24)</f>
        <v>0</v>
      </c>
      <c r="P24" s="341"/>
      <c r="Q24" s="341"/>
    </row>
    <row r="25" spans="1:17" s="15" customFormat="1" ht="16.5" thickBot="1">
      <c r="A25" s="313">
        <v>7</v>
      </c>
      <c r="B25" s="305" t="s">
        <v>435</v>
      </c>
      <c r="C25" s="314"/>
      <c r="D25" s="314"/>
      <c r="E25" s="358">
        <f t="shared" si="6"/>
        <v>0</v>
      </c>
      <c r="F25" s="286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1770404</v>
      </c>
      <c r="G25" s="290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-14153</v>
      </c>
      <c r="H25" s="288">
        <f>F25+G25</f>
        <v>1756251</v>
      </c>
      <c r="I25" s="316"/>
      <c r="J25" s="314"/>
      <c r="K25" s="358">
        <f t="shared" si="7"/>
        <v>0</v>
      </c>
      <c r="L25" s="319"/>
      <c r="M25" s="314"/>
      <c r="N25" s="358"/>
      <c r="O25" s="917">
        <f t="shared" si="8"/>
        <v>0</v>
      </c>
      <c r="P25" s="341"/>
      <c r="Q25" s="341"/>
    </row>
    <row r="26" spans="1:15" ht="15">
      <c r="A26" s="156" t="s">
        <v>98</v>
      </c>
      <c r="B26" s="149" t="s">
        <v>632</v>
      </c>
      <c r="C26" s="226"/>
      <c r="D26" s="226"/>
      <c r="E26" s="389">
        <f t="shared" si="6"/>
        <v>0</v>
      </c>
      <c r="F26" s="227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26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28">
        <f>F26+G26</f>
        <v>0</v>
      </c>
      <c r="I26" s="239"/>
      <c r="J26" s="226"/>
      <c r="K26" s="389">
        <f t="shared" si="7"/>
        <v>0</v>
      </c>
      <c r="L26" s="227"/>
      <c r="M26" s="226"/>
      <c r="N26" s="389"/>
      <c r="O26" s="917">
        <f t="shared" si="8"/>
        <v>0</v>
      </c>
    </row>
    <row r="27" spans="1:15" ht="15">
      <c r="A27" s="156" t="s">
        <v>99</v>
      </c>
      <c r="B27" s="149" t="s">
        <v>630</v>
      </c>
      <c r="C27" s="226"/>
      <c r="D27" s="226"/>
      <c r="E27" s="389">
        <f t="shared" si="6"/>
        <v>0</v>
      </c>
      <c r="F27" s="227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26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28">
        <f aca="true" t="shared" si="9" ref="H27:H33">F27+G27</f>
        <v>0</v>
      </c>
      <c r="I27" s="239"/>
      <c r="J27" s="226"/>
      <c r="K27" s="389">
        <f t="shared" si="7"/>
        <v>0</v>
      </c>
      <c r="L27" s="227"/>
      <c r="M27" s="226"/>
      <c r="N27" s="389"/>
      <c r="O27" s="917">
        <f t="shared" si="8"/>
        <v>0</v>
      </c>
    </row>
    <row r="28" spans="1:15" ht="15">
      <c r="A28" s="156" t="s">
        <v>100</v>
      </c>
      <c r="B28" s="149" t="s">
        <v>387</v>
      </c>
      <c r="C28" s="226"/>
      <c r="D28" s="226"/>
      <c r="E28" s="389">
        <f t="shared" si="6"/>
        <v>0</v>
      </c>
      <c r="F28" s="227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0</v>
      </c>
      <c r="G28" s="226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28">
        <f t="shared" si="9"/>
        <v>0</v>
      </c>
      <c r="I28" s="239"/>
      <c r="J28" s="226"/>
      <c r="K28" s="389">
        <f t="shared" si="7"/>
        <v>0</v>
      </c>
      <c r="L28" s="1074"/>
      <c r="M28" s="139"/>
      <c r="N28" s="228"/>
      <c r="O28" s="917">
        <f t="shared" si="8"/>
        <v>0</v>
      </c>
    </row>
    <row r="29" spans="1:15" ht="15">
      <c r="A29" s="156" t="s">
        <v>101</v>
      </c>
      <c r="B29" s="149" t="s">
        <v>631</v>
      </c>
      <c r="C29" s="306"/>
      <c r="D29" s="139"/>
      <c r="E29" s="228">
        <f t="shared" si="6"/>
        <v>0</v>
      </c>
      <c r="F29" s="1074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10954</v>
      </c>
      <c r="G29" s="139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379</v>
      </c>
      <c r="H29" s="228">
        <f t="shared" si="9"/>
        <v>11333</v>
      </c>
      <c r="I29" s="887"/>
      <c r="J29" s="139"/>
      <c r="K29" s="228">
        <f t="shared" si="7"/>
        <v>0</v>
      </c>
      <c r="L29" s="1074"/>
      <c r="M29" s="226"/>
      <c r="N29" s="228"/>
      <c r="O29" s="917">
        <f t="shared" si="8"/>
        <v>0</v>
      </c>
    </row>
    <row r="30" spans="1:15" ht="15.75" thickBot="1">
      <c r="A30" s="335" t="s">
        <v>192</v>
      </c>
      <c r="B30" s="149" t="s">
        <v>388</v>
      </c>
      <c r="C30" s="329"/>
      <c r="D30" s="321"/>
      <c r="E30" s="228">
        <f t="shared" si="6"/>
        <v>0</v>
      </c>
      <c r="F30" s="1075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211509</v>
      </c>
      <c r="G30" s="321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17032</v>
      </c>
      <c r="H30" s="324">
        <f t="shared" si="9"/>
        <v>228541</v>
      </c>
      <c r="I30" s="157"/>
      <c r="J30" s="321"/>
      <c r="K30" s="324">
        <f t="shared" si="7"/>
        <v>0</v>
      </c>
      <c r="L30" s="1075"/>
      <c r="M30" s="321"/>
      <c r="N30" s="324"/>
      <c r="O30" s="917">
        <f t="shared" si="8"/>
        <v>0</v>
      </c>
    </row>
    <row r="31" spans="1:17" s="15" customFormat="1" ht="16.5" thickBot="1">
      <c r="A31" s="313">
        <v>8</v>
      </c>
      <c r="B31" s="305" t="s">
        <v>173</v>
      </c>
      <c r="C31" s="318">
        <f>SUM(C26:C30)</f>
        <v>0</v>
      </c>
      <c r="D31" s="314">
        <f>SUM(D27:D30)</f>
        <v>0</v>
      </c>
      <c r="E31" s="316">
        <f>SUM(E27:E30)</f>
        <v>0</v>
      </c>
      <c r="F31" s="1094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222463</v>
      </c>
      <c r="G31" s="290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17411</v>
      </c>
      <c r="H31" s="288">
        <f t="shared" si="9"/>
        <v>239874</v>
      </c>
      <c r="I31" s="330"/>
      <c r="J31" s="314"/>
      <c r="K31" s="320">
        <f t="shared" si="7"/>
        <v>0</v>
      </c>
      <c r="L31" s="347"/>
      <c r="M31" s="314"/>
      <c r="N31" s="320"/>
      <c r="O31" s="917">
        <f t="shared" si="8"/>
        <v>0</v>
      </c>
      <c r="P31" s="341"/>
      <c r="Q31" s="341"/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1094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38585</v>
      </c>
      <c r="G32" s="290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72111</v>
      </c>
      <c r="H32" s="288">
        <f t="shared" si="9"/>
        <v>110696</v>
      </c>
      <c r="I32" s="330"/>
      <c r="J32" s="314"/>
      <c r="K32" s="320">
        <f t="shared" si="7"/>
        <v>0</v>
      </c>
      <c r="L32" s="347"/>
      <c r="M32" s="314"/>
      <c r="N32" s="320"/>
      <c r="O32" s="917">
        <f t="shared" si="8"/>
        <v>0</v>
      </c>
      <c r="P32" s="341"/>
      <c r="Q32" s="341"/>
    </row>
    <row r="33" spans="1:17" s="32" customFormat="1" ht="16.5" thickBot="1">
      <c r="A33" s="367">
        <v>10</v>
      </c>
      <c r="B33" s="368"/>
      <c r="C33" s="934"/>
      <c r="D33" s="369"/>
      <c r="E33" s="1106">
        <f>SUM(C33:D33)</f>
        <v>0</v>
      </c>
      <c r="F33" s="1096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370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371">
        <f t="shared" si="9"/>
        <v>0</v>
      </c>
      <c r="I33" s="293"/>
      <c r="J33" s="369"/>
      <c r="K33" s="1106">
        <f t="shared" si="7"/>
        <v>0</v>
      </c>
      <c r="L33" s="1090"/>
      <c r="M33" s="375"/>
      <c r="N33" s="376"/>
      <c r="O33" s="917">
        <f t="shared" si="8"/>
        <v>0</v>
      </c>
      <c r="P33" s="427"/>
      <c r="Q33" s="427"/>
    </row>
    <row r="34" spans="1:17" s="35" customFormat="1" ht="17.25" thickBot="1" thickTop="1">
      <c r="A34" s="343" t="s">
        <v>108</v>
      </c>
      <c r="B34" s="366" t="s">
        <v>180</v>
      </c>
      <c r="C34" s="365">
        <f aca="true" t="shared" si="10" ref="C34:N34">C11+C12+C13+C23+C14+C31+C25+C24+C32+C33</f>
        <v>635260</v>
      </c>
      <c r="D34" s="344">
        <f t="shared" si="10"/>
        <v>334102</v>
      </c>
      <c r="E34" s="778">
        <f t="shared" si="10"/>
        <v>969362</v>
      </c>
      <c r="F34" s="365">
        <f t="shared" si="10"/>
        <v>11979204</v>
      </c>
      <c r="G34" s="344">
        <f t="shared" si="10"/>
        <v>346572</v>
      </c>
      <c r="H34" s="778">
        <f t="shared" si="10"/>
        <v>12325776</v>
      </c>
      <c r="I34" s="365">
        <f t="shared" si="10"/>
        <v>0</v>
      </c>
      <c r="J34" s="344">
        <f t="shared" si="10"/>
        <v>0</v>
      </c>
      <c r="K34" s="778">
        <f t="shared" si="10"/>
        <v>0</v>
      </c>
      <c r="L34" s="365">
        <f t="shared" si="10"/>
        <v>0</v>
      </c>
      <c r="M34" s="344">
        <f t="shared" si="10"/>
        <v>0</v>
      </c>
      <c r="N34" s="374">
        <f t="shared" si="10"/>
        <v>0</v>
      </c>
      <c r="O34" s="917">
        <f t="shared" si="8"/>
        <v>0</v>
      </c>
      <c r="P34" s="431"/>
      <c r="Q34" s="431"/>
    </row>
    <row r="35" spans="1:14" ht="17.25" thickBot="1" thickTop="1">
      <c r="A35" s="144"/>
      <c r="B35" s="346" t="s">
        <v>131</v>
      </c>
      <c r="C35" s="1076"/>
      <c r="D35" s="302"/>
      <c r="E35" s="1107"/>
      <c r="F35" s="1091"/>
      <c r="G35" s="373"/>
      <c r="H35" s="920"/>
      <c r="I35" s="888"/>
      <c r="J35" s="302"/>
      <c r="K35" s="1107"/>
      <c r="L35" s="1091"/>
      <c r="M35" s="373"/>
      <c r="N35" s="920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/>
      <c r="F36" s="1084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771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776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775">
        <v>1837016</v>
      </c>
      <c r="J36" s="771">
        <v>80403</v>
      </c>
      <c r="K36" s="776">
        <f>SUM(I36:J36)</f>
        <v>1917419</v>
      </c>
      <c r="L36" s="1084"/>
      <c r="M36" s="771"/>
      <c r="N36" s="776"/>
      <c r="O36" s="921">
        <f>SUM(L36:M36)</f>
        <v>0</v>
      </c>
      <c r="P36" s="763"/>
      <c r="Q36" s="763"/>
    </row>
    <row r="37" spans="1:17" s="762" customFormat="1" ht="15">
      <c r="A37" s="153" t="s">
        <v>99</v>
      </c>
      <c r="B37" s="149" t="s">
        <v>245</v>
      </c>
      <c r="C37" s="906"/>
      <c r="D37" s="139"/>
      <c r="E37" s="162"/>
      <c r="F37" s="906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39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62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885"/>
      <c r="J37" s="139"/>
      <c r="K37" s="162">
        <f>SUM(I37:J37)</f>
        <v>0</v>
      </c>
      <c r="L37" s="906"/>
      <c r="M37" s="139"/>
      <c r="N37" s="162"/>
      <c r="O37" s="922">
        <f>SUM(L37:M37)</f>
        <v>0</v>
      </c>
      <c r="P37" s="923"/>
      <c r="Q37" s="777"/>
    </row>
    <row r="38" spans="1:17" s="762" customFormat="1" ht="15">
      <c r="A38" s="335" t="s">
        <v>100</v>
      </c>
      <c r="B38" s="142" t="s">
        <v>390</v>
      </c>
      <c r="C38" s="1075"/>
      <c r="D38" s="321"/>
      <c r="E38" s="324"/>
      <c r="F38" s="1075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21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24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57"/>
      <c r="J38" s="321"/>
      <c r="K38" s="324">
        <f aca="true" t="shared" si="11" ref="K38:K44">SUM(I38:J38)</f>
        <v>0</v>
      </c>
      <c r="L38" s="1075"/>
      <c r="M38" s="321"/>
      <c r="N38" s="324"/>
      <c r="O38" s="760"/>
      <c r="P38" s="760"/>
      <c r="Q38" s="760"/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/>
      <c r="F39" s="907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50809</v>
      </c>
      <c r="G39" s="151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439669</v>
      </c>
      <c r="H39" s="238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490478</v>
      </c>
      <c r="I39" s="886">
        <v>142825</v>
      </c>
      <c r="J39" s="151">
        <v>-13678</v>
      </c>
      <c r="K39" s="238">
        <f t="shared" si="11"/>
        <v>129147</v>
      </c>
      <c r="L39" s="907"/>
      <c r="M39" s="151"/>
      <c r="N39" s="238"/>
      <c r="O39" s="760"/>
      <c r="P39" s="760"/>
      <c r="Q39" s="760"/>
    </row>
    <row r="40" spans="1:17" s="15" customFormat="1" ht="16.5" thickBot="1">
      <c r="A40" s="313">
        <v>1</v>
      </c>
      <c r="B40" s="305" t="s">
        <v>177</v>
      </c>
      <c r="C40" s="347">
        <f aca="true" t="shared" si="12" ref="C40:K40">SUM(C36:C39)</f>
        <v>0</v>
      </c>
      <c r="D40" s="314">
        <f t="shared" si="12"/>
        <v>0</v>
      </c>
      <c r="E40" s="320">
        <f t="shared" si="12"/>
        <v>0</v>
      </c>
      <c r="F40" s="347">
        <f t="shared" si="12"/>
        <v>50809</v>
      </c>
      <c r="G40" s="314">
        <f t="shared" si="12"/>
        <v>439669</v>
      </c>
      <c r="H40" s="320">
        <f t="shared" si="12"/>
        <v>490478</v>
      </c>
      <c r="I40" s="347">
        <f t="shared" si="12"/>
        <v>1979841</v>
      </c>
      <c r="J40" s="314">
        <f t="shared" si="12"/>
        <v>66725</v>
      </c>
      <c r="K40" s="320">
        <f t="shared" si="12"/>
        <v>2046566</v>
      </c>
      <c r="L40" s="347"/>
      <c r="M40" s="314"/>
      <c r="N40" s="320"/>
      <c r="O40" s="200"/>
      <c r="P40" s="200"/>
      <c r="Q40" s="200"/>
    </row>
    <row r="41" spans="1:17" ht="15">
      <c r="A41" s="156" t="s">
        <v>98</v>
      </c>
      <c r="B41" s="145" t="s">
        <v>416</v>
      </c>
      <c r="C41" s="1074"/>
      <c r="D41" s="226"/>
      <c r="E41" s="228"/>
      <c r="F41" s="1074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26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28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887"/>
      <c r="J41" s="226"/>
      <c r="K41" s="228">
        <f t="shared" si="11"/>
        <v>0</v>
      </c>
      <c r="L41" s="1074"/>
      <c r="M41" s="226"/>
      <c r="N41" s="228"/>
      <c r="O41" s="88"/>
      <c r="P41" s="88"/>
      <c r="Q41" s="88"/>
    </row>
    <row r="42" spans="1:17" ht="15">
      <c r="A42" s="153" t="s">
        <v>99</v>
      </c>
      <c r="B42" s="149" t="s">
        <v>391</v>
      </c>
      <c r="C42" s="906"/>
      <c r="D42" s="139"/>
      <c r="E42" s="162"/>
      <c r="F42" s="1074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26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28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885">
        <v>1810000</v>
      </c>
      <c r="J42" s="139">
        <v>216143</v>
      </c>
      <c r="K42" s="162">
        <f>SUM(I42:J42)</f>
        <v>2026143</v>
      </c>
      <c r="L42" s="906"/>
      <c r="M42" s="139"/>
      <c r="N42" s="162"/>
      <c r="O42" s="88"/>
      <c r="P42" s="88"/>
      <c r="Q42" s="88"/>
    </row>
    <row r="43" spans="1:17" ht="15">
      <c r="A43" s="153" t="s">
        <v>100</v>
      </c>
      <c r="B43" s="149" t="s">
        <v>392</v>
      </c>
      <c r="C43" s="906"/>
      <c r="D43" s="139"/>
      <c r="E43" s="162"/>
      <c r="F43" s="1074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26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28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885">
        <v>4504967</v>
      </c>
      <c r="J43" s="139">
        <v>253757</v>
      </c>
      <c r="K43" s="162">
        <f>SUM(I43:J43)</f>
        <v>4758724</v>
      </c>
      <c r="L43" s="906"/>
      <c r="M43" s="139"/>
      <c r="N43" s="162"/>
      <c r="O43" s="88"/>
      <c r="P43" s="88"/>
      <c r="Q43" s="88"/>
    </row>
    <row r="44" spans="1:17" ht="15.75" thickBot="1">
      <c r="A44" s="154" t="s">
        <v>101</v>
      </c>
      <c r="B44" s="155" t="s">
        <v>175</v>
      </c>
      <c r="C44" s="907"/>
      <c r="D44" s="151"/>
      <c r="E44" s="238"/>
      <c r="F44" s="1075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2167</v>
      </c>
      <c r="G44" s="321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529</v>
      </c>
      <c r="H44" s="324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2696</v>
      </c>
      <c r="I44" s="886">
        <v>23535</v>
      </c>
      <c r="J44" s="151">
        <v>733</v>
      </c>
      <c r="K44" s="238">
        <f t="shared" si="11"/>
        <v>24268</v>
      </c>
      <c r="L44" s="907"/>
      <c r="M44" s="151"/>
      <c r="N44" s="238"/>
      <c r="O44" s="88"/>
      <c r="P44" s="88"/>
      <c r="Q44" s="88"/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3" ref="D45:K45">SUM(D41:D44)</f>
        <v>0</v>
      </c>
      <c r="E45" s="330">
        <f t="shared" si="13"/>
        <v>0</v>
      </c>
      <c r="F45" s="347">
        <f>SUM(F41:F44)</f>
        <v>2167</v>
      </c>
      <c r="G45" s="314">
        <f t="shared" si="13"/>
        <v>529</v>
      </c>
      <c r="H45" s="330">
        <f t="shared" si="13"/>
        <v>2696</v>
      </c>
      <c r="I45" s="347">
        <f t="shared" si="13"/>
        <v>6338502</v>
      </c>
      <c r="J45" s="314">
        <f t="shared" si="13"/>
        <v>470633</v>
      </c>
      <c r="K45" s="330">
        <f t="shared" si="13"/>
        <v>6809135</v>
      </c>
      <c r="L45" s="347"/>
      <c r="M45" s="314"/>
      <c r="N45" s="320"/>
      <c r="O45" s="200"/>
      <c r="P45" s="200"/>
      <c r="Q45" s="200"/>
    </row>
    <row r="46" spans="1:17" s="15" customFormat="1" ht="16.5" thickBot="1">
      <c r="A46" s="313">
        <v>3</v>
      </c>
      <c r="B46" s="305" t="s">
        <v>264</v>
      </c>
      <c r="C46" s="347"/>
      <c r="D46" s="314"/>
      <c r="E46" s="320">
        <f>SUM(C46:D46)</f>
        <v>0</v>
      </c>
      <c r="F46" s="347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790404</v>
      </c>
      <c r="G46" s="314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-7218</v>
      </c>
      <c r="H46" s="320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783186</v>
      </c>
      <c r="I46" s="347"/>
      <c r="J46" s="314"/>
      <c r="K46" s="320">
        <f>SUM(I46:J46)</f>
        <v>0</v>
      </c>
      <c r="L46" s="347"/>
      <c r="M46" s="314"/>
      <c r="N46" s="320"/>
      <c r="O46" s="200"/>
      <c r="P46" s="200"/>
      <c r="Q46" s="200"/>
    </row>
    <row r="47" spans="1:17" s="15" customFormat="1" ht="16.5" thickBot="1">
      <c r="A47" s="313">
        <v>4</v>
      </c>
      <c r="B47" s="305" t="s">
        <v>285</v>
      </c>
      <c r="C47" s="347"/>
      <c r="D47" s="314"/>
      <c r="E47" s="320">
        <f>SUM(C47:D47)</f>
        <v>0</v>
      </c>
      <c r="F47" s="1145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361</v>
      </c>
      <c r="G47" s="803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14224</v>
      </c>
      <c r="H47" s="924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14585</v>
      </c>
      <c r="I47" s="347"/>
      <c r="J47" s="314"/>
      <c r="K47" s="320">
        <f>SUM(I47:J47)</f>
        <v>0</v>
      </c>
      <c r="L47" s="347"/>
      <c r="M47" s="314"/>
      <c r="N47" s="320"/>
      <c r="O47" s="200"/>
      <c r="P47" s="200"/>
      <c r="Q47" s="200"/>
    </row>
    <row r="48" spans="1:17" s="762" customFormat="1" ht="15">
      <c r="A48" s="156" t="s">
        <v>98</v>
      </c>
      <c r="B48" s="142" t="s">
        <v>291</v>
      </c>
      <c r="C48" s="1074"/>
      <c r="D48" s="226"/>
      <c r="E48" s="228"/>
      <c r="F48" s="1074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2066600</v>
      </c>
      <c r="G48" s="226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-2066600</v>
      </c>
      <c r="H48" s="228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0</v>
      </c>
      <c r="I48" s="887"/>
      <c r="J48" s="226">
        <v>3112</v>
      </c>
      <c r="K48" s="228">
        <f aca="true" t="shared" si="14" ref="K48:K55">SUM(I48:J48)</f>
        <v>3112</v>
      </c>
      <c r="L48" s="1074"/>
      <c r="M48" s="226"/>
      <c r="N48" s="228"/>
      <c r="O48" s="760"/>
      <c r="P48" s="760"/>
      <c r="Q48" s="760"/>
    </row>
    <row r="49" spans="1:17" ht="15">
      <c r="A49" s="154" t="s">
        <v>99</v>
      </c>
      <c r="B49" s="334" t="s">
        <v>393</v>
      </c>
      <c r="C49" s="906"/>
      <c r="D49" s="139"/>
      <c r="E49" s="162"/>
      <c r="F49" s="1074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26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28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885"/>
      <c r="J49" s="139"/>
      <c r="K49" s="162">
        <f t="shared" si="14"/>
        <v>0</v>
      </c>
      <c r="L49" s="906"/>
      <c r="M49" s="139"/>
      <c r="N49" s="162"/>
      <c r="O49" s="88"/>
      <c r="P49" s="88"/>
      <c r="Q49" s="88"/>
    </row>
    <row r="50" spans="1:17" ht="15.75" thickBot="1">
      <c r="A50" s="154" t="s">
        <v>100</v>
      </c>
      <c r="B50" s="334" t="s">
        <v>426</v>
      </c>
      <c r="C50" s="906"/>
      <c r="D50" s="139"/>
      <c r="E50" s="162"/>
      <c r="F50" s="1074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367612</v>
      </c>
      <c r="G50" s="226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1667021</v>
      </c>
      <c r="H50" s="228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2034633</v>
      </c>
      <c r="I50" s="885"/>
      <c r="J50" s="139"/>
      <c r="K50" s="162">
        <f>SUM(I50:J50)</f>
        <v>0</v>
      </c>
      <c r="L50" s="906"/>
      <c r="M50" s="139"/>
      <c r="N50" s="162"/>
      <c r="O50" s="88"/>
      <c r="P50" s="88"/>
      <c r="Q50" s="88"/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20"/>
      <c r="F51" s="347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2434212</v>
      </c>
      <c r="G51" s="314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-399579</v>
      </c>
      <c r="H51" s="320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2034633</v>
      </c>
      <c r="I51" s="330">
        <f>SUM(I48:I50)</f>
        <v>0</v>
      </c>
      <c r="J51" s="314">
        <f>SUM(J48:J50)</f>
        <v>3112</v>
      </c>
      <c r="K51" s="320">
        <f t="shared" si="14"/>
        <v>3112</v>
      </c>
      <c r="L51" s="347"/>
      <c r="M51" s="314"/>
      <c r="N51" s="320"/>
      <c r="O51" s="200"/>
      <c r="P51" s="200"/>
      <c r="Q51" s="200"/>
    </row>
    <row r="52" spans="1:17" s="15" customFormat="1" ht="16.5" thickBot="1">
      <c r="A52" s="765">
        <v>6</v>
      </c>
      <c r="B52" s="766" t="s">
        <v>295</v>
      </c>
      <c r="C52" s="1077"/>
      <c r="D52" s="339"/>
      <c r="E52" s="332"/>
      <c r="F52" s="347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563991</v>
      </c>
      <c r="G52" s="314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-297875</v>
      </c>
      <c r="H52" s="320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266116</v>
      </c>
      <c r="I52" s="333"/>
      <c r="J52" s="339"/>
      <c r="K52" s="332">
        <f t="shared" si="14"/>
        <v>0</v>
      </c>
      <c r="L52" s="1083"/>
      <c r="M52" s="339"/>
      <c r="N52" s="332"/>
      <c r="O52" s="200"/>
      <c r="P52" s="200"/>
      <c r="Q52" s="200"/>
    </row>
    <row r="53" spans="1:17" ht="15">
      <c r="A53" s="137" t="s">
        <v>98</v>
      </c>
      <c r="B53" s="138" t="s">
        <v>395</v>
      </c>
      <c r="C53" s="1078"/>
      <c r="D53" s="140"/>
      <c r="E53" s="195"/>
      <c r="F53" s="1074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1956</v>
      </c>
      <c r="G53" s="226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616</v>
      </c>
      <c r="H53" s="228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2572</v>
      </c>
      <c r="I53" s="889">
        <v>1000</v>
      </c>
      <c r="J53" s="140">
        <v>-637</v>
      </c>
      <c r="K53" s="195">
        <f t="shared" si="14"/>
        <v>363</v>
      </c>
      <c r="L53" s="1078"/>
      <c r="M53" s="140"/>
      <c r="N53" s="195"/>
      <c r="O53" s="88"/>
      <c r="P53" s="88"/>
      <c r="Q53" s="88"/>
    </row>
    <row r="54" spans="1:17" ht="15.75" thickBot="1">
      <c r="A54" s="335" t="s">
        <v>99</v>
      </c>
      <c r="B54" s="142" t="s">
        <v>396</v>
      </c>
      <c r="C54" s="1075"/>
      <c r="D54" s="321"/>
      <c r="E54" s="324"/>
      <c r="F54" s="1075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21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0</v>
      </c>
      <c r="H54" s="324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0</v>
      </c>
      <c r="I54" s="157"/>
      <c r="J54" s="321"/>
      <c r="K54" s="324">
        <f t="shared" si="14"/>
        <v>0</v>
      </c>
      <c r="L54" s="1075"/>
      <c r="M54" s="321"/>
      <c r="N54" s="324"/>
      <c r="O54" s="88"/>
      <c r="P54" s="88"/>
      <c r="Q54" s="88"/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/>
      <c r="E55" s="320"/>
      <c r="F55" s="347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1956</v>
      </c>
      <c r="G55" s="314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616</v>
      </c>
      <c r="H55" s="320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2572</v>
      </c>
      <c r="I55" s="330">
        <f>SUM(I53:I54)</f>
        <v>1000</v>
      </c>
      <c r="J55" s="314">
        <f>SUM(J53:J54)</f>
        <v>-637</v>
      </c>
      <c r="K55" s="320">
        <f t="shared" si="14"/>
        <v>363</v>
      </c>
      <c r="L55" s="347"/>
      <c r="M55" s="314"/>
      <c r="N55" s="320"/>
      <c r="O55" s="152"/>
      <c r="P55" s="152"/>
      <c r="Q55" s="152"/>
    </row>
    <row r="56" spans="1:17" s="28" customFormat="1" ht="19.5" customHeight="1" thickBot="1">
      <c r="A56" s="716">
        <v>8</v>
      </c>
      <c r="B56" s="717" t="s">
        <v>46</v>
      </c>
      <c r="C56" s="1110">
        <f aca="true" t="shared" si="15" ref="C56:H56">C34-C40-C45-C46-C47-C51-C52-C55-C57-C58-C59</f>
        <v>635260</v>
      </c>
      <c r="D56" s="1111">
        <f t="shared" si="15"/>
        <v>334102</v>
      </c>
      <c r="E56" s="1108">
        <f t="shared" si="15"/>
        <v>969362</v>
      </c>
      <c r="F56" s="1110">
        <f t="shared" si="15"/>
        <v>6135304</v>
      </c>
      <c r="G56" s="1111">
        <f t="shared" si="15"/>
        <v>524095</v>
      </c>
      <c r="H56" s="1108">
        <f t="shared" si="15"/>
        <v>6659399</v>
      </c>
      <c r="I56" s="1110"/>
      <c r="J56" s="1111"/>
      <c r="K56" s="1108"/>
      <c r="L56" s="1133">
        <f>I60*-1</f>
        <v>-12015950</v>
      </c>
      <c r="M56" s="1135">
        <f>J60*-1</f>
        <v>-539833</v>
      </c>
      <c r="N56" s="1123">
        <f>K60*-1</f>
        <v>-12555783</v>
      </c>
      <c r="O56" s="925"/>
      <c r="P56" s="925"/>
      <c r="Q56" s="925"/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/>
      <c r="F57" s="1074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0</v>
      </c>
      <c r="G57" s="226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28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0</v>
      </c>
      <c r="I57" s="890">
        <v>3696607</v>
      </c>
      <c r="J57" s="327"/>
      <c r="K57" s="1109">
        <f>SUM(I57:J57)</f>
        <v>3696607</v>
      </c>
      <c r="L57" s="1080"/>
      <c r="M57" s="327"/>
      <c r="N57" s="1109"/>
      <c r="O57" s="152"/>
      <c r="P57" s="152"/>
      <c r="Q57" s="152"/>
    </row>
    <row r="58" spans="1:17" s="15" customFormat="1" ht="15.75">
      <c r="A58" s="336" t="s">
        <v>183</v>
      </c>
      <c r="B58" s="337" t="s">
        <v>397</v>
      </c>
      <c r="C58" s="1080"/>
      <c r="D58" s="327"/>
      <c r="E58" s="1109"/>
      <c r="F58" s="143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2000000</v>
      </c>
      <c r="G58" s="139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72111</v>
      </c>
      <c r="H58" s="162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2072111</v>
      </c>
      <c r="I58" s="890"/>
      <c r="J58" s="327"/>
      <c r="K58" s="1109">
        <f>SUM(I58:J58)</f>
        <v>0</v>
      </c>
      <c r="L58" s="326"/>
      <c r="M58" s="327"/>
      <c r="N58" s="402"/>
      <c r="O58" s="152"/>
      <c r="P58" s="152"/>
      <c r="Q58" s="152"/>
    </row>
    <row r="59" spans="1:17" s="15" customFormat="1" ht="16.5" thickBot="1">
      <c r="A59" s="351">
        <v>10</v>
      </c>
      <c r="B59" s="352"/>
      <c r="C59" s="353"/>
      <c r="D59" s="354"/>
      <c r="E59" s="406"/>
      <c r="F59" s="926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27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28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356"/>
      <c r="J59" s="354"/>
      <c r="K59" s="407">
        <f>SUM(I59:J59)</f>
        <v>0</v>
      </c>
      <c r="L59" s="353"/>
      <c r="M59" s="354"/>
      <c r="N59" s="406"/>
      <c r="O59" s="152"/>
      <c r="P59" s="152"/>
      <c r="Q59" s="152"/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635260</v>
      </c>
      <c r="D60" s="780">
        <f aca="true" t="shared" si="16" ref="D60:N60">D40+D45+D46+D47+D51+D52+D55+D56+D57+D58+D59</f>
        <v>334102</v>
      </c>
      <c r="E60" s="778">
        <f t="shared" si="16"/>
        <v>969362</v>
      </c>
      <c r="F60" s="364">
        <f t="shared" si="16"/>
        <v>11979204</v>
      </c>
      <c r="G60" s="344">
        <f t="shared" si="16"/>
        <v>346572</v>
      </c>
      <c r="H60" s="778">
        <f t="shared" si="16"/>
        <v>12325776</v>
      </c>
      <c r="I60" s="779">
        <f>I40+I45+I46+I47+I51+I52+I55+I56+I57+I58+I59</f>
        <v>12015950</v>
      </c>
      <c r="J60" s="780">
        <f t="shared" si="16"/>
        <v>539833</v>
      </c>
      <c r="K60" s="778">
        <f>K40+K45+K46+K47+K51+K52+K55+K56+K57+K58+K59</f>
        <v>12555783</v>
      </c>
      <c r="L60" s="364">
        <f>L40+L45+L46+L47+L51+L52+L55+L56+L57+L58+L59</f>
        <v>-12015950</v>
      </c>
      <c r="M60" s="344">
        <f t="shared" si="16"/>
        <v>-539833</v>
      </c>
      <c r="N60" s="374">
        <f t="shared" si="16"/>
        <v>-12555783</v>
      </c>
      <c r="O60" s="152"/>
      <c r="P60" s="152"/>
      <c r="Q60" s="152"/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234"/>
      <c r="P61" s="234"/>
      <c r="Q61" s="234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147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33</v>
      </c>
      <c r="G62" s="197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146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33</v>
      </c>
      <c r="I62" s="929"/>
      <c r="J62" s="910"/>
      <c r="K62" s="802"/>
      <c r="L62" s="926"/>
      <c r="M62" s="927"/>
      <c r="N62" s="911"/>
      <c r="O62" s="88"/>
      <c r="P62" s="88"/>
      <c r="Q62" s="88"/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147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15</v>
      </c>
      <c r="G63" s="197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38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15</v>
      </c>
      <c r="I63" s="929"/>
      <c r="J63" s="910"/>
      <c r="K63" s="802"/>
      <c r="L63" s="926"/>
      <c r="M63" s="927"/>
      <c r="N63" s="930"/>
      <c r="O63" s="88"/>
      <c r="P63" s="88"/>
      <c r="Q63" s="88"/>
    </row>
    <row r="64" spans="1:17" ht="16.5" thickTop="1">
      <c r="A64" s="418"/>
      <c r="H64" s="105"/>
      <c r="O64" s="88"/>
      <c r="P64" s="88"/>
      <c r="Q64" s="88"/>
    </row>
    <row r="65" ht="15.75">
      <c r="A65" s="418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K1" sqref="K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6.625" style="88" customWidth="1"/>
    <col min="4" max="4" width="15.50390625" style="88" customWidth="1"/>
    <col min="5" max="5" width="19.00390625" style="88" customWidth="1"/>
    <col min="6" max="6" width="17.375" style="88" customWidth="1"/>
    <col min="7" max="7" width="17.00390625" style="88" customWidth="1"/>
    <col min="8" max="8" width="17.50390625" style="88" customWidth="1"/>
    <col min="9" max="11" width="16.625" style="357" customWidth="1"/>
    <col min="12" max="12" width="16.625" style="953" customWidth="1"/>
    <col min="13" max="13" width="15.00390625" style="953" customWidth="1"/>
    <col min="14" max="14" width="16.625" style="953" customWidth="1"/>
    <col min="15" max="15" width="13.125" style="357" customWidth="1"/>
    <col min="16" max="17" width="9.375" style="357" customWidth="1"/>
  </cols>
  <sheetData>
    <row r="1" spans="1:13" ht="10.5" customHeight="1">
      <c r="A1" s="303"/>
      <c r="B1" s="304"/>
      <c r="C1" s="304"/>
      <c r="D1" s="386"/>
      <c r="E1" s="386"/>
      <c r="F1" s="386"/>
      <c r="G1" s="386"/>
      <c r="H1" s="386"/>
      <c r="K1" s="892" t="s">
        <v>947</v>
      </c>
      <c r="L1" s="952"/>
      <c r="M1" s="952"/>
    </row>
    <row r="2" spans="1:13" ht="10.5" customHeight="1">
      <c r="A2" s="303"/>
      <c r="B2" s="304"/>
      <c r="C2" s="304"/>
      <c r="D2" s="386"/>
      <c r="E2" s="386"/>
      <c r="F2" s="386"/>
      <c r="G2" s="386"/>
      <c r="H2" s="386"/>
      <c r="K2" s="892" t="s">
        <v>93</v>
      </c>
      <c r="L2" s="952"/>
      <c r="M2" s="952"/>
    </row>
    <row r="3" spans="1:13" ht="15">
      <c r="A3" s="303"/>
      <c r="B3" s="304"/>
      <c r="C3" s="304"/>
      <c r="D3" s="386"/>
      <c r="E3" s="386"/>
      <c r="F3" s="386"/>
      <c r="G3" s="386"/>
      <c r="H3" s="386"/>
      <c r="K3" s="893" t="s">
        <v>148</v>
      </c>
      <c r="L3" s="952"/>
      <c r="M3" s="952"/>
    </row>
    <row r="4" spans="1:17" s="15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954"/>
      <c r="M4" s="954"/>
      <c r="N4" s="954"/>
      <c r="O4" s="903"/>
      <c r="P4" s="903"/>
      <c r="Q4" s="903"/>
    </row>
    <row r="5" spans="1:17" s="15" customFormat="1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955"/>
      <c r="M5" s="955"/>
      <c r="N5" s="955"/>
      <c r="O5" s="718"/>
      <c r="P5" s="718"/>
      <c r="Q5" s="718"/>
    </row>
    <row r="6" spans="1:14" ht="33" customHeight="1" thickBot="1">
      <c r="A6" s="303"/>
      <c r="B6" s="304"/>
      <c r="C6" s="304"/>
      <c r="D6" s="386"/>
      <c r="E6" s="386"/>
      <c r="F6" s="386"/>
      <c r="G6" s="386"/>
      <c r="H6" s="386"/>
      <c r="K6" s="13" t="s">
        <v>134</v>
      </c>
      <c r="L6" s="952"/>
      <c r="M6" s="952"/>
      <c r="N6" s="956" t="s">
        <v>134</v>
      </c>
    </row>
    <row r="7" spans="1:14" ht="30.75" customHeight="1">
      <c r="A7" s="230" t="s">
        <v>124</v>
      </c>
      <c r="B7" s="87" t="s">
        <v>125</v>
      </c>
      <c r="C7" s="1939" t="s">
        <v>640</v>
      </c>
      <c r="D7" s="1963"/>
      <c r="E7" s="1962"/>
      <c r="F7" s="1939" t="s">
        <v>641</v>
      </c>
      <c r="G7" s="1963"/>
      <c r="H7" s="1962"/>
      <c r="I7" s="1972" t="s">
        <v>65</v>
      </c>
      <c r="J7" s="1973"/>
      <c r="K7" s="1974"/>
      <c r="L7" s="1971"/>
      <c r="M7" s="1971"/>
      <c r="N7" s="1971"/>
    </row>
    <row r="8" spans="1:19" s="29" customFormat="1" ht="24.75" customHeight="1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957" t="s">
        <v>89</v>
      </c>
      <c r="M8" s="957" t="s">
        <v>128</v>
      </c>
      <c r="N8" s="957" t="s">
        <v>434</v>
      </c>
      <c r="O8" s="357"/>
      <c r="P8" s="357"/>
      <c r="Q8" s="1970"/>
      <c r="R8" s="1970"/>
      <c r="S8" s="1970"/>
    </row>
    <row r="9" spans="1:17" s="29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1197"/>
      <c r="M9" s="1197"/>
      <c r="N9" s="1197"/>
      <c r="O9" s="357"/>
      <c r="P9" s="357"/>
      <c r="Q9" s="357"/>
    </row>
    <row r="10" spans="1:17" s="29" customFormat="1" ht="18.75" thickBot="1">
      <c r="A10" s="380"/>
      <c r="B10" s="425" t="s">
        <v>129</v>
      </c>
      <c r="C10" s="384"/>
      <c r="D10" s="385"/>
      <c r="E10" s="383"/>
      <c r="F10" s="384"/>
      <c r="G10" s="385"/>
      <c r="H10" s="383"/>
      <c r="I10" s="384"/>
      <c r="J10" s="385"/>
      <c r="K10" s="383"/>
      <c r="L10" s="1198"/>
      <c r="M10" s="1198"/>
      <c r="N10" s="1198"/>
      <c r="O10" s="234"/>
      <c r="P10" s="234"/>
      <c r="Q10" s="234"/>
    </row>
    <row r="11" spans="1:17" s="29" customFormat="1" ht="16.5" thickBot="1">
      <c r="A11" s="313">
        <v>1</v>
      </c>
      <c r="B11" s="305" t="s">
        <v>113</v>
      </c>
      <c r="C11" s="319"/>
      <c r="D11" s="314"/>
      <c r="E11" s="358">
        <f>SUM(C11:D11)</f>
        <v>0</v>
      </c>
      <c r="F11" s="314"/>
      <c r="G11" s="314"/>
      <c r="H11" s="358">
        <f>SUM(F11:G11)</f>
        <v>0</v>
      </c>
      <c r="I11" s="319"/>
      <c r="J11" s="314"/>
      <c r="K11" s="358">
        <f aca="true" t="shared" si="0" ref="K11:K16">SUM(I11:J11)</f>
        <v>0</v>
      </c>
      <c r="L11" s="960"/>
      <c r="M11" s="960"/>
      <c r="N11" s="960"/>
      <c r="O11" s="234"/>
      <c r="P11" s="234"/>
      <c r="Q11" s="234"/>
    </row>
    <row r="12" spans="1:17" s="28" customFormat="1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16"/>
      <c r="G12" s="314"/>
      <c r="H12" s="358">
        <f>SUM(F12:G12)</f>
        <v>0</v>
      </c>
      <c r="I12" s="319"/>
      <c r="J12" s="314"/>
      <c r="K12" s="358">
        <f t="shared" si="0"/>
        <v>0</v>
      </c>
      <c r="L12" s="958"/>
      <c r="M12" s="958"/>
      <c r="N12" s="958">
        <f>SUM(L12:M12)</f>
        <v>0</v>
      </c>
      <c r="O12" s="268"/>
      <c r="P12" s="268"/>
      <c r="Q12" s="268"/>
    </row>
    <row r="13" spans="1:17" s="15" customFormat="1" ht="16.5" thickBot="1">
      <c r="A13" s="317">
        <v>3</v>
      </c>
      <c r="B13" s="305" t="s">
        <v>116</v>
      </c>
      <c r="C13" s="316">
        <v>6000</v>
      </c>
      <c r="D13" s="314"/>
      <c r="E13" s="358">
        <f>SUM(C13:D13)</f>
        <v>6000</v>
      </c>
      <c r="F13" s="314"/>
      <c r="G13" s="314"/>
      <c r="H13" s="358">
        <f>SUM(F13:G13)</f>
        <v>0</v>
      </c>
      <c r="I13" s="319">
        <v>53100</v>
      </c>
      <c r="J13" s="314"/>
      <c r="K13" s="358">
        <f t="shared" si="0"/>
        <v>53100</v>
      </c>
      <c r="L13" s="958"/>
      <c r="M13" s="958"/>
      <c r="N13" s="958">
        <f>SUM(L13:M13)</f>
        <v>0</v>
      </c>
      <c r="O13" s="200"/>
      <c r="P13" s="200"/>
      <c r="Q13" s="200"/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9"/>
      <c r="J14" s="316"/>
      <c r="K14" s="320">
        <f t="shared" si="0"/>
        <v>0</v>
      </c>
      <c r="L14" s="958"/>
      <c r="M14" s="958"/>
      <c r="N14" s="958">
        <f>SUM(L14:M14)</f>
        <v>0</v>
      </c>
      <c r="O14" s="200"/>
      <c r="P14" s="200"/>
      <c r="Q14" s="200"/>
    </row>
    <row r="15" spans="1:17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7"/>
      <c r="J15" s="226"/>
      <c r="K15" s="389">
        <f t="shared" si="0"/>
        <v>0</v>
      </c>
      <c r="L15" s="959"/>
      <c r="M15" s="959"/>
      <c r="N15" s="959">
        <f>SUM(L15:M15)</f>
        <v>0</v>
      </c>
      <c r="O15" s="88"/>
      <c r="P15" s="88"/>
      <c r="Q15" s="88"/>
    </row>
    <row r="16" spans="1:17" ht="15">
      <c r="A16" s="153" t="s">
        <v>99</v>
      </c>
      <c r="B16" s="149" t="s">
        <v>626</v>
      </c>
      <c r="C16" s="139"/>
      <c r="D16" s="139"/>
      <c r="E16" s="389">
        <f>C16+D16</f>
        <v>0</v>
      </c>
      <c r="F16" s="139"/>
      <c r="G16" s="139"/>
      <c r="H16" s="389">
        <f>F16+G16</f>
        <v>0</v>
      </c>
      <c r="I16" s="143"/>
      <c r="J16" s="139"/>
      <c r="K16" s="389">
        <f t="shared" si="0"/>
        <v>0</v>
      </c>
      <c r="L16" s="959"/>
      <c r="M16" s="959"/>
      <c r="N16" s="959">
        <f>SUM(L16:M16)</f>
        <v>0</v>
      </c>
      <c r="O16" s="88"/>
      <c r="P16" s="88"/>
      <c r="Q16" s="88"/>
    </row>
    <row r="17" spans="1:17" ht="15">
      <c r="A17" s="153" t="s">
        <v>100</v>
      </c>
      <c r="B17" s="149" t="s">
        <v>627</v>
      </c>
      <c r="C17" s="139"/>
      <c r="D17" s="139"/>
      <c r="E17" s="389">
        <f aca="true" t="shared" si="1" ref="E17:E22">C17+D17</f>
        <v>0</v>
      </c>
      <c r="F17" s="139"/>
      <c r="G17" s="139"/>
      <c r="H17" s="389">
        <f aca="true" t="shared" si="2" ref="H17:H22">F17+G17</f>
        <v>0</v>
      </c>
      <c r="I17" s="143"/>
      <c r="J17" s="139"/>
      <c r="K17" s="389">
        <f aca="true" t="shared" si="3" ref="K17:K22">SUM(I17:J17)</f>
        <v>0</v>
      </c>
      <c r="L17" s="959"/>
      <c r="M17" s="959"/>
      <c r="N17" s="959">
        <f aca="true" t="shared" si="4" ref="N17:N22">SUM(L17:M17)</f>
        <v>0</v>
      </c>
      <c r="O17" s="88"/>
      <c r="P17" s="88"/>
      <c r="Q17" s="88"/>
    </row>
    <row r="18" spans="1:17" ht="15">
      <c r="A18" s="153" t="s">
        <v>101</v>
      </c>
      <c r="B18" s="149" t="s">
        <v>384</v>
      </c>
      <c r="C18" s="143"/>
      <c r="D18" s="139"/>
      <c r="E18" s="389">
        <f t="shared" si="1"/>
        <v>0</v>
      </c>
      <c r="F18" s="139"/>
      <c r="G18" s="139"/>
      <c r="H18" s="389">
        <f t="shared" si="2"/>
        <v>0</v>
      </c>
      <c r="I18" s="143"/>
      <c r="J18" s="139"/>
      <c r="K18" s="389">
        <f t="shared" si="3"/>
        <v>0</v>
      </c>
      <c r="L18" s="959"/>
      <c r="M18" s="959"/>
      <c r="N18" s="959">
        <f t="shared" si="4"/>
        <v>0</v>
      </c>
      <c r="O18" s="88"/>
      <c r="P18" s="88"/>
      <c r="Q18" s="88"/>
    </row>
    <row r="19" spans="1:17" ht="15">
      <c r="A19" s="148" t="s">
        <v>192</v>
      </c>
      <c r="B19" s="149" t="s">
        <v>628</v>
      </c>
      <c r="C19" s="906"/>
      <c r="D19" s="139"/>
      <c r="E19" s="228">
        <f>C19+D19</f>
        <v>0</v>
      </c>
      <c r="F19" s="139"/>
      <c r="G19" s="139"/>
      <c r="H19" s="389">
        <f>F19+G19</f>
        <v>0</v>
      </c>
      <c r="I19" s="143"/>
      <c r="J19" s="139"/>
      <c r="K19" s="389">
        <f>SUM(I19:J19)</f>
        <v>0</v>
      </c>
      <c r="L19" s="959"/>
      <c r="M19" s="959"/>
      <c r="N19" s="959">
        <f>SUM(L19:M19)</f>
        <v>0</v>
      </c>
      <c r="O19" s="88"/>
      <c r="P19" s="88"/>
      <c r="Q19" s="88"/>
    </row>
    <row r="20" spans="1:17" ht="15">
      <c r="A20" s="148" t="s">
        <v>339</v>
      </c>
      <c r="B20" s="149" t="s">
        <v>629</v>
      </c>
      <c r="C20" s="906"/>
      <c r="D20" s="139"/>
      <c r="E20" s="228">
        <f t="shared" si="1"/>
        <v>0</v>
      </c>
      <c r="F20" s="307"/>
      <c r="G20" s="139"/>
      <c r="H20" s="228">
        <f t="shared" si="2"/>
        <v>0</v>
      </c>
      <c r="I20" s="143"/>
      <c r="J20" s="139"/>
      <c r="K20" s="389">
        <f t="shared" si="3"/>
        <v>0</v>
      </c>
      <c r="L20" s="959"/>
      <c r="M20" s="959"/>
      <c r="N20" s="959">
        <f t="shared" si="4"/>
        <v>0</v>
      </c>
      <c r="O20" s="88"/>
      <c r="P20" s="88"/>
      <c r="Q20" s="88"/>
    </row>
    <row r="21" spans="1:17" ht="15">
      <c r="A21" s="148" t="s">
        <v>340</v>
      </c>
      <c r="B21" s="149" t="s">
        <v>385</v>
      </c>
      <c r="C21" s="887">
        <v>185900</v>
      </c>
      <c r="D21" s="226">
        <v>35933</v>
      </c>
      <c r="E21" s="228">
        <f t="shared" si="1"/>
        <v>221833</v>
      </c>
      <c r="F21" s="306">
        <v>310000</v>
      </c>
      <c r="G21" s="226"/>
      <c r="H21" s="228">
        <f t="shared" si="2"/>
        <v>310000</v>
      </c>
      <c r="I21" s="1074"/>
      <c r="J21" s="139"/>
      <c r="K21" s="228">
        <f t="shared" si="3"/>
        <v>0</v>
      </c>
      <c r="L21" s="959"/>
      <c r="M21" s="959"/>
      <c r="N21" s="959">
        <f t="shared" si="4"/>
        <v>0</v>
      </c>
      <c r="O21" s="88"/>
      <c r="P21" s="88"/>
      <c r="Q21" s="88"/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1"/>
        <v>0</v>
      </c>
      <c r="F22" s="308"/>
      <c r="G22" s="151"/>
      <c r="H22" s="228">
        <f t="shared" si="2"/>
        <v>0</v>
      </c>
      <c r="I22" s="907"/>
      <c r="J22" s="151"/>
      <c r="K22" s="228">
        <f t="shared" si="3"/>
        <v>0</v>
      </c>
      <c r="L22" s="959"/>
      <c r="M22" s="959"/>
      <c r="N22" s="959">
        <f t="shared" si="4"/>
        <v>0</v>
      </c>
      <c r="O22" s="88"/>
      <c r="P22" s="88"/>
      <c r="Q22" s="88"/>
    </row>
    <row r="23" spans="1:17" s="15" customFormat="1" ht="16.5" thickBot="1">
      <c r="A23" s="317">
        <v>5</v>
      </c>
      <c r="B23" s="305" t="s">
        <v>171</v>
      </c>
      <c r="C23" s="347">
        <f aca="true" t="shared" si="5" ref="C23:N23">SUM(C15:C22)</f>
        <v>185900</v>
      </c>
      <c r="D23" s="314">
        <f t="shared" si="5"/>
        <v>35933</v>
      </c>
      <c r="E23" s="320">
        <f t="shared" si="5"/>
        <v>221833</v>
      </c>
      <c r="F23" s="330">
        <f t="shared" si="5"/>
        <v>310000</v>
      </c>
      <c r="G23" s="314">
        <f t="shared" si="5"/>
        <v>0</v>
      </c>
      <c r="H23" s="330">
        <f t="shared" si="5"/>
        <v>310000</v>
      </c>
      <c r="I23" s="347">
        <f t="shared" si="5"/>
        <v>0</v>
      </c>
      <c r="J23" s="314">
        <f t="shared" si="5"/>
        <v>0</v>
      </c>
      <c r="K23" s="320">
        <f t="shared" si="5"/>
        <v>0</v>
      </c>
      <c r="L23" s="958">
        <f t="shared" si="5"/>
        <v>0</v>
      </c>
      <c r="M23" s="958">
        <f t="shared" si="5"/>
        <v>0</v>
      </c>
      <c r="N23" s="958">
        <f t="shared" si="5"/>
        <v>0</v>
      </c>
      <c r="O23" s="200"/>
      <c r="P23" s="200"/>
      <c r="Q23" s="200"/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6" ref="E24:E30">SUM(C24:D24)</f>
        <v>0</v>
      </c>
      <c r="F24" s="318"/>
      <c r="G24" s="314"/>
      <c r="H24" s="320">
        <f aca="true" t="shared" si="7" ref="H24:H30">SUM(F24:G24)</f>
        <v>0</v>
      </c>
      <c r="I24" s="347"/>
      <c r="J24" s="314"/>
      <c r="K24" s="320">
        <f aca="true" t="shared" si="8" ref="K24:K30">SUM(I24:J24)</f>
        <v>0</v>
      </c>
      <c r="L24" s="958"/>
      <c r="M24" s="958"/>
      <c r="N24" s="958">
        <f aca="true" t="shared" si="9" ref="N24:N30">SUM(L24:M24)</f>
        <v>0</v>
      </c>
      <c r="O24" s="88"/>
      <c r="P24" s="88"/>
      <c r="Q24" s="88"/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6"/>
        <v>0</v>
      </c>
      <c r="F25" s="318"/>
      <c r="G25" s="314"/>
      <c r="H25" s="320">
        <f t="shared" si="7"/>
        <v>0</v>
      </c>
      <c r="I25" s="347"/>
      <c r="J25" s="314"/>
      <c r="K25" s="320">
        <f t="shared" si="8"/>
        <v>0</v>
      </c>
      <c r="L25" s="958"/>
      <c r="M25" s="958"/>
      <c r="N25" s="958">
        <f t="shared" si="9"/>
        <v>0</v>
      </c>
      <c r="O25" s="200"/>
      <c r="P25" s="200"/>
      <c r="Q25" s="200"/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6"/>
        <v>0</v>
      </c>
      <c r="F26" s="306"/>
      <c r="G26" s="226"/>
      <c r="H26" s="228">
        <f t="shared" si="7"/>
        <v>0</v>
      </c>
      <c r="I26" s="1074"/>
      <c r="J26" s="226"/>
      <c r="K26" s="228">
        <f t="shared" si="8"/>
        <v>0</v>
      </c>
      <c r="L26" s="959"/>
      <c r="M26" s="959"/>
      <c r="N26" s="959">
        <f t="shared" si="9"/>
        <v>0</v>
      </c>
      <c r="O26" s="88"/>
      <c r="P26" s="88"/>
      <c r="Q26" s="88"/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6"/>
        <v>0</v>
      </c>
      <c r="F27" s="306"/>
      <c r="G27" s="226"/>
      <c r="H27" s="228">
        <f t="shared" si="7"/>
        <v>0</v>
      </c>
      <c r="I27" s="1074"/>
      <c r="J27" s="226"/>
      <c r="K27" s="228">
        <f t="shared" si="8"/>
        <v>0</v>
      </c>
      <c r="L27" s="959"/>
      <c r="M27" s="959"/>
      <c r="N27" s="959">
        <f t="shared" si="9"/>
        <v>0</v>
      </c>
      <c r="O27" s="88"/>
      <c r="P27" s="88"/>
      <c r="Q27" s="88"/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6"/>
        <v>0</v>
      </c>
      <c r="F28" s="306"/>
      <c r="G28" s="226"/>
      <c r="H28" s="228">
        <f t="shared" si="7"/>
        <v>0</v>
      </c>
      <c r="I28" s="1074"/>
      <c r="J28" s="226"/>
      <c r="K28" s="228">
        <f t="shared" si="8"/>
        <v>0</v>
      </c>
      <c r="L28" s="959"/>
      <c r="M28" s="959"/>
      <c r="N28" s="959">
        <f t="shared" si="9"/>
        <v>0</v>
      </c>
      <c r="O28" s="88"/>
      <c r="P28" s="88"/>
      <c r="Q28" s="88"/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6"/>
        <v>0</v>
      </c>
      <c r="F29" s="306"/>
      <c r="G29" s="226"/>
      <c r="H29" s="228">
        <f t="shared" si="7"/>
        <v>0</v>
      </c>
      <c r="I29" s="1074"/>
      <c r="J29" s="226"/>
      <c r="K29" s="228">
        <f t="shared" si="8"/>
        <v>0</v>
      </c>
      <c r="L29" s="959"/>
      <c r="M29" s="959"/>
      <c r="N29" s="959">
        <f t="shared" si="9"/>
        <v>0</v>
      </c>
      <c r="O29" s="88"/>
      <c r="P29" s="88"/>
      <c r="Q29" s="88"/>
    </row>
    <row r="30" spans="1:17" ht="15.75" thickBot="1">
      <c r="A30" s="335" t="s">
        <v>192</v>
      </c>
      <c r="B30" s="149" t="s">
        <v>388</v>
      </c>
      <c r="C30" s="329">
        <v>204667</v>
      </c>
      <c r="D30" s="321"/>
      <c r="E30" s="324">
        <f t="shared" si="6"/>
        <v>204667</v>
      </c>
      <c r="F30" s="329"/>
      <c r="G30" s="321"/>
      <c r="H30" s="324">
        <f t="shared" si="7"/>
        <v>0</v>
      </c>
      <c r="I30" s="1075"/>
      <c r="J30" s="321"/>
      <c r="K30" s="324">
        <f t="shared" si="8"/>
        <v>0</v>
      </c>
      <c r="L30" s="959"/>
      <c r="M30" s="959"/>
      <c r="N30" s="959">
        <f t="shared" si="9"/>
        <v>0</v>
      </c>
      <c r="O30" s="88"/>
      <c r="P30" s="88"/>
      <c r="Q30" s="88"/>
    </row>
    <row r="31" spans="1:17" s="15" customFormat="1" ht="16.5" thickBot="1">
      <c r="A31" s="313">
        <v>8</v>
      </c>
      <c r="B31" s="305" t="s">
        <v>173</v>
      </c>
      <c r="C31" s="318">
        <f aca="true" t="shared" si="10" ref="C31:N31">SUM(C26:C30)</f>
        <v>204667</v>
      </c>
      <c r="D31" s="314">
        <f t="shared" si="10"/>
        <v>0</v>
      </c>
      <c r="E31" s="330">
        <f t="shared" si="10"/>
        <v>204667</v>
      </c>
      <c r="F31" s="347">
        <f t="shared" si="10"/>
        <v>0</v>
      </c>
      <c r="G31" s="314">
        <f t="shared" si="10"/>
        <v>0</v>
      </c>
      <c r="H31" s="320">
        <f t="shared" si="10"/>
        <v>0</v>
      </c>
      <c r="I31" s="347">
        <f t="shared" si="10"/>
        <v>0</v>
      </c>
      <c r="J31" s="314">
        <f t="shared" si="10"/>
        <v>0</v>
      </c>
      <c r="K31" s="320">
        <f t="shared" si="10"/>
        <v>0</v>
      </c>
      <c r="L31" s="958">
        <f t="shared" si="10"/>
        <v>0</v>
      </c>
      <c r="M31" s="958">
        <f t="shared" si="10"/>
        <v>0</v>
      </c>
      <c r="N31" s="958">
        <f t="shared" si="10"/>
        <v>0</v>
      </c>
      <c r="O31" s="200"/>
      <c r="P31" s="200"/>
      <c r="Q31" s="200"/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47"/>
      <c r="J32" s="314"/>
      <c r="K32" s="320">
        <f>SUM(I32:J32)</f>
        <v>0</v>
      </c>
      <c r="L32" s="958"/>
      <c r="M32" s="958"/>
      <c r="N32" s="958">
        <f>SUM(L32:M32)</f>
        <v>0</v>
      </c>
      <c r="O32" s="88"/>
      <c r="P32" s="88"/>
      <c r="Q32" s="88"/>
    </row>
    <row r="33" spans="1:17" s="32" customFormat="1" ht="16.5" thickBot="1">
      <c r="A33" s="367">
        <v>10</v>
      </c>
      <c r="B33" s="368"/>
      <c r="C33" s="158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960"/>
      <c r="M33" s="960"/>
      <c r="N33" s="960">
        <f>SUM(L33:M33)</f>
        <v>0</v>
      </c>
      <c r="O33" s="152"/>
      <c r="P33" s="152"/>
      <c r="Q33" s="152"/>
    </row>
    <row r="34" spans="1:17" s="35" customFormat="1" ht="16.5" customHeight="1" thickBot="1" thickTop="1">
      <c r="A34" s="343" t="s">
        <v>108</v>
      </c>
      <c r="B34" s="366" t="s">
        <v>180</v>
      </c>
      <c r="C34" s="365">
        <f aca="true" t="shared" si="11" ref="C34:K34">C11+C12+C13+C23+C14+C31+C25+C24+C32+C33</f>
        <v>396567</v>
      </c>
      <c r="D34" s="344">
        <f t="shared" si="11"/>
        <v>35933</v>
      </c>
      <c r="E34" s="363">
        <f t="shared" si="11"/>
        <v>432500</v>
      </c>
      <c r="F34" s="365">
        <f t="shared" si="11"/>
        <v>310000</v>
      </c>
      <c r="G34" s="344">
        <f t="shared" si="11"/>
        <v>0</v>
      </c>
      <c r="H34" s="363">
        <f t="shared" si="11"/>
        <v>310000</v>
      </c>
      <c r="I34" s="365">
        <f t="shared" si="11"/>
        <v>53100</v>
      </c>
      <c r="J34" s="344">
        <f t="shared" si="11"/>
        <v>0</v>
      </c>
      <c r="K34" s="374">
        <f t="shared" si="11"/>
        <v>53100</v>
      </c>
      <c r="L34" s="960"/>
      <c r="M34" s="960"/>
      <c r="N34" s="960"/>
      <c r="O34" s="160"/>
      <c r="P34" s="160"/>
      <c r="Q34" s="160"/>
    </row>
    <row r="35" spans="1:18" ht="17.25" thickBot="1" thickTop="1">
      <c r="A35" s="144"/>
      <c r="B35" s="346" t="s">
        <v>131</v>
      </c>
      <c r="C35" s="935"/>
      <c r="D35" s="302"/>
      <c r="E35" s="1107"/>
      <c r="F35" s="935"/>
      <c r="G35" s="302"/>
      <c r="H35" s="1107"/>
      <c r="I35" s="1076"/>
      <c r="J35" s="302"/>
      <c r="K35" s="1107"/>
      <c r="L35" s="1199"/>
      <c r="M35" s="1199"/>
      <c r="N35" s="1199"/>
      <c r="O35" s="234"/>
      <c r="P35" s="234"/>
      <c r="Q35" s="234"/>
      <c r="R35" s="29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>
        <f aca="true" t="shared" si="12" ref="E36:E44">SUM(C36:D36)</f>
        <v>0</v>
      </c>
      <c r="F36" s="1366">
        <v>200000</v>
      </c>
      <c r="G36" s="771"/>
      <c r="H36" s="776">
        <f aca="true" t="shared" si="13" ref="H36:H44">SUM(F36:G36)</f>
        <v>200000</v>
      </c>
      <c r="I36" s="1084"/>
      <c r="J36" s="771"/>
      <c r="K36" s="776">
        <f aca="true" t="shared" si="14" ref="K36:K44">SUM(I36:J36)</f>
        <v>0</v>
      </c>
      <c r="L36" s="959"/>
      <c r="M36" s="959"/>
      <c r="N36" s="959">
        <f aca="true" t="shared" si="15" ref="N36:N44">SUM(L36:M36)</f>
        <v>0</v>
      </c>
      <c r="O36" s="760"/>
      <c r="P36" s="760"/>
      <c r="Q36" s="760"/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 t="shared" si="12"/>
        <v>0</v>
      </c>
      <c r="F37" s="885"/>
      <c r="G37" s="139"/>
      <c r="H37" s="162">
        <f t="shared" si="13"/>
        <v>0</v>
      </c>
      <c r="I37" s="906"/>
      <c r="J37" s="139"/>
      <c r="K37" s="162">
        <f t="shared" si="14"/>
        <v>0</v>
      </c>
      <c r="L37" s="959"/>
      <c r="M37" s="959"/>
      <c r="N37" s="959">
        <f t="shared" si="15"/>
        <v>0</v>
      </c>
      <c r="O37" s="760"/>
      <c r="P37" s="760"/>
      <c r="Q37" s="760"/>
    </row>
    <row r="38" spans="1:17" s="762" customFormat="1" ht="15">
      <c r="A38" s="335" t="s">
        <v>100</v>
      </c>
      <c r="B38" s="142" t="s">
        <v>390</v>
      </c>
      <c r="C38" s="1075"/>
      <c r="D38" s="321"/>
      <c r="E38" s="324">
        <f t="shared" si="12"/>
        <v>0</v>
      </c>
      <c r="F38" s="157"/>
      <c r="G38" s="321"/>
      <c r="H38" s="324">
        <f t="shared" si="13"/>
        <v>0</v>
      </c>
      <c r="I38" s="1075"/>
      <c r="J38" s="321"/>
      <c r="K38" s="324">
        <f t="shared" si="14"/>
        <v>0</v>
      </c>
      <c r="L38" s="959"/>
      <c r="M38" s="959"/>
      <c r="N38" s="959">
        <f t="shared" si="15"/>
        <v>0</v>
      </c>
      <c r="O38" s="760"/>
      <c r="P38" s="760"/>
      <c r="Q38" s="760"/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>
        <f t="shared" si="12"/>
        <v>0</v>
      </c>
      <c r="F39" s="886"/>
      <c r="G39" s="151"/>
      <c r="H39" s="238">
        <f t="shared" si="13"/>
        <v>0</v>
      </c>
      <c r="I39" s="907"/>
      <c r="J39" s="151"/>
      <c r="K39" s="238">
        <f t="shared" si="14"/>
        <v>0</v>
      </c>
      <c r="L39" s="959"/>
      <c r="M39" s="959"/>
      <c r="N39" s="959">
        <f t="shared" si="15"/>
        <v>0</v>
      </c>
      <c r="O39" s="760"/>
      <c r="P39" s="760"/>
      <c r="Q39" s="760"/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N40">SUM(C36:C39)</f>
        <v>0</v>
      </c>
      <c r="D40" s="314">
        <f t="shared" si="16"/>
        <v>0</v>
      </c>
      <c r="E40" s="320">
        <f t="shared" si="16"/>
        <v>0</v>
      </c>
      <c r="F40" s="347">
        <f t="shared" si="16"/>
        <v>200000</v>
      </c>
      <c r="G40" s="314">
        <f t="shared" si="16"/>
        <v>0</v>
      </c>
      <c r="H40" s="320">
        <f t="shared" si="16"/>
        <v>200000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958">
        <f t="shared" si="16"/>
        <v>0</v>
      </c>
      <c r="M40" s="958">
        <f t="shared" si="16"/>
        <v>0</v>
      </c>
      <c r="N40" s="958">
        <f t="shared" si="16"/>
        <v>0</v>
      </c>
      <c r="O40" s="200"/>
      <c r="P40" s="200"/>
      <c r="Q40" s="200"/>
    </row>
    <row r="41" spans="1:17" ht="15">
      <c r="A41" s="156" t="s">
        <v>98</v>
      </c>
      <c r="B41" s="145" t="s">
        <v>416</v>
      </c>
      <c r="C41" s="1074"/>
      <c r="D41" s="226"/>
      <c r="E41" s="228">
        <f t="shared" si="12"/>
        <v>0</v>
      </c>
      <c r="F41" s="887"/>
      <c r="G41" s="226"/>
      <c r="H41" s="228">
        <f t="shared" si="13"/>
        <v>0</v>
      </c>
      <c r="I41" s="1074"/>
      <c r="J41" s="226"/>
      <c r="K41" s="228">
        <f t="shared" si="14"/>
        <v>0</v>
      </c>
      <c r="L41" s="959"/>
      <c r="M41" s="959"/>
      <c r="N41" s="959">
        <f t="shared" si="15"/>
        <v>0</v>
      </c>
      <c r="O41" s="88"/>
      <c r="P41" s="88"/>
      <c r="Q41" s="88"/>
    </row>
    <row r="42" spans="1:17" ht="15">
      <c r="A42" s="153" t="s">
        <v>99</v>
      </c>
      <c r="B42" s="149" t="s">
        <v>391</v>
      </c>
      <c r="C42" s="906"/>
      <c r="D42" s="139"/>
      <c r="E42" s="162">
        <f t="shared" si="12"/>
        <v>0</v>
      </c>
      <c r="F42" s="885"/>
      <c r="G42" s="139"/>
      <c r="H42" s="162">
        <f t="shared" si="13"/>
        <v>0</v>
      </c>
      <c r="I42" s="906"/>
      <c r="J42" s="139"/>
      <c r="K42" s="162">
        <f t="shared" si="14"/>
        <v>0</v>
      </c>
      <c r="L42" s="959"/>
      <c r="M42" s="959"/>
      <c r="N42" s="959">
        <f t="shared" si="15"/>
        <v>0</v>
      </c>
      <c r="O42" s="88"/>
      <c r="P42" s="88"/>
      <c r="Q42" s="88"/>
    </row>
    <row r="43" spans="1:17" ht="15">
      <c r="A43" s="153" t="s">
        <v>100</v>
      </c>
      <c r="B43" s="149" t="s">
        <v>392</v>
      </c>
      <c r="C43" s="906"/>
      <c r="D43" s="139"/>
      <c r="E43" s="162">
        <f t="shared" si="12"/>
        <v>0</v>
      </c>
      <c r="F43" s="885"/>
      <c r="G43" s="139"/>
      <c r="H43" s="162">
        <f t="shared" si="13"/>
        <v>0</v>
      </c>
      <c r="I43" s="906"/>
      <c r="J43" s="139"/>
      <c r="K43" s="162">
        <f t="shared" si="14"/>
        <v>0</v>
      </c>
      <c r="L43" s="959"/>
      <c r="M43" s="959"/>
      <c r="N43" s="959">
        <f t="shared" si="15"/>
        <v>0</v>
      </c>
      <c r="O43" s="88"/>
      <c r="P43" s="88"/>
      <c r="Q43" s="88"/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 t="shared" si="12"/>
        <v>0</v>
      </c>
      <c r="F44" s="886"/>
      <c r="G44" s="151"/>
      <c r="H44" s="238">
        <f t="shared" si="13"/>
        <v>0</v>
      </c>
      <c r="I44" s="907"/>
      <c r="J44" s="151"/>
      <c r="K44" s="238">
        <f t="shared" si="14"/>
        <v>0</v>
      </c>
      <c r="L44" s="959"/>
      <c r="M44" s="959"/>
      <c r="N44" s="959">
        <f t="shared" si="15"/>
        <v>0</v>
      </c>
      <c r="O44" s="88"/>
      <c r="P44" s="88"/>
      <c r="Q44" s="88"/>
    </row>
    <row r="45" spans="1:17" s="961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N45">SUM(D41:D44)</f>
        <v>0</v>
      </c>
      <c r="E45" s="330">
        <f t="shared" si="17"/>
        <v>0</v>
      </c>
      <c r="F45" s="347">
        <f t="shared" si="17"/>
        <v>0</v>
      </c>
      <c r="G45" s="314">
        <f t="shared" si="17"/>
        <v>0</v>
      </c>
      <c r="H45" s="330">
        <f t="shared" si="17"/>
        <v>0</v>
      </c>
      <c r="I45" s="347">
        <f t="shared" si="17"/>
        <v>0</v>
      </c>
      <c r="J45" s="314">
        <f t="shared" si="17"/>
        <v>0</v>
      </c>
      <c r="K45" s="320">
        <f t="shared" si="17"/>
        <v>0</v>
      </c>
      <c r="L45" s="958">
        <f t="shared" si="17"/>
        <v>0</v>
      </c>
      <c r="M45" s="958">
        <f t="shared" si="17"/>
        <v>0</v>
      </c>
      <c r="N45" s="958">
        <f t="shared" si="17"/>
        <v>0</v>
      </c>
      <c r="O45" s="278"/>
      <c r="P45" s="278"/>
      <c r="Q45" s="278"/>
    </row>
    <row r="46" spans="1:17" s="961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20">
        <f>SUM(I46:J46)</f>
        <v>0</v>
      </c>
      <c r="L46" s="958"/>
      <c r="M46" s="958"/>
      <c r="N46" s="958">
        <f>SUM(L46:M46)</f>
        <v>0</v>
      </c>
      <c r="O46" s="278"/>
      <c r="P46" s="278"/>
      <c r="Q46" s="278"/>
    </row>
    <row r="47" spans="1:17" s="962" customFormat="1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20">
        <f>SUM(I47:J47)</f>
        <v>0</v>
      </c>
      <c r="L47" s="958"/>
      <c r="M47" s="958"/>
      <c r="N47" s="958">
        <f>SUM(L47:M47)</f>
        <v>0</v>
      </c>
      <c r="O47" s="540"/>
      <c r="P47" s="540"/>
      <c r="Q47" s="540"/>
    </row>
    <row r="48" spans="1:17" s="762" customFormat="1" ht="1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959"/>
      <c r="M48" s="959"/>
      <c r="N48" s="959">
        <f>SUM(L48:M48)</f>
        <v>0</v>
      </c>
      <c r="O48" s="760"/>
      <c r="P48" s="760"/>
      <c r="Q48" s="760"/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59"/>
      <c r="M49" s="959"/>
      <c r="N49" s="959">
        <f>SUM(L49:M49)</f>
        <v>0</v>
      </c>
      <c r="O49" s="88"/>
      <c r="P49" s="88"/>
      <c r="Q49" s="88"/>
    </row>
    <row r="50" spans="1:17" ht="15.75" thickBot="1">
      <c r="A50" s="154" t="s">
        <v>100</v>
      </c>
      <c r="B50" s="334" t="s">
        <v>426</v>
      </c>
      <c r="C50" s="906">
        <v>174667</v>
      </c>
      <c r="D50" s="139"/>
      <c r="E50" s="162">
        <f>SUM(C50:D50)</f>
        <v>174667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59"/>
      <c r="M50" s="959"/>
      <c r="N50" s="959">
        <f>SUM(L50:M50)</f>
        <v>0</v>
      </c>
      <c r="O50" s="88"/>
      <c r="P50" s="88"/>
      <c r="Q50" s="88"/>
    </row>
    <row r="51" spans="1:17" s="15" customFormat="1" ht="16.5" thickBot="1">
      <c r="A51" s="313">
        <v>5</v>
      </c>
      <c r="B51" s="436" t="s">
        <v>178</v>
      </c>
      <c r="C51" s="347">
        <f>SUM(C48:C50)</f>
        <v>174667</v>
      </c>
      <c r="D51" s="314">
        <f>SUM(D48:D50)</f>
        <v>0</v>
      </c>
      <c r="E51" s="316">
        <f aca="true" t="shared" si="18" ref="E51:N51">SUM(E48:E50)</f>
        <v>174667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20">
        <f t="shared" si="18"/>
        <v>0</v>
      </c>
      <c r="L51" s="958">
        <f t="shared" si="18"/>
        <v>0</v>
      </c>
      <c r="M51" s="958">
        <f t="shared" si="18"/>
        <v>0</v>
      </c>
      <c r="N51" s="958">
        <f t="shared" si="18"/>
        <v>0</v>
      </c>
      <c r="O51" s="200"/>
      <c r="P51" s="200"/>
      <c r="Q51" s="200"/>
    </row>
    <row r="52" spans="1:17" s="15" customFormat="1" ht="16.5" thickBot="1">
      <c r="A52" s="765">
        <v>6</v>
      </c>
      <c r="B52" s="767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958"/>
      <c r="M52" s="958"/>
      <c r="N52" s="958">
        <f>SUM(L52:M52)</f>
        <v>0</v>
      </c>
      <c r="O52" s="200"/>
      <c r="P52" s="200"/>
      <c r="Q52" s="200"/>
    </row>
    <row r="53" spans="1:17" ht="15">
      <c r="A53" s="137" t="s">
        <v>98</v>
      </c>
      <c r="B53" s="438" t="s">
        <v>395</v>
      </c>
      <c r="C53" s="1078"/>
      <c r="D53" s="140"/>
      <c r="E53" s="195">
        <f>SUM(C53:D53)</f>
        <v>0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959"/>
      <c r="M53" s="959"/>
      <c r="N53" s="959">
        <f>SUM(L53:M53)</f>
        <v>0</v>
      </c>
      <c r="O53" s="88"/>
      <c r="P53" s="88"/>
      <c r="Q53" s="88"/>
    </row>
    <row r="54" spans="1:17" ht="15.75" thickBot="1">
      <c r="A54" s="335" t="s">
        <v>99</v>
      </c>
      <c r="B54" s="437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959"/>
      <c r="M54" s="959"/>
      <c r="N54" s="959">
        <f>SUM(L54:M54)</f>
        <v>0</v>
      </c>
      <c r="O54" s="88"/>
      <c r="P54" s="88"/>
      <c r="Q54" s="88"/>
    </row>
    <row r="55" spans="1:17" s="15" customFormat="1" ht="17.25" customHeight="1" thickBot="1">
      <c r="A55" s="313">
        <v>7</v>
      </c>
      <c r="B55" s="436" t="s">
        <v>181</v>
      </c>
      <c r="C55" s="347">
        <f>SUM(C53:C54)</f>
        <v>0</v>
      </c>
      <c r="D55" s="314">
        <f aca="true" t="shared" si="19" ref="D55:N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20">
        <f t="shared" si="19"/>
        <v>0</v>
      </c>
      <c r="L55" s="958">
        <f t="shared" si="19"/>
        <v>0</v>
      </c>
      <c r="M55" s="958">
        <f t="shared" si="19"/>
        <v>0</v>
      </c>
      <c r="N55" s="958">
        <f t="shared" si="19"/>
        <v>0</v>
      </c>
      <c r="O55" s="200"/>
      <c r="P55" s="200"/>
      <c r="Q55" s="200"/>
    </row>
    <row r="56" spans="1:17" s="28" customFormat="1" ht="19.5" customHeight="1" thickBot="1">
      <c r="A56" s="716">
        <v>8</v>
      </c>
      <c r="B56" s="717" t="s">
        <v>46</v>
      </c>
      <c r="C56" s="1110">
        <f>C34-C40-C45-C46-C47-C51-C52-C55-C57-C58-C59</f>
        <v>221900</v>
      </c>
      <c r="D56" s="1111">
        <f>D34-D40-D45-D46-D47-D51-D52-D55-D57-D58-D59</f>
        <v>35933</v>
      </c>
      <c r="E56" s="1108">
        <f aca="true" t="shared" si="20" ref="E56:N56">E34-E40-E45-E46-E47-E51-E52-E55-E57-E58-E59</f>
        <v>257833</v>
      </c>
      <c r="F56" s="1110">
        <f t="shared" si="20"/>
        <v>110000</v>
      </c>
      <c r="G56" s="1111">
        <f t="shared" si="20"/>
        <v>0</v>
      </c>
      <c r="H56" s="1108">
        <f t="shared" si="20"/>
        <v>110000</v>
      </c>
      <c r="I56" s="1110">
        <f t="shared" si="20"/>
        <v>53100</v>
      </c>
      <c r="J56" s="1111">
        <f t="shared" si="20"/>
        <v>0</v>
      </c>
      <c r="K56" s="1148">
        <f t="shared" si="20"/>
        <v>53100</v>
      </c>
      <c r="L56" s="960">
        <f t="shared" si="20"/>
        <v>0</v>
      </c>
      <c r="M56" s="960">
        <f t="shared" si="20"/>
        <v>0</v>
      </c>
      <c r="N56" s="960">
        <f t="shared" si="20"/>
        <v>0</v>
      </c>
      <c r="O56" s="268"/>
      <c r="P56" s="268"/>
      <c r="Q56" s="268"/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960"/>
      <c r="M57" s="960"/>
      <c r="N57" s="960">
        <f>SUM(L57:M57)</f>
        <v>0</v>
      </c>
      <c r="O57" s="200"/>
      <c r="P57" s="200"/>
      <c r="Q57" s="200"/>
    </row>
    <row r="58" spans="1:17" s="15" customFormat="1" ht="15.75">
      <c r="A58" s="336" t="s">
        <v>183</v>
      </c>
      <c r="B58" s="337" t="s">
        <v>397</v>
      </c>
      <c r="C58" s="1080"/>
      <c r="D58" s="327"/>
      <c r="E58" s="1109">
        <f>SUM(C58:D58)</f>
        <v>0</v>
      </c>
      <c r="F58" s="331"/>
      <c r="G58" s="327"/>
      <c r="H58" s="402">
        <f>SUM(F58:G58)</f>
        <v>0</v>
      </c>
      <c r="I58" s="326"/>
      <c r="J58" s="327"/>
      <c r="K58" s="402">
        <f>SUM(I58:J58)</f>
        <v>0</v>
      </c>
      <c r="L58" s="960"/>
      <c r="M58" s="960"/>
      <c r="N58" s="960">
        <f>SUM(L58:M58)</f>
        <v>0</v>
      </c>
      <c r="O58" s="200"/>
      <c r="P58" s="200"/>
      <c r="Q58" s="200"/>
    </row>
    <row r="59" spans="1:18" s="15" customFormat="1" ht="16.5" thickBot="1">
      <c r="A59" s="351">
        <v>10</v>
      </c>
      <c r="B59" s="352"/>
      <c r="C59" s="353"/>
      <c r="D59" s="354"/>
      <c r="E59" s="407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960"/>
      <c r="M59" s="960"/>
      <c r="N59" s="960">
        <f>SUM(L59:M59)</f>
        <v>0</v>
      </c>
      <c r="O59" s="152"/>
      <c r="P59" s="152"/>
      <c r="Q59" s="152"/>
      <c r="R59" s="32"/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396567</v>
      </c>
      <c r="D60" s="780">
        <f aca="true" t="shared" si="21" ref="D60:N60">D40+D45+D46+D47+D51+D52+D55+D56+D57+D58+D59</f>
        <v>35933</v>
      </c>
      <c r="E60" s="778">
        <f t="shared" si="21"/>
        <v>432500</v>
      </c>
      <c r="F60" s="364">
        <f t="shared" si="21"/>
        <v>310000</v>
      </c>
      <c r="G60" s="344">
        <f t="shared" si="21"/>
        <v>0</v>
      </c>
      <c r="H60" s="778">
        <f t="shared" si="21"/>
        <v>310000</v>
      </c>
      <c r="I60" s="364">
        <f t="shared" si="21"/>
        <v>53100</v>
      </c>
      <c r="J60" s="344">
        <f t="shared" si="21"/>
        <v>0</v>
      </c>
      <c r="K60" s="374">
        <f t="shared" si="21"/>
        <v>53100</v>
      </c>
      <c r="L60" s="960">
        <f t="shared" si="21"/>
        <v>0</v>
      </c>
      <c r="M60" s="960">
        <f t="shared" si="21"/>
        <v>0</v>
      </c>
      <c r="N60" s="960">
        <f t="shared" si="21"/>
        <v>0</v>
      </c>
      <c r="O60" s="152"/>
      <c r="P60" s="152"/>
      <c r="Q60" s="152"/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959"/>
      <c r="M61" s="959"/>
      <c r="N61" s="959"/>
      <c r="O61" s="88"/>
      <c r="P61" s="88"/>
      <c r="Q61" s="88"/>
    </row>
    <row r="62" spans="1:17" ht="16.5" thickBot="1" thickTop="1">
      <c r="A62" s="167"/>
      <c r="B62" s="168" t="s">
        <v>579</v>
      </c>
      <c r="C62" s="908"/>
      <c r="D62" s="909"/>
      <c r="E62" s="413">
        <f>SUM(C62:D62)</f>
        <v>0</v>
      </c>
      <c r="F62" s="908"/>
      <c r="G62" s="909"/>
      <c r="H62" s="413">
        <f>SUM(F62:G62)</f>
        <v>0</v>
      </c>
      <c r="I62" s="908"/>
      <c r="J62" s="801"/>
      <c r="K62" s="413">
        <f>SUM(I62:J62)</f>
        <v>0</v>
      </c>
      <c r="L62" s="959"/>
      <c r="M62" s="959"/>
      <c r="N62" s="959">
        <f>SUM(L62:M62)</f>
        <v>0</v>
      </c>
      <c r="O62" s="88"/>
      <c r="P62" s="88"/>
      <c r="Q62" s="88"/>
    </row>
    <row r="63" spans="1:17" ht="16.5" thickBot="1" thickTop="1">
      <c r="A63" s="167"/>
      <c r="B63" s="168" t="s">
        <v>580</v>
      </c>
      <c r="C63" s="908"/>
      <c r="D63" s="909"/>
      <c r="E63" s="413">
        <f>SUM(C63:D63)</f>
        <v>0</v>
      </c>
      <c r="F63" s="908"/>
      <c r="G63" s="909"/>
      <c r="H63" s="413">
        <f>SUM(F63:G63)</f>
        <v>0</v>
      </c>
      <c r="I63" s="908"/>
      <c r="J63" s="801"/>
      <c r="K63" s="413">
        <f>SUM(I63:J63)</f>
        <v>0</v>
      </c>
      <c r="L63" s="959"/>
      <c r="M63" s="959"/>
      <c r="N63" s="959">
        <f>SUM(L63:M63)</f>
        <v>0</v>
      </c>
      <c r="O63" s="88"/>
      <c r="P63" s="88"/>
      <c r="Q63" s="88"/>
    </row>
    <row r="64" spans="1:17" ht="16.5" thickTop="1">
      <c r="A64" s="418"/>
      <c r="O64" s="88"/>
      <c r="P64" s="88"/>
      <c r="Q64" s="88"/>
    </row>
    <row r="65" ht="15.75">
      <c r="A65" s="418"/>
    </row>
    <row r="67" ht="12.75">
      <c r="D67" s="88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10" activePane="bottomRight" state="frozen"/>
      <selection pane="topLeft" activeCell="T34" sqref="T34"/>
      <selection pane="topRight" activeCell="T34" sqref="T34"/>
      <selection pane="bottomLeft" activeCell="T34" sqref="T34"/>
      <selection pane="bottomRight" activeCell="K1" sqref="K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9.375" style="88" customWidth="1"/>
    <col min="4" max="6" width="19.375" style="760" customWidth="1"/>
    <col min="7" max="7" width="17.875" style="760" customWidth="1"/>
    <col min="8" max="9" width="19.375" style="88" customWidth="1"/>
    <col min="10" max="10" width="18.00390625" style="88" customWidth="1"/>
    <col min="11" max="11" width="19.375" style="88" customWidth="1"/>
    <col min="12" max="12" width="15.50390625" style="357" customWidth="1"/>
    <col min="13" max="13" width="16.00390625" style="357" customWidth="1"/>
    <col min="14" max="17" width="9.375" style="357" customWidth="1"/>
    <col min="18" max="21" width="9.375" style="26" customWidth="1"/>
  </cols>
  <sheetData>
    <row r="1" spans="1:11" ht="15" customHeight="1">
      <c r="A1" s="303"/>
      <c r="B1" s="304"/>
      <c r="C1" s="304"/>
      <c r="D1" s="386"/>
      <c r="E1" s="386"/>
      <c r="F1" s="304"/>
      <c r="G1" s="386"/>
      <c r="H1" s="386"/>
      <c r="I1" s="386"/>
      <c r="J1" s="386"/>
      <c r="K1" s="892" t="s">
        <v>947</v>
      </c>
    </row>
    <row r="2" spans="1:11" ht="15" customHeight="1">
      <c r="A2" s="303"/>
      <c r="B2" s="304"/>
      <c r="C2" s="304"/>
      <c r="D2" s="386"/>
      <c r="E2" s="386"/>
      <c r="F2" s="304"/>
      <c r="G2" s="386"/>
      <c r="H2" s="386"/>
      <c r="I2" s="386"/>
      <c r="J2" s="386"/>
      <c r="K2" s="892" t="s">
        <v>93</v>
      </c>
    </row>
    <row r="3" spans="1:11" ht="15" customHeight="1">
      <c r="A3" s="303"/>
      <c r="B3" s="304"/>
      <c r="C3" s="304"/>
      <c r="D3" s="386"/>
      <c r="E3" s="386"/>
      <c r="F3" s="304"/>
      <c r="G3" s="386"/>
      <c r="H3" s="386"/>
      <c r="I3" s="386"/>
      <c r="J3" s="386"/>
      <c r="K3" s="893" t="s">
        <v>149</v>
      </c>
    </row>
    <row r="4" spans="1:21" s="15" customFormat="1" ht="20.25" customHeight="1">
      <c r="A4" s="894" t="s">
        <v>647</v>
      </c>
      <c r="B4" s="894"/>
      <c r="C4" s="894"/>
      <c r="D4" s="900"/>
      <c r="E4" s="900"/>
      <c r="F4" s="894"/>
      <c r="G4" s="900"/>
      <c r="H4" s="900"/>
      <c r="I4" s="900"/>
      <c r="J4" s="900"/>
      <c r="K4" s="900"/>
      <c r="L4" s="427"/>
      <c r="M4" s="427"/>
      <c r="N4" s="427"/>
      <c r="O4" s="427"/>
      <c r="P4" s="427"/>
      <c r="Q4" s="427"/>
      <c r="R4" s="372"/>
      <c r="S4" s="372"/>
      <c r="T4" s="372"/>
      <c r="U4" s="372"/>
    </row>
    <row r="5" spans="1:21" s="15" customFormat="1" ht="18" customHeight="1">
      <c r="A5" s="895" t="s">
        <v>561</v>
      </c>
      <c r="B5" s="895"/>
      <c r="C5" s="895"/>
      <c r="D5" s="901"/>
      <c r="E5" s="901"/>
      <c r="F5" s="895"/>
      <c r="G5" s="901"/>
      <c r="H5" s="901"/>
      <c r="I5" s="901"/>
      <c r="J5" s="901"/>
      <c r="K5" s="901"/>
      <c r="L5" s="427"/>
      <c r="M5" s="427"/>
      <c r="N5" s="427"/>
      <c r="O5" s="427"/>
      <c r="P5" s="427"/>
      <c r="Q5" s="427"/>
      <c r="R5" s="372"/>
      <c r="S5" s="372"/>
      <c r="T5" s="372"/>
      <c r="U5" s="372"/>
    </row>
    <row r="6" spans="1:11" ht="15.75" customHeight="1" thickBot="1">
      <c r="A6" s="303"/>
      <c r="B6" s="304"/>
      <c r="C6" s="304"/>
      <c r="D6" s="386"/>
      <c r="E6" s="386"/>
      <c r="F6" s="304"/>
      <c r="G6" s="386"/>
      <c r="H6" s="386"/>
      <c r="I6" s="386"/>
      <c r="J6" s="386"/>
      <c r="K6" s="13" t="s">
        <v>134</v>
      </c>
    </row>
    <row r="7" spans="1:12" s="88" customFormat="1" ht="33" customHeight="1">
      <c r="A7" s="230" t="s">
        <v>124</v>
      </c>
      <c r="B7" s="87" t="s">
        <v>125</v>
      </c>
      <c r="C7" s="244" t="s">
        <v>352</v>
      </c>
      <c r="D7" s="245"/>
      <c r="E7" s="246"/>
      <c r="F7" s="90" t="s">
        <v>133</v>
      </c>
      <c r="G7" s="91"/>
      <c r="H7" s="92"/>
      <c r="I7" s="90" t="s">
        <v>67</v>
      </c>
      <c r="J7" s="91"/>
      <c r="K7" s="92"/>
      <c r="L7" s="357"/>
    </row>
    <row r="8" spans="1:12" s="88" customFormat="1" ht="24.75" customHeight="1" thickBot="1">
      <c r="A8" s="241" t="s">
        <v>126</v>
      </c>
      <c r="B8" s="16" t="s">
        <v>127</v>
      </c>
      <c r="C8" s="24" t="s">
        <v>434</v>
      </c>
      <c r="D8" s="23" t="s">
        <v>791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357"/>
    </row>
    <row r="9" spans="1:12" s="234" customFormat="1" ht="14.25" customHeight="1" thickBot="1">
      <c r="A9" s="420">
        <v>1</v>
      </c>
      <c r="B9" s="420">
        <v>2</v>
      </c>
      <c r="C9" s="421">
        <v>3</v>
      </c>
      <c r="D9" s="422">
        <v>5</v>
      </c>
      <c r="E9" s="423">
        <v>5</v>
      </c>
      <c r="F9" s="421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357"/>
    </row>
    <row r="10" spans="1:12" s="88" customFormat="1" ht="18.75" customHeight="1" thickBot="1">
      <c r="A10" s="380"/>
      <c r="B10" s="425" t="s">
        <v>129</v>
      </c>
      <c r="C10" s="381"/>
      <c r="D10" s="1100"/>
      <c r="E10" s="1497"/>
      <c r="F10" s="1099"/>
      <c r="G10" s="1100"/>
      <c r="H10" s="426"/>
      <c r="I10" s="384"/>
      <c r="J10" s="385"/>
      <c r="K10" s="383"/>
      <c r="L10" s="357"/>
    </row>
    <row r="11" spans="1:12" s="88" customFormat="1" ht="15" customHeight="1" thickBot="1">
      <c r="A11" s="313">
        <v>1</v>
      </c>
      <c r="B11" s="305" t="s">
        <v>113</v>
      </c>
      <c r="C11" s="347">
        <f>SUM(hivatal7!F11+hivatal7!I11+hivatal7!L11+hivatal8!C11+hivatal8!F11+hivatal8!I11+hivatal8!L11)</f>
        <v>258235</v>
      </c>
      <c r="D11" s="314">
        <f>SUM(hivatal7!G11+hivatal7!J11+hivatal7!M11+hivatal8!D11+hivatal8!G11+hivatal8!J11+hivatal8!M11)</f>
        <v>5478</v>
      </c>
      <c r="E11" s="330">
        <f>SUM(C11:D11)</f>
        <v>263713</v>
      </c>
      <c r="F11" s="319">
        <f>'önállóan gazd.'!O11</f>
        <v>3308155</v>
      </c>
      <c r="G11" s="314">
        <f>'önállóan gazd.'!P11</f>
        <v>24034</v>
      </c>
      <c r="H11" s="358">
        <f>'önállóan gazd.'!Q11</f>
        <v>3332189</v>
      </c>
      <c r="I11" s="286">
        <f aca="true" t="shared" si="0" ref="I11:K14">SUM(C11+F11)</f>
        <v>3566390</v>
      </c>
      <c r="J11" s="290">
        <f t="shared" si="0"/>
        <v>29512</v>
      </c>
      <c r="K11" s="1254">
        <f t="shared" si="0"/>
        <v>3595902</v>
      </c>
      <c r="L11" s="357"/>
    </row>
    <row r="12" spans="1:12" s="268" customFormat="1" ht="15" customHeight="1" thickBot="1">
      <c r="A12" s="317">
        <v>2</v>
      </c>
      <c r="B12" s="305" t="s">
        <v>202</v>
      </c>
      <c r="C12" s="347">
        <f>SUM(hivatal7!F12+hivatal7!I12+hivatal7!L12+hivatal8!C12+hivatal8!F12+hivatal8!I12+hivatal8!L12)</f>
        <v>64217</v>
      </c>
      <c r="D12" s="314">
        <f>SUM(hivatal7!G12+hivatal7!J12+hivatal7!M12+hivatal8!D12+hivatal8!G12+hivatal8!J12+hivatal8!M12)</f>
        <v>1135</v>
      </c>
      <c r="E12" s="330">
        <f>SUM(C12:D12)</f>
        <v>65352</v>
      </c>
      <c r="F12" s="319">
        <f>'önállóan gazd.'!O12</f>
        <v>751129</v>
      </c>
      <c r="G12" s="314">
        <f>'önállóan gazd.'!P12</f>
        <v>-1483</v>
      </c>
      <c r="H12" s="358">
        <f>'önállóan gazd.'!Q12</f>
        <v>749646</v>
      </c>
      <c r="I12" s="286">
        <f t="shared" si="0"/>
        <v>815346</v>
      </c>
      <c r="J12" s="290">
        <f t="shared" si="0"/>
        <v>-348</v>
      </c>
      <c r="K12" s="1254">
        <f t="shared" si="0"/>
        <v>814998</v>
      </c>
      <c r="L12" s="429"/>
    </row>
    <row r="13" spans="1:12" s="200" customFormat="1" ht="15" customHeight="1" thickBot="1">
      <c r="A13" s="317">
        <v>3</v>
      </c>
      <c r="B13" s="305" t="s">
        <v>116</v>
      </c>
      <c r="C13" s="318">
        <f>SUM(hivatal7!F13+hivatal7!I13+hivatal7!L13+hivatal8!C13+hivatal8!F13+hivatal8!I13+hivatal8!L13)</f>
        <v>3767782</v>
      </c>
      <c r="D13" s="314">
        <f>SUM(hivatal7!G13+hivatal7!J13+hivatal7!M13+hivatal8!D13+hivatal8!G13+hivatal8!J13+hivatal8!M13)</f>
        <v>-68985</v>
      </c>
      <c r="E13" s="330">
        <f>SUM(C13:D13)</f>
        <v>3698797</v>
      </c>
      <c r="F13" s="319">
        <f>'önállóan gazd.'!O13</f>
        <v>1894614</v>
      </c>
      <c r="G13" s="314">
        <f>'önállóan gazd.'!P13</f>
        <v>28254</v>
      </c>
      <c r="H13" s="358">
        <f>'önállóan gazd.'!Q13</f>
        <v>1922868</v>
      </c>
      <c r="I13" s="286">
        <f t="shared" si="0"/>
        <v>5662396</v>
      </c>
      <c r="J13" s="290">
        <f t="shared" si="0"/>
        <v>-40731</v>
      </c>
      <c r="K13" s="1254">
        <f>SUM(E13+H13)</f>
        <v>5621665</v>
      </c>
      <c r="L13" s="427"/>
    </row>
    <row r="14" spans="1:12" s="200" customFormat="1" ht="15" customHeight="1" thickBot="1">
      <c r="A14" s="317">
        <v>4</v>
      </c>
      <c r="B14" s="305" t="s">
        <v>172</v>
      </c>
      <c r="C14" s="1094">
        <f>SUM(hivatal7!F14+hivatal7!I14+hivatal7!L14+hivatal8!C14+hivatal8!F14+hivatal8!I14+hivatal8!L14)</f>
        <v>121687</v>
      </c>
      <c r="D14" s="290">
        <f>SUM(hivatal7!G14+hivatal7!J14+hivatal7!M14+hivatal8!D14+hivatal8!G14+hivatal8!J14+hivatal8!M14)</f>
        <v>1134</v>
      </c>
      <c r="E14" s="288">
        <f aca="true" t="shared" si="1" ref="E14:E20">C14+D14</f>
        <v>122821</v>
      </c>
      <c r="F14" s="286">
        <f>'önállóan gazd.'!O14</f>
        <v>2736</v>
      </c>
      <c r="G14" s="290">
        <f>'önállóan gazd.'!P14</f>
        <v>-2690</v>
      </c>
      <c r="H14" s="315">
        <f>F14+G14</f>
        <v>46</v>
      </c>
      <c r="I14" s="286">
        <f t="shared" si="0"/>
        <v>124423</v>
      </c>
      <c r="J14" s="290">
        <f t="shared" si="0"/>
        <v>-1556</v>
      </c>
      <c r="K14" s="1254">
        <f t="shared" si="0"/>
        <v>122867</v>
      </c>
      <c r="L14" s="427"/>
    </row>
    <row r="15" spans="1:12" s="88" customFormat="1" ht="15" customHeight="1">
      <c r="A15" s="156" t="s">
        <v>98</v>
      </c>
      <c r="B15" s="145" t="s">
        <v>383</v>
      </c>
      <c r="C15" s="306">
        <f>SUM(hivatal7!F15+hivatal7!I15+hivatal7!L15+hivatal8!C15+hivatal8!F15+hivatal8!I15+hivatal8!L15)</f>
        <v>157855</v>
      </c>
      <c r="D15" s="226">
        <f>SUM(hivatal7!G15+hivatal7!J15+hivatal7!M15+hivatal8!D15+hivatal8!G15+hivatal8!J15+hivatal8!M15)</f>
        <v>0</v>
      </c>
      <c r="E15" s="887">
        <f t="shared" si="1"/>
        <v>157855</v>
      </c>
      <c r="F15" s="227">
        <f>'önállóan gazd.'!O15</f>
        <v>0</v>
      </c>
      <c r="G15" s="226">
        <f>'önállóan gazd.'!P15</f>
        <v>0</v>
      </c>
      <c r="H15" s="389">
        <f aca="true" t="shared" si="2" ref="H15:H21">F15+G15</f>
        <v>0</v>
      </c>
      <c r="I15" s="359">
        <f aca="true" t="shared" si="3" ref="I15:I21">SUM(C15+F15)</f>
        <v>157855</v>
      </c>
      <c r="J15" s="301">
        <f aca="true" t="shared" si="4" ref="J15:J21">SUM(D15+G15)</f>
        <v>0</v>
      </c>
      <c r="K15" s="1255">
        <f aca="true" t="shared" si="5" ref="K15:K22">SUM(E15+H15)</f>
        <v>157855</v>
      </c>
      <c r="L15" s="357"/>
    </row>
    <row r="16" spans="1:12" s="88" customFormat="1" ht="15" customHeight="1">
      <c r="A16" s="153" t="s">
        <v>99</v>
      </c>
      <c r="B16" s="149" t="s">
        <v>626</v>
      </c>
      <c r="C16" s="306">
        <f>SUM(hivatal7!F16+hivatal7!I16+hivatal7!L16+hivatal8!C16+hivatal8!F16+hivatal8!I16+hivatal8!L16)</f>
        <v>0</v>
      </c>
      <c r="D16" s="226">
        <f>SUM(hivatal7!G16+hivatal7!J16+hivatal7!M16+hivatal8!D16+hivatal8!G16+hivatal8!J16+hivatal8!M16)</f>
        <v>0</v>
      </c>
      <c r="E16" s="887">
        <f t="shared" si="1"/>
        <v>0</v>
      </c>
      <c r="F16" s="227">
        <f>'önállóan gazd.'!O15</f>
        <v>0</v>
      </c>
      <c r="G16" s="226">
        <f>'önállóan gazd.'!P15</f>
        <v>0</v>
      </c>
      <c r="H16" s="389">
        <f>F16+G16</f>
        <v>0</v>
      </c>
      <c r="I16" s="428">
        <f>SUM(C16+F16)</f>
        <v>0</v>
      </c>
      <c r="J16" s="299">
        <f>SUM(D16+G16)</f>
        <v>0</v>
      </c>
      <c r="K16" s="1255">
        <f>SUM(E16+H16)</f>
        <v>0</v>
      </c>
      <c r="L16" s="357"/>
    </row>
    <row r="17" spans="1:12" s="88" customFormat="1" ht="15" customHeight="1">
      <c r="A17" s="153" t="s">
        <v>100</v>
      </c>
      <c r="B17" s="149" t="s">
        <v>627</v>
      </c>
      <c r="C17" s="306">
        <f>SUM(hivatal7!F17+hivatal7!I17+hivatal7!L17+hivatal8!C17+hivatal8!F17+hivatal8!I17+hivatal8!L17)</f>
        <v>0</v>
      </c>
      <c r="D17" s="226">
        <f>SUM(hivatal7!G17+hivatal7!J17+hivatal7!M17+hivatal8!D17+hivatal8!G17+hivatal8!J17+hivatal8!M17)</f>
        <v>0</v>
      </c>
      <c r="E17" s="887">
        <f t="shared" si="1"/>
        <v>0</v>
      </c>
      <c r="F17" s="227">
        <f>'önállóan gazd.'!O17</f>
        <v>0</v>
      </c>
      <c r="G17" s="226">
        <f>'önállóan gazd.'!P17</f>
        <v>0</v>
      </c>
      <c r="H17" s="389">
        <f t="shared" si="2"/>
        <v>0</v>
      </c>
      <c r="I17" s="428">
        <f t="shared" si="3"/>
        <v>0</v>
      </c>
      <c r="J17" s="299">
        <f t="shared" si="4"/>
        <v>0</v>
      </c>
      <c r="K17" s="1255">
        <f t="shared" si="5"/>
        <v>0</v>
      </c>
      <c r="L17" s="357"/>
    </row>
    <row r="18" spans="1:12" s="88" customFormat="1" ht="15" customHeight="1">
      <c r="A18" s="153" t="s">
        <v>101</v>
      </c>
      <c r="B18" s="149" t="s">
        <v>384</v>
      </c>
      <c r="C18" s="306">
        <f>SUM(hivatal7!F18+hivatal7!I18+hivatal7!L18+hivatal8!C18+hivatal8!F18+hivatal8!I18+hivatal8!L18)</f>
        <v>38443</v>
      </c>
      <c r="D18" s="226">
        <f>SUM(hivatal7!G18+hivatal7!J18+hivatal7!M18+hivatal8!D18+hivatal8!G18+hivatal8!J18+hivatal8!M18)</f>
        <v>700</v>
      </c>
      <c r="E18" s="887">
        <f t="shared" si="1"/>
        <v>39143</v>
      </c>
      <c r="F18" s="227">
        <f>'önállóan gazd.'!O18</f>
        <v>78</v>
      </c>
      <c r="G18" s="226">
        <f>'önállóan gazd.'!P18</f>
        <v>116</v>
      </c>
      <c r="H18" s="389">
        <f t="shared" si="2"/>
        <v>194</v>
      </c>
      <c r="I18" s="428">
        <f t="shared" si="3"/>
        <v>38521</v>
      </c>
      <c r="J18" s="299">
        <f t="shared" si="4"/>
        <v>816</v>
      </c>
      <c r="K18" s="1255">
        <f t="shared" si="5"/>
        <v>39337</v>
      </c>
      <c r="L18" s="357"/>
    </row>
    <row r="19" spans="1:12" s="88" customFormat="1" ht="15" customHeight="1">
      <c r="A19" s="148" t="s">
        <v>192</v>
      </c>
      <c r="B19" s="149" t="s">
        <v>628</v>
      </c>
      <c r="C19" s="306">
        <f>SUM(hivatal7!F19+hivatal7!I19+hivatal7!L19+hivatal8!C19+hivatal8!F19+hivatal8!I19+hivatal8!L19)</f>
        <v>0</v>
      </c>
      <c r="D19" s="226">
        <f>SUM(hivatal7!G19+hivatal7!J19+hivatal7!M19+hivatal8!D19+hivatal8!G19+hivatal8!J19+hivatal8!M19)</f>
        <v>0</v>
      </c>
      <c r="E19" s="887">
        <f t="shared" si="1"/>
        <v>0</v>
      </c>
      <c r="F19" s="227">
        <f>'önállóan gazd.'!O19</f>
        <v>0</v>
      </c>
      <c r="G19" s="226">
        <f>'önállóan gazd.'!P19</f>
        <v>0</v>
      </c>
      <c r="H19" s="389">
        <f>F19+G19</f>
        <v>0</v>
      </c>
      <c r="I19" s="428">
        <f t="shared" si="3"/>
        <v>0</v>
      </c>
      <c r="J19" s="299">
        <f>SUM(D19+G19)</f>
        <v>0</v>
      </c>
      <c r="K19" s="1255">
        <f>SUM(E19+H19)</f>
        <v>0</v>
      </c>
      <c r="L19" s="357"/>
    </row>
    <row r="20" spans="1:12" s="88" customFormat="1" ht="15" customHeight="1">
      <c r="A20" s="148" t="s">
        <v>339</v>
      </c>
      <c r="B20" s="149" t="s">
        <v>629</v>
      </c>
      <c r="C20" s="306">
        <f>SUM(hivatal7!F20+hivatal7!I20+hivatal7!L20+hivatal8!C20+hivatal8!F20+hivatal8!I20+hivatal8!L20)</f>
        <v>0</v>
      </c>
      <c r="D20" s="226">
        <f>SUM(hivatal7!G20+hivatal7!J20+hivatal7!M20+hivatal8!D20+hivatal8!G20+hivatal8!J20+hivatal8!M20)</f>
        <v>0</v>
      </c>
      <c r="E20" s="887">
        <f t="shared" si="1"/>
        <v>0</v>
      </c>
      <c r="F20" s="227">
        <f>'önállóan gazd.'!O20</f>
        <v>0</v>
      </c>
      <c r="G20" s="226">
        <f>'önállóan gazd.'!P20</f>
        <v>0</v>
      </c>
      <c r="H20" s="389">
        <f t="shared" si="2"/>
        <v>0</v>
      </c>
      <c r="I20" s="428">
        <f t="shared" si="3"/>
        <v>0</v>
      </c>
      <c r="J20" s="299">
        <f>SUM(D20+G20)</f>
        <v>0</v>
      </c>
      <c r="K20" s="1255">
        <f t="shared" si="5"/>
        <v>0</v>
      </c>
      <c r="L20" s="357"/>
    </row>
    <row r="21" spans="1:12" s="88" customFormat="1" ht="15" customHeight="1">
      <c r="A21" s="148" t="s">
        <v>340</v>
      </c>
      <c r="B21" s="149" t="s">
        <v>385</v>
      </c>
      <c r="C21" s="306">
        <f>SUM(hivatal7!F21+hivatal7!I21+hivatal7!L21+hivatal8!C21+hivatal8!F21+hivatal8!I21+hivatal8!L21)</f>
        <v>680041</v>
      </c>
      <c r="D21" s="226">
        <f>SUM(hivatal7!G21+hivatal7!J21+hivatal7!M21+hivatal8!D21+hivatal8!G21+hivatal8!J21+hivatal8!M21)</f>
        <v>19965</v>
      </c>
      <c r="E21" s="887">
        <f aca="true" t="shared" si="6" ref="E21:E30">C21+D21</f>
        <v>700006</v>
      </c>
      <c r="F21" s="227">
        <f>'önállóan gazd.'!O21</f>
        <v>336</v>
      </c>
      <c r="G21" s="226">
        <f>'önállóan gazd.'!P21</f>
        <v>323</v>
      </c>
      <c r="H21" s="389">
        <f t="shared" si="2"/>
        <v>659</v>
      </c>
      <c r="I21" s="1092">
        <f t="shared" si="3"/>
        <v>680377</v>
      </c>
      <c r="J21" s="299">
        <f t="shared" si="4"/>
        <v>20288</v>
      </c>
      <c r="K21" s="1214">
        <f t="shared" si="5"/>
        <v>700665</v>
      </c>
      <c r="L21" s="357"/>
    </row>
    <row r="22" spans="1:12" s="88" customFormat="1" ht="15" customHeight="1" thickBot="1">
      <c r="A22" s="16" t="s">
        <v>69</v>
      </c>
      <c r="B22" s="334" t="s">
        <v>386</v>
      </c>
      <c r="C22" s="329">
        <f>SUM(hivatal7!F22+hivatal7!I22+hivatal7!L22+hivatal8!C22+hivatal8!F22+hivatal8!I22+hivatal8!L22)</f>
        <v>635260</v>
      </c>
      <c r="D22" s="321">
        <f>SUM(hivatal7!G22+hivatal7!J22+hivatal7!M22+hivatal8!D22+hivatal8!G22+hivatal8!J22+hivatal8!M22)</f>
        <v>334102</v>
      </c>
      <c r="E22" s="157">
        <f t="shared" si="6"/>
        <v>969362</v>
      </c>
      <c r="F22" s="323">
        <f>'önállóan gazd.'!O22</f>
        <v>0</v>
      </c>
      <c r="G22" s="321">
        <f>'önállóan gazd.'!P22</f>
        <v>0</v>
      </c>
      <c r="H22" s="395">
        <f aca="true" t="shared" si="7" ref="H22:H33">F22+G22</f>
        <v>0</v>
      </c>
      <c r="I22" s="1092">
        <f>SUM(C22+F22)</f>
        <v>635260</v>
      </c>
      <c r="J22" s="301">
        <f>SUM(D22+G22)</f>
        <v>334102</v>
      </c>
      <c r="K22" s="1214">
        <f t="shared" si="5"/>
        <v>969362</v>
      </c>
      <c r="L22" s="357"/>
    </row>
    <row r="23" spans="1:12" s="200" customFormat="1" ht="15" customHeight="1" thickBot="1">
      <c r="A23" s="317">
        <v>5</v>
      </c>
      <c r="B23" s="305" t="s">
        <v>171</v>
      </c>
      <c r="C23" s="1094">
        <f>SUM(C15:C22)</f>
        <v>1511599</v>
      </c>
      <c r="D23" s="290">
        <f>SUM(hivatal7!G23+hivatal7!J23+hivatal7!M23+hivatal8!D23+hivatal8!G23+hivatal8!J23+hivatal8!M23)</f>
        <v>354767</v>
      </c>
      <c r="E23" s="288">
        <f t="shared" si="6"/>
        <v>1866366</v>
      </c>
      <c r="F23" s="286">
        <f>'önállóan gazd.'!O23</f>
        <v>414</v>
      </c>
      <c r="G23" s="290">
        <f>'önállóan gazd.'!P23</f>
        <v>439</v>
      </c>
      <c r="H23" s="315">
        <f t="shared" si="7"/>
        <v>853</v>
      </c>
      <c r="I23" s="347">
        <f>SUM(I15:I22)</f>
        <v>1512013</v>
      </c>
      <c r="J23" s="314">
        <f>SUM(J15:J22)</f>
        <v>355206</v>
      </c>
      <c r="K23" s="1116">
        <f>SUM(K15:K22)</f>
        <v>1867219</v>
      </c>
      <c r="L23" s="427"/>
    </row>
    <row r="24" spans="1:12" s="88" customFormat="1" ht="15" customHeight="1" thickBot="1">
      <c r="A24" s="313">
        <v>6</v>
      </c>
      <c r="B24" s="305" t="s">
        <v>174</v>
      </c>
      <c r="C24" s="1094">
        <f>SUM(hivatal7!F24+hivatal7!I24+hivatal7!L24+hivatal8!C24+hivatal8!F24+hivatal8!I24+hivatal8!L24)</f>
        <v>4779232</v>
      </c>
      <c r="D24" s="290">
        <f>SUM(hivatal7!G24+hivatal7!J24+hivatal7!M24+hivatal8!D24+hivatal8!G24+hivatal8!J24+hivatal8!M24)</f>
        <v>13607</v>
      </c>
      <c r="E24" s="288">
        <f>C24+D24</f>
        <v>4792839</v>
      </c>
      <c r="F24" s="286">
        <f>'önállóan gazd.'!O24</f>
        <v>121486</v>
      </c>
      <c r="G24" s="290">
        <f>'önállóan gazd.'!P24</f>
        <v>7231</v>
      </c>
      <c r="H24" s="315">
        <f>F24+G24</f>
        <v>128717</v>
      </c>
      <c r="I24" s="1094">
        <f aca="true" t="shared" si="8" ref="I24:K26">SUM(C24+F24)</f>
        <v>4900718</v>
      </c>
      <c r="J24" s="290">
        <f t="shared" si="8"/>
        <v>20838</v>
      </c>
      <c r="K24" s="1256">
        <f t="shared" si="8"/>
        <v>4921556</v>
      </c>
      <c r="L24" s="357"/>
    </row>
    <row r="25" spans="1:12" s="200" customFormat="1" ht="15" customHeight="1" thickBot="1">
      <c r="A25" s="313">
        <v>7</v>
      </c>
      <c r="B25" s="305" t="s">
        <v>435</v>
      </c>
      <c r="C25" s="1094">
        <f>SUM(hivatal7!F25+hivatal7!I25+hivatal7!L25+hivatal8!C25+hivatal8!F25+hivatal8!I25+hivatal8!L25)</f>
        <v>1770404</v>
      </c>
      <c r="D25" s="290">
        <f>SUM(hivatal7!G25+hivatal7!J25+hivatal7!M25+hivatal8!D25+hivatal8!G25+hivatal8!J25+hivatal8!M25)</f>
        <v>-14153</v>
      </c>
      <c r="E25" s="288">
        <f>C25+D25</f>
        <v>1756251</v>
      </c>
      <c r="F25" s="286">
        <f>'önállóan gazd.'!O25</f>
        <v>2540</v>
      </c>
      <c r="G25" s="290">
        <f>'önállóan gazd.'!P25</f>
        <v>10185</v>
      </c>
      <c r="H25" s="315">
        <f>F25+G25</f>
        <v>12725</v>
      </c>
      <c r="I25" s="1094">
        <f t="shared" si="8"/>
        <v>1772944</v>
      </c>
      <c r="J25" s="290">
        <f t="shared" si="8"/>
        <v>-3968</v>
      </c>
      <c r="K25" s="1256">
        <f t="shared" si="8"/>
        <v>1768976</v>
      </c>
      <c r="L25" s="427"/>
    </row>
    <row r="26" spans="1:12" s="88" customFormat="1" ht="15" customHeight="1">
      <c r="A26" s="156" t="s">
        <v>98</v>
      </c>
      <c r="B26" s="149" t="s">
        <v>632</v>
      </c>
      <c r="C26" s="306">
        <f>SUM(hivatal7!F26+hivatal7!I26+hivatal7!L26+hivatal8!C26+hivatal8!F26+hivatal8!I26+hivatal8!L26)</f>
        <v>0</v>
      </c>
      <c r="D26" s="226">
        <f>SUM(hivatal7!G26+hivatal7!J26+hivatal7!M26+hivatal8!D26+hivatal8!G26+hivatal8!J26+hivatal8!M26)</f>
        <v>0</v>
      </c>
      <c r="E26" s="887">
        <f t="shared" si="6"/>
        <v>0</v>
      </c>
      <c r="F26" s="227">
        <f>'önállóan gazd.'!O26</f>
        <v>0</v>
      </c>
      <c r="G26" s="226">
        <f>'önállóan gazd.'!P26</f>
        <v>0</v>
      </c>
      <c r="H26" s="389">
        <f t="shared" si="7"/>
        <v>0</v>
      </c>
      <c r="I26" s="1092">
        <f t="shared" si="8"/>
        <v>0</v>
      </c>
      <c r="J26" s="301">
        <f t="shared" si="8"/>
        <v>0</v>
      </c>
      <c r="K26" s="1214">
        <f t="shared" si="8"/>
        <v>0</v>
      </c>
      <c r="L26" s="357"/>
    </row>
    <row r="27" spans="1:12" s="88" customFormat="1" ht="15" customHeight="1">
      <c r="A27" s="156" t="s">
        <v>99</v>
      </c>
      <c r="B27" s="149" t="s">
        <v>630</v>
      </c>
      <c r="C27" s="306">
        <f>SUM(hivatal7!F27+hivatal7!I27+hivatal7!L27+hivatal8!C27+hivatal8!F27+hivatal8!I27+hivatal8!L27)</f>
        <v>0</v>
      </c>
      <c r="D27" s="226">
        <f>SUM(hivatal7!G27+hivatal7!J27+hivatal7!M27+hivatal8!D27+hivatal8!G27+hivatal8!J27+hivatal8!M27)</f>
        <v>0</v>
      </c>
      <c r="E27" s="887">
        <f t="shared" si="6"/>
        <v>0</v>
      </c>
      <c r="F27" s="227">
        <f>'önállóan gazd.'!O27</f>
        <v>0</v>
      </c>
      <c r="G27" s="226">
        <f>'önállóan gazd.'!P27</f>
        <v>0</v>
      </c>
      <c r="H27" s="389">
        <f t="shared" si="7"/>
        <v>0</v>
      </c>
      <c r="I27" s="1092">
        <f aca="true" t="shared" si="9" ref="I27:K31">SUM(C27+F27)</f>
        <v>0</v>
      </c>
      <c r="J27" s="301">
        <f t="shared" si="9"/>
        <v>0</v>
      </c>
      <c r="K27" s="1214">
        <f t="shared" si="9"/>
        <v>0</v>
      </c>
      <c r="L27" s="357"/>
    </row>
    <row r="28" spans="1:12" s="88" customFormat="1" ht="15" customHeight="1">
      <c r="A28" s="156" t="s">
        <v>100</v>
      </c>
      <c r="B28" s="149" t="s">
        <v>387</v>
      </c>
      <c r="C28" s="306">
        <f>SUM(hivatal7!F28+hivatal7!I28+hivatal7!L28+hivatal8!C28+hivatal8!F28+hivatal8!I28+hivatal8!L28)</f>
        <v>0</v>
      </c>
      <c r="D28" s="226">
        <f>SUM(hivatal7!G28+hivatal7!J28+hivatal7!M28+hivatal8!D28+hivatal8!G28+hivatal8!J28+hivatal8!M28)</f>
        <v>0</v>
      </c>
      <c r="E28" s="887">
        <f t="shared" si="6"/>
        <v>0</v>
      </c>
      <c r="F28" s="1074">
        <f>'önállóan gazd.'!O28</f>
        <v>0</v>
      </c>
      <c r="G28" s="139">
        <f>'önállóan gazd.'!P28</f>
        <v>0</v>
      </c>
      <c r="H28" s="228">
        <f t="shared" si="7"/>
        <v>0</v>
      </c>
      <c r="I28" s="1092">
        <f t="shared" si="9"/>
        <v>0</v>
      </c>
      <c r="J28" s="301">
        <f t="shared" si="9"/>
        <v>0</v>
      </c>
      <c r="K28" s="1214">
        <f t="shared" si="9"/>
        <v>0</v>
      </c>
      <c r="L28" s="357"/>
    </row>
    <row r="29" spans="1:12" s="88" customFormat="1" ht="15" customHeight="1">
      <c r="A29" s="156" t="s">
        <v>101</v>
      </c>
      <c r="B29" s="149" t="s">
        <v>631</v>
      </c>
      <c r="C29" s="306">
        <f>SUM(hivatal7!F29+hivatal7!I29+hivatal7!L29+hivatal8!C29+hivatal8!F29+hivatal8!I29+hivatal8!L29)</f>
        <v>10954</v>
      </c>
      <c r="D29" s="226">
        <f>SUM(hivatal7!G29+hivatal7!J29+hivatal7!M29+hivatal8!D29+hivatal8!G29+hivatal8!J29+hivatal8!M29)</f>
        <v>379</v>
      </c>
      <c r="E29" s="887">
        <f t="shared" si="6"/>
        <v>11333</v>
      </c>
      <c r="F29" s="1074">
        <f>'önállóan gazd.'!O29</f>
        <v>0</v>
      </c>
      <c r="G29" s="226">
        <f>'önállóan gazd.'!P29</f>
        <v>0</v>
      </c>
      <c r="H29" s="228">
        <f t="shared" si="7"/>
        <v>0</v>
      </c>
      <c r="I29" s="1092">
        <f t="shared" si="9"/>
        <v>10954</v>
      </c>
      <c r="J29" s="301">
        <f t="shared" si="9"/>
        <v>379</v>
      </c>
      <c r="K29" s="1214">
        <f t="shared" si="9"/>
        <v>11333</v>
      </c>
      <c r="L29" s="357"/>
    </row>
    <row r="30" spans="1:12" s="88" customFormat="1" ht="15" customHeight="1" thickBot="1">
      <c r="A30" s="335" t="s">
        <v>192</v>
      </c>
      <c r="B30" s="149" t="s">
        <v>388</v>
      </c>
      <c r="C30" s="329">
        <f>SUM(hivatal7!F30+hivatal7!I30+hivatal7!L30+hivatal8!C30+hivatal8!F30+hivatal8!I30+hivatal8!L30)</f>
        <v>416176</v>
      </c>
      <c r="D30" s="321">
        <f>SUM(hivatal7!G30+hivatal7!J30+hivatal7!M30+hivatal8!D30+hivatal8!G30+hivatal8!J30+hivatal8!M30)</f>
        <v>17032</v>
      </c>
      <c r="E30" s="157">
        <f t="shared" si="6"/>
        <v>433208</v>
      </c>
      <c r="F30" s="1075">
        <f>'önállóan gazd.'!O30</f>
        <v>0</v>
      </c>
      <c r="G30" s="321">
        <f>'önállóan gazd.'!P30</f>
        <v>0</v>
      </c>
      <c r="H30" s="324">
        <f t="shared" si="7"/>
        <v>0</v>
      </c>
      <c r="I30" s="1093">
        <f t="shared" si="9"/>
        <v>416176</v>
      </c>
      <c r="J30" s="328">
        <f t="shared" si="9"/>
        <v>17032</v>
      </c>
      <c r="K30" s="1212">
        <f t="shared" si="9"/>
        <v>433208</v>
      </c>
      <c r="L30" s="357"/>
    </row>
    <row r="31" spans="1:12" s="200" customFormat="1" ht="15" customHeight="1" thickBot="1">
      <c r="A31" s="313">
        <v>8</v>
      </c>
      <c r="B31" s="305" t="s">
        <v>173</v>
      </c>
      <c r="C31" s="1153">
        <f>SUM(hivatal7!F31+hivatal7!I31+hivatal7!L31+hivatal8!C31+hivatal8!F31+hivatal8!I31+hivatal8!L31)</f>
        <v>427130</v>
      </c>
      <c r="D31" s="800">
        <f>SUM(hivatal7!G31+hivatal7!J31+hivatal7!M31+hivatal8!D31+hivatal8!G31+hivatal8!J31+hivatal8!M31)</f>
        <v>17411</v>
      </c>
      <c r="E31" s="1149">
        <f>C31+D31</f>
        <v>444541</v>
      </c>
      <c r="F31" s="1094">
        <f>'önállóan gazd.'!O31</f>
        <v>0</v>
      </c>
      <c r="G31" s="290">
        <f>'önállóan gazd.'!P31</f>
        <v>0</v>
      </c>
      <c r="H31" s="288">
        <f>F31+G31</f>
        <v>0</v>
      </c>
      <c r="I31" s="1094">
        <f t="shared" si="9"/>
        <v>427130</v>
      </c>
      <c r="J31" s="290">
        <f t="shared" si="9"/>
        <v>17411</v>
      </c>
      <c r="K31" s="288">
        <f t="shared" si="9"/>
        <v>444541</v>
      </c>
      <c r="L31" s="427"/>
    </row>
    <row r="32" spans="1:12" s="88" customFormat="1" ht="15" customHeight="1" thickBot="1">
      <c r="A32" s="313">
        <v>9</v>
      </c>
      <c r="B32" s="305" t="s">
        <v>179</v>
      </c>
      <c r="C32" s="1153">
        <f>SUM(hivatal7!F32+hivatal7!I32+hivatal7!L32+hivatal8!C32+hivatal8!F32+hivatal8!I32+hivatal8!L32)</f>
        <v>38585</v>
      </c>
      <c r="D32" s="800">
        <f>SUM(hivatal7!G32+hivatal7!J32+hivatal7!M32+hivatal8!D32+hivatal8!G32+hivatal8!J32+hivatal8!M32)</f>
        <v>72111</v>
      </c>
      <c r="E32" s="1149">
        <f>C32+D32</f>
        <v>110696</v>
      </c>
      <c r="F32" s="1095">
        <f>'önállóan gazd.'!O32</f>
        <v>0</v>
      </c>
      <c r="G32" s="291">
        <f>'önállóan gazd.'!P32</f>
        <v>0</v>
      </c>
      <c r="H32" s="289">
        <f t="shared" si="7"/>
        <v>0</v>
      </c>
      <c r="I32" s="1094">
        <f aca="true" t="shared" si="10" ref="I32:K33">SUM(C32+F32)</f>
        <v>38585</v>
      </c>
      <c r="J32" s="290">
        <f t="shared" si="10"/>
        <v>72111</v>
      </c>
      <c r="K32" s="288">
        <f t="shared" si="10"/>
        <v>110696</v>
      </c>
      <c r="L32" s="357"/>
    </row>
    <row r="33" spans="1:12" s="152" customFormat="1" ht="15.75" customHeight="1" thickBot="1">
      <c r="A33" s="367">
        <v>10</v>
      </c>
      <c r="B33" s="430"/>
      <c r="C33" s="1154">
        <f>SUM(hivatal7!F33+hivatal7!I33+hivatal7!L33+hivatal8!C33+hivatal8!F33+hivatal8!I33+hivatal8!L33)</f>
        <v>0</v>
      </c>
      <c r="D33" s="801">
        <f>SUM(hivatal7!G33+hivatal7!J33+hivatal7!M33+hivatal8!D33+hivatal8!G33+hivatal8!J33+hivatal8!M33)</f>
        <v>0</v>
      </c>
      <c r="E33" s="1150">
        <f>C33+D33</f>
        <v>0</v>
      </c>
      <c r="F33" s="1096">
        <f>'önállóan gazd.'!O33</f>
        <v>0</v>
      </c>
      <c r="G33" s="370">
        <f>'önállóan gazd.'!P33</f>
        <v>0</v>
      </c>
      <c r="H33" s="371">
        <f t="shared" si="7"/>
        <v>0</v>
      </c>
      <c r="I33" s="1090">
        <f t="shared" si="10"/>
        <v>0</v>
      </c>
      <c r="J33" s="375">
        <f t="shared" si="10"/>
        <v>0</v>
      </c>
      <c r="K33" s="376">
        <f t="shared" si="10"/>
        <v>0</v>
      </c>
      <c r="L33" s="427"/>
    </row>
    <row r="34" spans="1:88" s="160" customFormat="1" ht="17.25" thickBot="1" thickTop="1">
      <c r="A34" s="343" t="s">
        <v>108</v>
      </c>
      <c r="B34" s="366" t="s">
        <v>180</v>
      </c>
      <c r="C34" s="365">
        <f aca="true" t="shared" si="11" ref="C34:J34">C11+C12+C13+C23+C14+C31+C25+C24+C32+C33</f>
        <v>12738871</v>
      </c>
      <c r="D34" s="344">
        <f t="shared" si="11"/>
        <v>382505</v>
      </c>
      <c r="E34" s="778">
        <f t="shared" si="11"/>
        <v>13121376</v>
      </c>
      <c r="F34" s="365">
        <f t="shared" si="11"/>
        <v>6081074</v>
      </c>
      <c r="G34" s="344">
        <f t="shared" si="11"/>
        <v>65970</v>
      </c>
      <c r="H34" s="778">
        <f t="shared" si="11"/>
        <v>6147044</v>
      </c>
      <c r="I34" s="365">
        <f t="shared" si="11"/>
        <v>18819945</v>
      </c>
      <c r="J34" s="344">
        <f t="shared" si="11"/>
        <v>448475</v>
      </c>
      <c r="K34" s="374">
        <f>K11+K12+K13+K23+K14+K31+K25+K24+K32+K33</f>
        <v>19268420</v>
      </c>
      <c r="L34" s="963"/>
      <c r="M34" s="963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</row>
    <row r="35" spans="1:12" s="88" customFormat="1" ht="17.25" thickBot="1" thickTop="1">
      <c r="A35" s="144"/>
      <c r="B35" s="346" t="s">
        <v>131</v>
      </c>
      <c r="C35" s="1091"/>
      <c r="D35" s="373"/>
      <c r="E35" s="1151"/>
      <c r="F35" s="1091"/>
      <c r="G35" s="373"/>
      <c r="H35" s="1151"/>
      <c r="I35" s="1091"/>
      <c r="J35" s="373"/>
      <c r="K35" s="920"/>
      <c r="L35" s="357"/>
    </row>
    <row r="36" spans="1:12" s="760" customFormat="1" ht="15">
      <c r="A36" s="769" t="s">
        <v>98</v>
      </c>
      <c r="B36" s="770" t="s">
        <v>389</v>
      </c>
      <c r="C36" s="772">
        <f>SUM(hivatal7!F36+hivatal7!I36+hivatal7!L36+hivatal8!C36+hivatal8!F36+hivatal8!I36+hivatal8!L36)</f>
        <v>2037016</v>
      </c>
      <c r="D36" s="771">
        <f>SUM(hivatal7!G36+hivatal7!J36+hivatal7!M36+hivatal8!D36+hivatal8!G36+hivatal8!J36+hivatal8!M36)</f>
        <v>80403</v>
      </c>
      <c r="E36" s="775">
        <f>SUM(hivatal7!H36+hivatal7!K36+hivatal7!N36+hivatal8!E36+hivatal8!H36+hivatal8!K36+hivatal8!N36)</f>
        <v>2117419</v>
      </c>
      <c r="F36" s="1084">
        <f>'önállóan gazd.'!O36</f>
        <v>0</v>
      </c>
      <c r="G36" s="771">
        <f>'önállóan gazd.'!P36</f>
        <v>0</v>
      </c>
      <c r="H36" s="775">
        <f>'önállóan gazd.'!Q36</f>
        <v>0</v>
      </c>
      <c r="I36" s="1157">
        <f aca="true" t="shared" si="12" ref="I36:K39">SUM(C36+F36)</f>
        <v>2037016</v>
      </c>
      <c r="J36" s="1163">
        <f t="shared" si="12"/>
        <v>80403</v>
      </c>
      <c r="K36" s="1257">
        <f t="shared" si="12"/>
        <v>2117419</v>
      </c>
      <c r="L36" s="761"/>
    </row>
    <row r="37" spans="1:12" s="760" customFormat="1" ht="15">
      <c r="A37" s="153" t="s">
        <v>99</v>
      </c>
      <c r="B37" s="149" t="s">
        <v>245</v>
      </c>
      <c r="C37" s="906">
        <f>SUM(hivatal7!F37+hivatal7!I37+hivatal7!L37+hivatal8!C37+hivatal8!F37+hivatal8!I37+hivatal8!L37)</f>
        <v>0</v>
      </c>
      <c r="D37" s="139">
        <f>SUM(hivatal7!G37+hivatal7!J37+hivatal7!M37+hivatal8!D37+hivatal8!G37+hivatal8!J37+hivatal8!M37)</f>
        <v>0</v>
      </c>
      <c r="E37" s="162">
        <f>SUM(hivatal7!H37+hivatal7!K37+hivatal7!N37+hivatal8!E37+hivatal8!H37+hivatal8!K37+hivatal8!N37)</f>
        <v>0</v>
      </c>
      <c r="F37" s="906">
        <f>'önállóan gazd.'!O37</f>
        <v>0</v>
      </c>
      <c r="G37" s="139">
        <f>'önállóan gazd.'!P37</f>
        <v>0</v>
      </c>
      <c r="H37" s="885">
        <f>'önállóan gazd.'!Q37</f>
        <v>0</v>
      </c>
      <c r="I37" s="1158">
        <f t="shared" si="12"/>
        <v>0</v>
      </c>
      <c r="J37" s="299">
        <f t="shared" si="12"/>
        <v>0</v>
      </c>
      <c r="K37" s="1211">
        <f t="shared" si="12"/>
        <v>0</v>
      </c>
      <c r="L37" s="761"/>
    </row>
    <row r="38" spans="1:12" s="760" customFormat="1" ht="15">
      <c r="A38" s="335" t="s">
        <v>100</v>
      </c>
      <c r="B38" s="142" t="s">
        <v>390</v>
      </c>
      <c r="C38" s="1075">
        <f>SUM(hivatal7!F38+hivatal7!I38+hivatal7!L38+hivatal8!C38+hivatal8!F38+hivatal8!I38+hivatal8!L38)</f>
        <v>0</v>
      </c>
      <c r="D38" s="321">
        <f>SUM(hivatal7!G38+hivatal7!J38+hivatal7!M38+hivatal8!D38+hivatal8!G38+hivatal8!J38+hivatal8!M38)</f>
        <v>0</v>
      </c>
      <c r="E38" s="324">
        <f>SUM(hivatal7!H38+hivatal7!K38+hivatal7!N38+hivatal8!E38+hivatal8!H38+hivatal8!K38+hivatal8!N38)</f>
        <v>0</v>
      </c>
      <c r="F38" s="1075">
        <f>'önállóan gazd.'!O38</f>
        <v>0</v>
      </c>
      <c r="G38" s="321">
        <f>'önállóan gazd.'!P38</f>
        <v>0</v>
      </c>
      <c r="H38" s="157">
        <f>'önállóan gazd.'!Q38</f>
        <v>0</v>
      </c>
      <c r="I38" s="1093">
        <f t="shared" si="12"/>
        <v>0</v>
      </c>
      <c r="J38" s="328">
        <f t="shared" si="12"/>
        <v>0</v>
      </c>
      <c r="K38" s="1212">
        <f t="shared" si="12"/>
        <v>0</v>
      </c>
      <c r="L38" s="761"/>
    </row>
    <row r="39" spans="1:12" s="760" customFormat="1" ht="15.75" thickBot="1">
      <c r="A39" s="154" t="s">
        <v>101</v>
      </c>
      <c r="B39" s="155" t="s">
        <v>394</v>
      </c>
      <c r="C39" s="907">
        <f>SUM(hivatal7!F39+hivatal7!I39+hivatal7!L39+hivatal8!C39+hivatal8!F39+hivatal8!I39+hivatal8!L39)</f>
        <v>193634</v>
      </c>
      <c r="D39" s="151">
        <f>SUM(hivatal7!G39+hivatal7!J39+hivatal7!M39+hivatal8!D39+hivatal8!G39+hivatal8!J39+hivatal8!M39)</f>
        <v>425991</v>
      </c>
      <c r="E39" s="238">
        <f>SUM(hivatal7!H39+hivatal7!K39+hivatal7!N39+hivatal8!E39+hivatal8!H39+hivatal8!K39+hivatal8!N39)</f>
        <v>619625</v>
      </c>
      <c r="F39" s="907">
        <f>'önállóan gazd.'!O39</f>
        <v>20074</v>
      </c>
      <c r="G39" s="151">
        <f>'önállóan gazd.'!P39</f>
        <v>1123</v>
      </c>
      <c r="H39" s="886">
        <f>'önállóan gazd.'!Q39</f>
        <v>21197</v>
      </c>
      <c r="I39" s="1159">
        <f t="shared" si="12"/>
        <v>213708</v>
      </c>
      <c r="J39" s="300">
        <f t="shared" si="12"/>
        <v>427114</v>
      </c>
      <c r="K39" s="1213">
        <f t="shared" si="12"/>
        <v>640822</v>
      </c>
      <c r="L39" s="761"/>
    </row>
    <row r="40" spans="1:12" s="200" customFormat="1" ht="16.5" thickBot="1">
      <c r="A40" s="313">
        <v>1</v>
      </c>
      <c r="B40" s="305" t="s">
        <v>177</v>
      </c>
      <c r="C40" s="347">
        <f>SUM(C36:C39)</f>
        <v>2230650</v>
      </c>
      <c r="D40" s="314">
        <f aca="true" t="shared" si="13" ref="D40:K40">SUM(D36:D39)</f>
        <v>506394</v>
      </c>
      <c r="E40" s="320">
        <f t="shared" si="13"/>
        <v>2737044</v>
      </c>
      <c r="F40" s="347">
        <f t="shared" si="13"/>
        <v>20074</v>
      </c>
      <c r="G40" s="314">
        <f t="shared" si="13"/>
        <v>1123</v>
      </c>
      <c r="H40" s="320">
        <f t="shared" si="13"/>
        <v>21197</v>
      </c>
      <c r="I40" s="347">
        <f t="shared" si="13"/>
        <v>2250724</v>
      </c>
      <c r="J40" s="314">
        <f t="shared" si="13"/>
        <v>507517</v>
      </c>
      <c r="K40" s="1116">
        <f t="shared" si="13"/>
        <v>2758241</v>
      </c>
      <c r="L40" s="427"/>
    </row>
    <row r="41" spans="1:12" s="88" customFormat="1" ht="15">
      <c r="A41" s="156" t="s">
        <v>98</v>
      </c>
      <c r="B41" s="145" t="s">
        <v>416</v>
      </c>
      <c r="C41" s="1074">
        <f>SUM(hivatal7!F41+hivatal7!I41+hivatal7!L41+hivatal8!C41+hivatal8!F41+hivatal8!I41+hivatal8!L41)</f>
        <v>0</v>
      </c>
      <c r="D41" s="226">
        <f>SUM(hivatal7!G41+hivatal7!J41+hivatal7!M41+hivatal8!D41+hivatal8!G41+hivatal8!J41+hivatal8!M41)</f>
        <v>0</v>
      </c>
      <c r="E41" s="228">
        <f>SUM(hivatal7!H41+hivatal7!K41+hivatal7!N41+hivatal8!E41+hivatal8!H41+hivatal8!K41+hivatal8!N41)</f>
        <v>0</v>
      </c>
      <c r="F41" s="1074">
        <f>'önállóan gazd.'!O41</f>
        <v>0</v>
      </c>
      <c r="G41" s="226">
        <f>'önállóan gazd.'!P41</f>
        <v>0</v>
      </c>
      <c r="H41" s="887">
        <f>'önállóan gazd.'!Q41</f>
        <v>0</v>
      </c>
      <c r="I41" s="1092">
        <f>SUM(C41+F41)</f>
        <v>0</v>
      </c>
      <c r="J41" s="301">
        <f>SUM(D41+G41)</f>
        <v>0</v>
      </c>
      <c r="K41" s="1214">
        <f>SUM(E41+H41)</f>
        <v>0</v>
      </c>
      <c r="L41" s="357"/>
    </row>
    <row r="42" spans="1:12" s="88" customFormat="1" ht="15">
      <c r="A42" s="153" t="s">
        <v>99</v>
      </c>
      <c r="B42" s="149" t="s">
        <v>391</v>
      </c>
      <c r="C42" s="1074">
        <f>SUM(hivatal7!F42+hivatal7!I42+hivatal7!L42+hivatal8!C42+hivatal8!F42+hivatal8!I42+hivatal8!L42)</f>
        <v>1810000</v>
      </c>
      <c r="D42" s="226">
        <f>SUM(hivatal7!G42+hivatal7!J42+hivatal7!M42+hivatal8!D42+hivatal8!G42+hivatal8!J42+hivatal8!M42)</f>
        <v>216143</v>
      </c>
      <c r="E42" s="228">
        <f>SUM(hivatal7!H42+hivatal7!K42+hivatal7!N42+hivatal8!E42+hivatal8!H42+hivatal8!K42+hivatal8!N42)</f>
        <v>2026143</v>
      </c>
      <c r="F42" s="906">
        <f>'önállóan gazd.'!O42</f>
        <v>0</v>
      </c>
      <c r="G42" s="139">
        <f>'önállóan gazd.'!P42</f>
        <v>0</v>
      </c>
      <c r="H42" s="885">
        <f>'önállóan gazd.'!Q42</f>
        <v>0</v>
      </c>
      <c r="I42" s="1158">
        <f aca="true" t="shared" si="14" ref="I42:K43">SUM(C42+F42)</f>
        <v>1810000</v>
      </c>
      <c r="J42" s="299">
        <f t="shared" si="14"/>
        <v>216143</v>
      </c>
      <c r="K42" s="1211">
        <f t="shared" si="14"/>
        <v>2026143</v>
      </c>
      <c r="L42" s="357"/>
    </row>
    <row r="43" spans="1:12" s="268" customFormat="1" ht="15">
      <c r="A43" s="153" t="s">
        <v>100</v>
      </c>
      <c r="B43" s="149" t="s">
        <v>392</v>
      </c>
      <c r="C43" s="1074">
        <f>SUM(hivatal7!F43+hivatal7!I43+hivatal7!L43+hivatal8!C43+hivatal8!F43+hivatal8!I43+hivatal8!L43)</f>
        <v>4504967</v>
      </c>
      <c r="D43" s="226">
        <f>SUM(hivatal7!G43+hivatal7!J43+hivatal7!M43+hivatal8!D43+hivatal8!G43+hivatal8!J43+hivatal8!M43)</f>
        <v>253757</v>
      </c>
      <c r="E43" s="228">
        <f>SUM(hivatal7!H43+hivatal7!K43+hivatal7!N43+hivatal8!E43+hivatal8!H43+hivatal8!K43+hivatal8!N43)</f>
        <v>4758724</v>
      </c>
      <c r="F43" s="906">
        <f>'önállóan gazd.'!O43</f>
        <v>0</v>
      </c>
      <c r="G43" s="139">
        <f>'önállóan gazd.'!P43</f>
        <v>0</v>
      </c>
      <c r="H43" s="885">
        <f>'önállóan gazd.'!Q43</f>
        <v>0</v>
      </c>
      <c r="I43" s="1158">
        <f t="shared" si="14"/>
        <v>4504967</v>
      </c>
      <c r="J43" s="299">
        <f t="shared" si="14"/>
        <v>253757</v>
      </c>
      <c r="K43" s="1211">
        <f t="shared" si="14"/>
        <v>4758724</v>
      </c>
      <c r="L43" s="429"/>
    </row>
    <row r="44" spans="1:12" s="88" customFormat="1" ht="15.75" thickBot="1">
      <c r="A44" s="154" t="s">
        <v>101</v>
      </c>
      <c r="B44" s="155" t="s">
        <v>175</v>
      </c>
      <c r="C44" s="1155">
        <f>SUM(hivatal7!F44+hivatal7!I44+hivatal7!L44+hivatal8!C44+hivatal8!F44+hivatal8!I44+hivatal8!L44)</f>
        <v>25702</v>
      </c>
      <c r="D44" s="434">
        <f>SUM(hivatal7!G44+hivatal7!J44+hivatal7!M44+hivatal8!D44+hivatal8!G44+hivatal8!J44+hivatal8!M44)</f>
        <v>1262</v>
      </c>
      <c r="E44" s="1152">
        <f>SUM(hivatal7!H44+hivatal7!K44+hivatal7!N44+hivatal8!E44+hivatal8!H44+hivatal8!K44+hivatal8!N44)</f>
        <v>26964</v>
      </c>
      <c r="F44" s="907">
        <f>'önállóan gazd.'!O44</f>
        <v>65</v>
      </c>
      <c r="G44" s="151">
        <f>'önállóan gazd.'!P44</f>
        <v>5</v>
      </c>
      <c r="H44" s="886">
        <f>'önállóan gazd.'!Q44</f>
        <v>70</v>
      </c>
      <c r="I44" s="1159">
        <f>SUM(C44+F44)</f>
        <v>25767</v>
      </c>
      <c r="J44" s="300">
        <f>SUM(D44+G44)</f>
        <v>1267</v>
      </c>
      <c r="K44" s="1213">
        <f>SUM(E44+H44)</f>
        <v>27034</v>
      </c>
      <c r="L44" s="357"/>
    </row>
    <row r="45" spans="1:12" s="200" customFormat="1" ht="16.5" thickBot="1">
      <c r="A45" s="313">
        <v>2</v>
      </c>
      <c r="B45" s="305" t="s">
        <v>176</v>
      </c>
      <c r="C45" s="1094">
        <f>SUM(C41:C44)</f>
        <v>6340669</v>
      </c>
      <c r="D45" s="290">
        <f aca="true" t="shared" si="15" ref="D45:K45">SUM(D41:D44)</f>
        <v>471162</v>
      </c>
      <c r="E45" s="432">
        <f>SUM(E41:E44)</f>
        <v>6811831</v>
      </c>
      <c r="F45" s="1094">
        <f t="shared" si="15"/>
        <v>65</v>
      </c>
      <c r="G45" s="290">
        <f>SUM(G41:G44)</f>
        <v>5</v>
      </c>
      <c r="H45" s="432">
        <f t="shared" si="15"/>
        <v>70</v>
      </c>
      <c r="I45" s="1094">
        <f t="shared" si="15"/>
        <v>6340734</v>
      </c>
      <c r="J45" s="290">
        <f t="shared" si="15"/>
        <v>471167</v>
      </c>
      <c r="K45" s="1256">
        <f t="shared" si="15"/>
        <v>6811901</v>
      </c>
      <c r="L45" s="427"/>
    </row>
    <row r="46" spans="1:12" s="200" customFormat="1" ht="16.5" thickBot="1">
      <c r="A46" s="313">
        <v>3</v>
      </c>
      <c r="B46" s="305" t="s">
        <v>264</v>
      </c>
      <c r="C46" s="347">
        <f>SUM(hivatal7!F46+hivatal7!I46+hivatal7!L46+hivatal8!C46+hivatal8!F46+hivatal8!I46+hivatal8!L46)</f>
        <v>790404</v>
      </c>
      <c r="D46" s="314">
        <f>SUM(hivatal7!G46+hivatal7!J46+hivatal7!M46+hivatal8!D46+hivatal8!G46+hivatal8!J46+hivatal8!M46)</f>
        <v>-7218</v>
      </c>
      <c r="E46" s="320">
        <f>SUM(hivatal7!H46+hivatal7!K46+hivatal7!N46+hivatal8!E46+hivatal8!H46+hivatal8!K46+hivatal8!N46)</f>
        <v>783186</v>
      </c>
      <c r="F46" s="1077">
        <f>'önállóan gazd.'!O46</f>
        <v>553230</v>
      </c>
      <c r="G46" s="768">
        <f>'önállóan gazd.'!P46</f>
        <v>85022</v>
      </c>
      <c r="H46" s="1156">
        <f>'önállóan gazd.'!Q46</f>
        <v>638252</v>
      </c>
      <c r="I46" s="1094">
        <f aca="true" t="shared" si="16" ref="I46:K50">SUM(C46+F46)</f>
        <v>1343634</v>
      </c>
      <c r="J46" s="290">
        <f t="shared" si="16"/>
        <v>77804</v>
      </c>
      <c r="K46" s="1256">
        <f t="shared" si="16"/>
        <v>1421438</v>
      </c>
      <c r="L46" s="427"/>
    </row>
    <row r="47" spans="1:12" s="200" customFormat="1" ht="16.5" thickBot="1">
      <c r="A47" s="313">
        <v>4</v>
      </c>
      <c r="B47" s="436" t="s">
        <v>285</v>
      </c>
      <c r="C47" s="1145">
        <f>SUM(hivatal7!F47+hivatal7!I47+hivatal7!L47+hivatal8!C47+hivatal8!F47+hivatal8!I47+hivatal8!L47)</f>
        <v>361</v>
      </c>
      <c r="D47" s="803">
        <f>SUM(hivatal7!G47+hivatal7!J47+hivatal7!M47+hivatal8!D47+hivatal8!G47+hivatal8!J47+hivatal8!M47)</f>
        <v>14224</v>
      </c>
      <c r="E47" s="924">
        <f>SUM(hivatal7!H47+hivatal7!K47+hivatal7!N47+hivatal8!E47+hivatal8!H47+hivatal8!K47+hivatal8!N47)</f>
        <v>14585</v>
      </c>
      <c r="F47" s="347">
        <f>'önállóan gazd.'!O47</f>
        <v>0</v>
      </c>
      <c r="G47" s="314">
        <f>'önállóan gazd.'!P47</f>
        <v>0</v>
      </c>
      <c r="H47" s="320">
        <f>'önállóan gazd.'!Q47</f>
        <v>0</v>
      </c>
      <c r="I47" s="1160">
        <f t="shared" si="16"/>
        <v>361</v>
      </c>
      <c r="J47" s="342">
        <f t="shared" si="16"/>
        <v>14224</v>
      </c>
      <c r="K47" s="1215">
        <f t="shared" si="16"/>
        <v>14585</v>
      </c>
      <c r="L47" s="427"/>
    </row>
    <row r="48" spans="1:12" s="760" customFormat="1" ht="15">
      <c r="A48" s="156" t="s">
        <v>98</v>
      </c>
      <c r="B48" s="437" t="s">
        <v>291</v>
      </c>
      <c r="C48" s="306">
        <f>SUM(hivatal7!F48+hivatal7!I48+hivatal7!L48+hivatal8!C48+hivatal8!F48+hivatal8!I48+hivatal8!L48)</f>
        <v>2066600</v>
      </c>
      <c r="D48" s="226">
        <f>SUM(hivatal7!G48+hivatal7!J48+hivatal7!M48+hivatal8!D48+hivatal8!G48+hivatal8!J48+hivatal8!M48)</f>
        <v>-2063488</v>
      </c>
      <c r="E48" s="239">
        <f>SUM(hivatal7!H48+hivatal7!K48+hivatal7!N48+hivatal8!E48+hivatal8!H48+hivatal8!K48+hivatal8!N48)</f>
        <v>3112</v>
      </c>
      <c r="F48" s="1074">
        <f>'önállóan gazd.'!O48</f>
        <v>0</v>
      </c>
      <c r="G48" s="226">
        <f>'önállóan gazd.'!P48</f>
        <v>0</v>
      </c>
      <c r="H48" s="887">
        <f>'önállóan gazd.'!Q48</f>
        <v>0</v>
      </c>
      <c r="I48" s="1092">
        <f t="shared" si="16"/>
        <v>2066600</v>
      </c>
      <c r="J48" s="301">
        <f t="shared" si="16"/>
        <v>-2063488</v>
      </c>
      <c r="K48" s="1214">
        <f t="shared" si="16"/>
        <v>3112</v>
      </c>
      <c r="L48" s="761"/>
    </row>
    <row r="49" spans="1:12" s="88" customFormat="1" ht="15">
      <c r="A49" s="154" t="s">
        <v>99</v>
      </c>
      <c r="B49" s="334" t="s">
        <v>393</v>
      </c>
      <c r="C49" s="306">
        <f>SUM(hivatal7!F49+hivatal7!I49+hivatal7!L49+hivatal8!C49+hivatal8!F49+hivatal8!I49+hivatal8!L49)</f>
        <v>0</v>
      </c>
      <c r="D49" s="226">
        <f>SUM(hivatal7!G49+hivatal7!J49+hivatal7!M49+hivatal8!D49+hivatal8!G49+hivatal8!J49+hivatal8!M49)</f>
        <v>0</v>
      </c>
      <c r="E49" s="239">
        <f>SUM(hivatal7!H49+hivatal7!K49+hivatal7!N49+hivatal8!E49+hivatal8!H49+hivatal8!K49+hivatal8!N49)</f>
        <v>0</v>
      </c>
      <c r="F49" s="906">
        <f>'önállóan gazd.'!O49</f>
        <v>0</v>
      </c>
      <c r="G49" s="139">
        <f>'önállóan gazd.'!P49</f>
        <v>0</v>
      </c>
      <c r="H49" s="885">
        <f>'önállóan gazd.'!Q49</f>
        <v>0</v>
      </c>
      <c r="I49" s="1158">
        <f t="shared" si="16"/>
        <v>0</v>
      </c>
      <c r="J49" s="299">
        <f t="shared" si="16"/>
        <v>0</v>
      </c>
      <c r="K49" s="1211">
        <f t="shared" si="16"/>
        <v>0</v>
      </c>
      <c r="L49" s="357"/>
    </row>
    <row r="50" spans="1:12" s="88" customFormat="1" ht="15.75" thickBot="1">
      <c r="A50" s="154" t="s">
        <v>100</v>
      </c>
      <c r="B50" s="334" t="s">
        <v>426</v>
      </c>
      <c r="C50" s="329">
        <f>SUM(hivatal7!F50+hivatal7!I50+hivatal7!L50+hivatal8!C50+hivatal8!F50+hivatal8!I50+hivatal8!L50)</f>
        <v>542279</v>
      </c>
      <c r="D50" s="321">
        <f>SUM(hivatal7!G50+hivatal7!J50+hivatal7!M50+hivatal8!D50+hivatal8!G50+hivatal8!J50+hivatal8!M50)</f>
        <v>1667021</v>
      </c>
      <c r="E50" s="322">
        <f>SUM(hivatal7!H50+hivatal7!K50+hivatal7!N50+hivatal8!E50+hivatal8!H50+hivatal8!K50+hivatal8!N50)</f>
        <v>2209300</v>
      </c>
      <c r="F50" s="907">
        <f>'önállóan gazd.'!O50</f>
        <v>0</v>
      </c>
      <c r="G50" s="151">
        <f>'önállóan gazd.'!P50</f>
        <v>0</v>
      </c>
      <c r="H50" s="886">
        <f>'önállóan gazd.'!Q50</f>
        <v>0</v>
      </c>
      <c r="I50" s="1158">
        <f t="shared" si="16"/>
        <v>542279</v>
      </c>
      <c r="J50" s="299">
        <f t="shared" si="16"/>
        <v>1667021</v>
      </c>
      <c r="K50" s="1211">
        <f t="shared" si="16"/>
        <v>2209300</v>
      </c>
      <c r="L50" s="357"/>
    </row>
    <row r="51" spans="1:12" s="200" customFormat="1" ht="16.5" thickBot="1">
      <c r="A51" s="313">
        <v>5</v>
      </c>
      <c r="B51" s="436" t="s">
        <v>178</v>
      </c>
      <c r="C51" s="347">
        <f>SUM(C48:C50)</f>
        <v>2608879</v>
      </c>
      <c r="D51" s="314">
        <f>SUM(D48:D50)</f>
        <v>-396467</v>
      </c>
      <c r="E51" s="320">
        <f>SUM(hivatal7!H51+hivatal7!K51+hivatal7!N51+hivatal8!E51+hivatal8!H51+hivatal8!K51+hivatal8!N51)</f>
        <v>2212412</v>
      </c>
      <c r="F51" s="1094">
        <f>'önállóan gazd.'!O51</f>
        <v>0</v>
      </c>
      <c r="G51" s="290">
        <f>'önállóan gazd.'!P51</f>
        <v>0</v>
      </c>
      <c r="H51" s="288">
        <f>'önállóan gazd.'!Q51</f>
        <v>0</v>
      </c>
      <c r="I51" s="1094">
        <f aca="true" t="shared" si="17" ref="I51:K54">SUM(C51+F51)</f>
        <v>2608879</v>
      </c>
      <c r="J51" s="290">
        <f t="shared" si="17"/>
        <v>-396467</v>
      </c>
      <c r="K51" s="1256">
        <f t="shared" si="17"/>
        <v>2212412</v>
      </c>
      <c r="L51" s="427"/>
    </row>
    <row r="52" spans="1:12" s="200" customFormat="1" ht="16.5" thickBot="1">
      <c r="A52" s="765">
        <v>6</v>
      </c>
      <c r="B52" s="767" t="s">
        <v>295</v>
      </c>
      <c r="C52" s="347">
        <f>SUM(hivatal7!F52+hivatal7!I52+hivatal7!L52+hivatal8!C52+hivatal8!F52+hivatal8!I52+hivatal8!L52)</f>
        <v>563991</v>
      </c>
      <c r="D52" s="314">
        <f>SUM(hivatal7!G52+hivatal7!J52+hivatal7!M52+hivatal8!D52+hivatal8!G52+hivatal8!J52+hivatal8!M52)</f>
        <v>-297875</v>
      </c>
      <c r="E52" s="320">
        <f>SUM(hivatal7!H52+hivatal7!K52+hivatal7!N52+hivatal8!E52+hivatal8!H52+hivatal8!K52+hivatal8!N52)</f>
        <v>266116</v>
      </c>
      <c r="F52" s="347">
        <f>'önállóan gazd.'!O52</f>
        <v>1194</v>
      </c>
      <c r="G52" s="314">
        <f>'önállóan gazd.'!P52</f>
        <v>15</v>
      </c>
      <c r="H52" s="320">
        <f>'önállóan gazd.'!Q52</f>
        <v>1209</v>
      </c>
      <c r="I52" s="1095">
        <f t="shared" si="17"/>
        <v>565185</v>
      </c>
      <c r="J52" s="291">
        <f t="shared" si="17"/>
        <v>-297860</v>
      </c>
      <c r="K52" s="1258">
        <f t="shared" si="17"/>
        <v>267325</v>
      </c>
      <c r="L52" s="427"/>
    </row>
    <row r="53" spans="1:12" s="88" customFormat="1" ht="15">
      <c r="A53" s="137" t="s">
        <v>98</v>
      </c>
      <c r="B53" s="438" t="s">
        <v>395</v>
      </c>
      <c r="C53" s="306">
        <f>SUM(hivatal7!F53+hivatal7!I53+hivatal7!L53+hivatal8!C53+hivatal8!F53+hivatal8!I53+hivatal8!L53)</f>
        <v>2956</v>
      </c>
      <c r="D53" s="226">
        <f>SUM(hivatal7!G53+hivatal7!J53+hivatal7!M53+hivatal8!D53+hivatal8!G53+hivatal8!J53+hivatal8!M53)</f>
        <v>-21</v>
      </c>
      <c r="E53" s="239">
        <f>SUM(hivatal7!H53+hivatal7!K53+hivatal7!N53+hivatal8!E53+hivatal8!H53+hivatal8!K53+hivatal8!N53)</f>
        <v>2935</v>
      </c>
      <c r="F53" s="1074">
        <f>'önállóan gazd.'!O53</f>
        <v>0</v>
      </c>
      <c r="G53" s="226">
        <f>'önállóan gazd.'!P53</f>
        <v>0</v>
      </c>
      <c r="H53" s="887">
        <f>'önállóan gazd.'!Q53</f>
        <v>0</v>
      </c>
      <c r="I53" s="1097">
        <f t="shared" si="17"/>
        <v>2956</v>
      </c>
      <c r="J53" s="348">
        <f t="shared" si="17"/>
        <v>-21</v>
      </c>
      <c r="K53" s="1216">
        <f t="shared" si="17"/>
        <v>2935</v>
      </c>
      <c r="L53" s="357"/>
    </row>
    <row r="54" spans="1:12" s="88" customFormat="1" ht="15.75" thickBot="1">
      <c r="A54" s="335" t="s">
        <v>99</v>
      </c>
      <c r="B54" s="437" t="s">
        <v>396</v>
      </c>
      <c r="C54" s="329">
        <f>SUM(hivatal7!F54+hivatal7!I54+hivatal7!L54+hivatal8!C54+hivatal8!F54+hivatal8!I54+hivatal8!L54)</f>
        <v>0</v>
      </c>
      <c r="D54" s="321">
        <f>SUM(hivatal7!G54+hivatal7!J54+hivatal7!M54+hivatal8!D54+hivatal8!G54+hivatal8!J54+hivatal8!M54)</f>
        <v>0</v>
      </c>
      <c r="E54" s="322">
        <f>SUM(hivatal7!H54+hivatal7!K54+hivatal7!N54+hivatal8!E54+hivatal8!H54+hivatal8!K54+hivatal8!N54)</f>
        <v>0</v>
      </c>
      <c r="F54" s="907">
        <f>'önállóan gazd.'!O54</f>
        <v>0</v>
      </c>
      <c r="G54" s="151">
        <f>'önállóan gazd.'!P54</f>
        <v>0</v>
      </c>
      <c r="H54" s="886">
        <f>'önállóan gazd.'!Q54</f>
        <v>0</v>
      </c>
      <c r="I54" s="1093">
        <f t="shared" si="17"/>
        <v>0</v>
      </c>
      <c r="J54" s="328">
        <f t="shared" si="17"/>
        <v>0</v>
      </c>
      <c r="K54" s="1212">
        <f t="shared" si="17"/>
        <v>0</v>
      </c>
      <c r="L54" s="357"/>
    </row>
    <row r="55" spans="1:12" s="200" customFormat="1" ht="17.25" customHeight="1" thickBot="1">
      <c r="A55" s="313">
        <v>7</v>
      </c>
      <c r="B55" s="436" t="s">
        <v>181</v>
      </c>
      <c r="C55" s="347">
        <f>SUM(C53:C54)</f>
        <v>2956</v>
      </c>
      <c r="D55" s="314">
        <f>SUM(hivatal7!G55+hivatal7!J55+hivatal7!M55+hivatal8!D55+hivatal8!G55+hivatal8!J55+hivatal8!M55)</f>
        <v>-21</v>
      </c>
      <c r="E55" s="320">
        <f>SUM(hivatal7!H55+hivatal7!K55+hivatal7!N55+hivatal8!E55+hivatal8!H55+hivatal8!K55+hivatal8!N55)</f>
        <v>2935</v>
      </c>
      <c r="F55" s="1094">
        <f>'önállóan gazd.'!O55</f>
        <v>0</v>
      </c>
      <c r="G55" s="290">
        <f>'önállóan gazd.'!P55</f>
        <v>0</v>
      </c>
      <c r="H55" s="288">
        <f>'önállóan gazd.'!Q55</f>
        <v>0</v>
      </c>
      <c r="I55" s="1094">
        <f>SUM(C55+F55)</f>
        <v>2956</v>
      </c>
      <c r="J55" s="290">
        <f>SUM(D55+G55)</f>
        <v>-21</v>
      </c>
      <c r="K55" s="1256">
        <f>SUM(E55+H55)</f>
        <v>2935</v>
      </c>
      <c r="L55" s="427"/>
    </row>
    <row r="56" spans="1:12" s="268" customFormat="1" ht="19.5" customHeight="1" thickBot="1">
      <c r="A56" s="716">
        <v>8</v>
      </c>
      <c r="B56" s="717" t="s">
        <v>427</v>
      </c>
      <c r="C56" s="1110">
        <f>C34-C40-C45-C46-C47-C51-C52-C55-C57-C58-C59</f>
        <v>-5495646</v>
      </c>
      <c r="D56" s="1111">
        <f>D34-D40-D45-D46-D47-D51-D52-D55-D57-D58-D59</f>
        <v>20195</v>
      </c>
      <c r="E56" s="1108">
        <f aca="true" t="shared" si="18" ref="E56:K56">E34-E40-E45-E46-E47-E51-E52-E55-E57-E58-E59</f>
        <v>-5475451</v>
      </c>
      <c r="F56" s="1110">
        <f t="shared" si="18"/>
        <v>5495646</v>
      </c>
      <c r="G56" s="1111">
        <f t="shared" si="18"/>
        <v>-20195</v>
      </c>
      <c r="H56" s="1108">
        <f t="shared" si="18"/>
        <v>5475451</v>
      </c>
      <c r="I56" s="1133">
        <f t="shared" si="18"/>
        <v>0</v>
      </c>
      <c r="J56" s="1135">
        <f t="shared" si="18"/>
        <v>0</v>
      </c>
      <c r="K56" s="1123">
        <f t="shared" si="18"/>
        <v>0</v>
      </c>
      <c r="L56" s="429"/>
    </row>
    <row r="57" spans="1:12" s="200" customFormat="1" ht="15.75">
      <c r="A57" s="336" t="s">
        <v>398</v>
      </c>
      <c r="B57" s="337" t="s">
        <v>184</v>
      </c>
      <c r="C57" s="306">
        <f>SUM(hivatal7!F57+hivatal7!I57+hivatal7!L57+hivatal8!C57+hivatal8!F57+hivatal8!I57+hivatal8!L57)</f>
        <v>3696607</v>
      </c>
      <c r="D57" s="226">
        <f>SUM(hivatal7!G57+hivatal7!J57+hivatal7!M57+hivatal8!D57+hivatal8!G57+hivatal8!J57+hivatal8!M57)</f>
        <v>0</v>
      </c>
      <c r="E57" s="239">
        <f>SUM(hivatal7!H57+hivatal7!K57+hivatal7!N57+hivatal8!E57+hivatal8!H57+hivatal8!K57+hivatal8!N57)</f>
        <v>3696607</v>
      </c>
      <c r="F57" s="906">
        <f>'önállóan gazd.'!O57</f>
        <v>10865</v>
      </c>
      <c r="G57" s="139">
        <f>'önállóan gazd.'!P57</f>
        <v>0</v>
      </c>
      <c r="H57" s="885">
        <f>'önállóan gazd.'!Q57</f>
        <v>10865</v>
      </c>
      <c r="I57" s="1161">
        <f aca="true" t="shared" si="19" ref="I57:K59">SUM(C57+F57)</f>
        <v>3707472</v>
      </c>
      <c r="J57" s="1164">
        <f t="shared" si="19"/>
        <v>0</v>
      </c>
      <c r="K57" s="805">
        <f t="shared" si="19"/>
        <v>3707472</v>
      </c>
      <c r="L57" s="427"/>
    </row>
    <row r="58" spans="1:12" s="200" customFormat="1" ht="15.75">
      <c r="A58" s="336" t="s">
        <v>183</v>
      </c>
      <c r="B58" s="337" t="s">
        <v>397</v>
      </c>
      <c r="C58" s="226">
        <f>SUM(hivatal7!F58+hivatal7!I58+hivatal7!L58+hivatal8!C58+hivatal8!F58+hivatal8!I58+hivatal8!L58)</f>
        <v>2000000</v>
      </c>
      <c r="D58" s="226">
        <f>SUM(hivatal7!G58+hivatal7!J58+hivatal7!M58+hivatal8!D58+hivatal8!G58+hivatal8!J58+hivatal8!M58)</f>
        <v>72111</v>
      </c>
      <c r="E58" s="226">
        <f>SUM(hivatal7!H58+hivatal7!K58+hivatal7!N58+hivatal8!E58+hivatal8!H58+hivatal8!K58+hivatal8!N58)</f>
        <v>2072111</v>
      </c>
      <c r="F58" s="906">
        <f>'önállóan gazd.'!O58</f>
        <v>0</v>
      </c>
      <c r="G58" s="139">
        <f>'önállóan gazd.'!P58</f>
        <v>0</v>
      </c>
      <c r="H58" s="885">
        <f>'önállóan gazd.'!Q58</f>
        <v>0</v>
      </c>
      <c r="I58" s="1162">
        <f t="shared" si="19"/>
        <v>2000000</v>
      </c>
      <c r="J58" s="292">
        <f t="shared" si="19"/>
        <v>72111</v>
      </c>
      <c r="K58" s="440">
        <f t="shared" si="19"/>
        <v>2072111</v>
      </c>
      <c r="L58" s="427"/>
    </row>
    <row r="59" spans="1:12" s="200" customFormat="1" ht="16.5" thickBot="1">
      <c r="A59" s="351">
        <v>10</v>
      </c>
      <c r="B59" s="352"/>
      <c r="C59" s="441">
        <f>SUM(hivatal7!F59+hivatal7!I59+hivatal7!L59+hivatal8!C59+hivatal8!F59+hivatal8!I59+hivatal8!L59)</f>
        <v>0</v>
      </c>
      <c r="D59" s="442">
        <f>SUM(hivatal7!G59+hivatal7!J59+hivatal7!M59+hivatal8!D59+hivatal8!G59+hivatal8!J59+hivatal8!M59)</f>
        <v>0</v>
      </c>
      <c r="E59" s="443">
        <f>SUM(hivatal7!H59+hivatal7!K59+hivatal7!N59+hivatal8!E59+hivatal8!H59+hivatal8!K59+hivatal8!N59)</f>
        <v>0</v>
      </c>
      <c r="F59" s="441">
        <f>'önállóan gazd.'!O59</f>
        <v>0</v>
      </c>
      <c r="G59" s="442">
        <f>'önállóan gazd.'!P59</f>
        <v>0</v>
      </c>
      <c r="H59" s="443">
        <f>'önállóan gazd.'!Q59</f>
        <v>0</v>
      </c>
      <c r="I59" s="444">
        <f t="shared" si="19"/>
        <v>0</v>
      </c>
      <c r="J59" s="445">
        <f t="shared" si="19"/>
        <v>0</v>
      </c>
      <c r="K59" s="446">
        <f t="shared" si="19"/>
        <v>0</v>
      </c>
      <c r="L59" s="427"/>
    </row>
    <row r="60" spans="1:12" s="152" customFormat="1" ht="17.25" thickBot="1" thickTop="1">
      <c r="A60" s="343" t="s">
        <v>109</v>
      </c>
      <c r="B60" s="345" t="s">
        <v>182</v>
      </c>
      <c r="C60" s="377">
        <f>C40+C45+C46+C47+C51+C52+C55+C56+C57+C58+C59</f>
        <v>12738871</v>
      </c>
      <c r="D60" s="378">
        <f aca="true" t="shared" si="20" ref="D60:I60">D40+D45+D46+D47+D51+D52+D55+D56+D57+D58+D59</f>
        <v>382505</v>
      </c>
      <c r="E60" s="448">
        <f t="shared" si="20"/>
        <v>13121376</v>
      </c>
      <c r="F60" s="447">
        <f t="shared" si="20"/>
        <v>6081074</v>
      </c>
      <c r="G60" s="781">
        <f t="shared" si="20"/>
        <v>65970</v>
      </c>
      <c r="H60" s="448">
        <f t="shared" si="20"/>
        <v>6147044</v>
      </c>
      <c r="I60" s="377">
        <f t="shared" si="20"/>
        <v>18819945</v>
      </c>
      <c r="J60" s="378">
        <f>J40+J45+J46+J47+J51+J52+J55+J56+J57+J58+J59</f>
        <v>448475</v>
      </c>
      <c r="K60" s="782">
        <f>K40+K45+K46+K47+K51+K52+K55+K56+K57+K58+K59</f>
        <v>19268420</v>
      </c>
      <c r="L60" s="427"/>
    </row>
    <row r="61" spans="1:12" s="88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804"/>
      <c r="J61" s="804"/>
      <c r="K61" s="165"/>
      <c r="L61" s="357"/>
    </row>
    <row r="62" spans="1:12" s="88" customFormat="1" ht="17.25" thickBot="1" thickTop="1">
      <c r="A62" s="167"/>
      <c r="B62" s="168" t="s">
        <v>579</v>
      </c>
      <c r="C62" s="287">
        <f>SUM(hivatal7!F62+hivatal7!I62+hivatal7!L62+hivatal8!C62+hivatal8!F62+hivatal8!I62)</f>
        <v>33</v>
      </c>
      <c r="D62" s="287">
        <f>SUM(hivatal7!G62+hivatal7!J62+hivatal7!M62+hivatal8!D62+hivatal8!G62+hivatal8!J62)</f>
        <v>0</v>
      </c>
      <c r="E62" s="287">
        <f>SUM(hivatal7!H62+hivatal7!K62+hivatal7!N62+hivatal8!E62+hivatal8!H62+hivatal8!K62)</f>
        <v>33</v>
      </c>
      <c r="F62" s="449">
        <f>'önállóan gazd.'!O62</f>
        <v>814</v>
      </c>
      <c r="G62" s="450">
        <f>'önállóan gazd.'!P62</f>
        <v>0</v>
      </c>
      <c r="H62" s="451">
        <f>'önállóan gazd.'!Q62</f>
        <v>814</v>
      </c>
      <c r="I62" s="449">
        <f aca="true" t="shared" si="21" ref="I62:K63">SUM(C62+F62)</f>
        <v>847</v>
      </c>
      <c r="J62" s="452">
        <f t="shared" si="21"/>
        <v>0</v>
      </c>
      <c r="K62" s="453">
        <f t="shared" si="21"/>
        <v>847</v>
      </c>
      <c r="L62" s="357"/>
    </row>
    <row r="63" spans="1:12" s="88" customFormat="1" ht="17.25" thickBot="1" thickTop="1">
      <c r="A63" s="167"/>
      <c r="B63" s="168" t="s">
        <v>580</v>
      </c>
      <c r="C63" s="287">
        <f>SUM(hivatal7!F63+hivatal7!I63+hivatal7!L63+hivatal8!C63+hivatal8!F63+hivatal8!I63)</f>
        <v>15</v>
      </c>
      <c r="D63" s="287">
        <f>SUM(hivatal7!G63+hivatal7!J63+hivatal7!M63+hivatal8!D63+hivatal8!G63+hivatal8!J63)</f>
        <v>0</v>
      </c>
      <c r="E63" s="287">
        <f>SUM(hivatal7!H63+hivatal7!K63+hivatal7!N63+hivatal8!E63+hivatal8!H63+hivatal8!K63)</f>
        <v>15</v>
      </c>
      <c r="F63" s="449">
        <f>'önállóan gazd.'!O63</f>
        <v>0</v>
      </c>
      <c r="G63" s="450">
        <f>'önállóan gazd.'!P63</f>
        <v>0</v>
      </c>
      <c r="H63" s="451">
        <f>'önállóan gazd.'!Q63</f>
        <v>0</v>
      </c>
      <c r="I63" s="454">
        <f t="shared" si="21"/>
        <v>15</v>
      </c>
      <c r="J63" s="455">
        <f t="shared" si="21"/>
        <v>0</v>
      </c>
      <c r="K63" s="456">
        <f t="shared" si="21"/>
        <v>15</v>
      </c>
      <c r="L63" s="357"/>
    </row>
    <row r="64" spans="1:12" s="88" customFormat="1" ht="16.5" thickTop="1">
      <c r="A64" s="418"/>
      <c r="D64" s="1495"/>
      <c r="E64" s="760"/>
      <c r="F64" s="760"/>
      <c r="G64" s="760"/>
      <c r="L64" s="357"/>
    </row>
    <row r="65" spans="1:12" s="88" customFormat="1" ht="15.75">
      <c r="A65" s="418"/>
      <c r="C65" s="105">
        <f>SUM(C36:C59)</f>
        <v>23922025</v>
      </c>
      <c r="D65" s="760"/>
      <c r="E65" s="760"/>
      <c r="F65" s="760"/>
      <c r="G65" s="1495"/>
      <c r="J65" s="105">
        <f>SUM(J36:J55)+J58</f>
        <v>1030671</v>
      </c>
      <c r="L65" s="357"/>
    </row>
    <row r="66" spans="1:12" s="88" customFormat="1" ht="12.75">
      <c r="A66" s="419"/>
      <c r="D66" s="760"/>
      <c r="E66" s="760"/>
      <c r="F66" s="760"/>
      <c r="G66" s="760"/>
      <c r="L66" s="357"/>
    </row>
    <row r="67" spans="1:12" s="88" customFormat="1" ht="12.75">
      <c r="A67" s="419"/>
      <c r="D67" s="760"/>
      <c r="E67" s="760"/>
      <c r="F67" s="760"/>
      <c r="G67" s="760"/>
      <c r="L67" s="357"/>
    </row>
    <row r="68" spans="1:12" s="88" customFormat="1" ht="12.75">
      <c r="A68" s="419"/>
      <c r="D68" s="760"/>
      <c r="E68" s="760"/>
      <c r="F68" s="760"/>
      <c r="G68" s="760"/>
      <c r="L68" s="357"/>
    </row>
    <row r="69" spans="1:12" s="88" customFormat="1" ht="12.75">
      <c r="A69" s="419"/>
      <c r="D69" s="760"/>
      <c r="E69" s="760"/>
      <c r="F69" s="760"/>
      <c r="G69" s="760"/>
      <c r="L69" s="357"/>
    </row>
    <row r="70" spans="1:12" s="88" customFormat="1" ht="12.75">
      <c r="A70" s="419"/>
      <c r="D70" s="760"/>
      <c r="E70" s="760"/>
      <c r="F70" s="760"/>
      <c r="G70" s="760"/>
      <c r="L70" s="357"/>
    </row>
    <row r="71" spans="1:12" s="88" customFormat="1" ht="12.75">
      <c r="A71" s="419"/>
      <c r="D71" s="760"/>
      <c r="E71" s="760"/>
      <c r="F71" s="760"/>
      <c r="G71" s="760"/>
      <c r="L71" s="357"/>
    </row>
    <row r="72" spans="1:12" s="88" customFormat="1" ht="12.75">
      <c r="A72" s="419"/>
      <c r="D72" s="760"/>
      <c r="E72" s="760"/>
      <c r="F72" s="760"/>
      <c r="G72" s="760"/>
      <c r="L72" s="357"/>
    </row>
    <row r="73" spans="1:12" s="88" customFormat="1" ht="12.75">
      <c r="A73" s="419"/>
      <c r="D73" s="760"/>
      <c r="E73" s="760"/>
      <c r="F73" s="760"/>
      <c r="G73" s="760"/>
      <c r="L73" s="357"/>
    </row>
    <row r="74" spans="1:12" s="88" customFormat="1" ht="12.75">
      <c r="A74" s="419"/>
      <c r="D74" s="760"/>
      <c r="E74" s="760"/>
      <c r="F74" s="760"/>
      <c r="G74" s="760"/>
      <c r="L74" s="357"/>
    </row>
    <row r="75" spans="1:12" s="88" customFormat="1" ht="12.75">
      <c r="A75" s="419"/>
      <c r="D75" s="760"/>
      <c r="E75" s="760"/>
      <c r="F75" s="760"/>
      <c r="G75" s="760"/>
      <c r="L75" s="357"/>
    </row>
    <row r="76" spans="1:12" s="88" customFormat="1" ht="12.75">
      <c r="A76" s="419"/>
      <c r="D76" s="760"/>
      <c r="E76" s="760"/>
      <c r="F76" s="760"/>
      <c r="G76" s="760"/>
      <c r="L76" s="357"/>
    </row>
    <row r="77" spans="1:12" s="88" customFormat="1" ht="12.75">
      <c r="A77" s="419"/>
      <c r="D77" s="760"/>
      <c r="E77" s="760"/>
      <c r="F77" s="760"/>
      <c r="G77" s="760"/>
      <c r="L77" s="357"/>
    </row>
    <row r="78" spans="1:12" s="88" customFormat="1" ht="12.75">
      <c r="A78" s="419"/>
      <c r="D78" s="760"/>
      <c r="E78" s="760"/>
      <c r="F78" s="760"/>
      <c r="G78" s="760"/>
      <c r="L78" s="357"/>
    </row>
    <row r="79" spans="1:12" s="88" customFormat="1" ht="12.75">
      <c r="A79" s="419"/>
      <c r="D79" s="760"/>
      <c r="E79" s="760"/>
      <c r="F79" s="760"/>
      <c r="G79" s="760"/>
      <c r="L79" s="357"/>
    </row>
    <row r="80" spans="1:12" s="88" customFormat="1" ht="12.75">
      <c r="A80" s="419"/>
      <c r="D80" s="760"/>
      <c r="E80" s="760"/>
      <c r="F80" s="760"/>
      <c r="G80" s="760"/>
      <c r="L80" s="357"/>
    </row>
    <row r="81" spans="1:12" s="88" customFormat="1" ht="12.75">
      <c r="A81" s="419"/>
      <c r="D81" s="760"/>
      <c r="E81" s="760"/>
      <c r="F81" s="760"/>
      <c r="G81" s="760"/>
      <c r="L81" s="357"/>
    </row>
    <row r="82" spans="1:12" s="88" customFormat="1" ht="12.75">
      <c r="A82" s="419"/>
      <c r="D82" s="760"/>
      <c r="E82" s="760"/>
      <c r="F82" s="760"/>
      <c r="G82" s="760"/>
      <c r="L82" s="357"/>
    </row>
    <row r="83" spans="1:12" s="88" customFormat="1" ht="12.75">
      <c r="A83" s="419"/>
      <c r="D83" s="760"/>
      <c r="E83" s="760"/>
      <c r="F83" s="760"/>
      <c r="G83" s="760"/>
      <c r="L83" s="357"/>
    </row>
    <row r="84" spans="1:12" s="88" customFormat="1" ht="12.75">
      <c r="A84" s="419"/>
      <c r="D84" s="760"/>
      <c r="E84" s="760"/>
      <c r="F84" s="760"/>
      <c r="G84" s="760"/>
      <c r="L84" s="357"/>
    </row>
    <row r="85" spans="1:12" s="88" customFormat="1" ht="12.75">
      <c r="A85" s="419"/>
      <c r="D85" s="760"/>
      <c r="E85" s="760"/>
      <c r="F85" s="760"/>
      <c r="G85" s="760"/>
      <c r="L85" s="357"/>
    </row>
    <row r="86" spans="1:12" s="88" customFormat="1" ht="12.75">
      <c r="A86" s="419"/>
      <c r="D86" s="760"/>
      <c r="E86" s="760"/>
      <c r="F86" s="760"/>
      <c r="G86" s="760"/>
      <c r="L86" s="357"/>
    </row>
    <row r="87" spans="1:12" s="88" customFormat="1" ht="12.75">
      <c r="A87" s="419"/>
      <c r="D87" s="760"/>
      <c r="E87" s="760"/>
      <c r="F87" s="760"/>
      <c r="G87" s="760"/>
      <c r="L87" s="357"/>
    </row>
    <row r="88" spans="1:12" s="88" customFormat="1" ht="12.75">
      <c r="A88" s="419"/>
      <c r="D88" s="760"/>
      <c r="E88" s="760"/>
      <c r="F88" s="760"/>
      <c r="G88" s="760"/>
      <c r="L88" s="357"/>
    </row>
    <row r="89" spans="1:12" s="88" customFormat="1" ht="12.75">
      <c r="A89" s="419"/>
      <c r="D89" s="760"/>
      <c r="E89" s="760"/>
      <c r="F89" s="760"/>
      <c r="G89" s="760"/>
      <c r="L89" s="357"/>
    </row>
    <row r="90" spans="1:12" s="88" customFormat="1" ht="12.75">
      <c r="A90" s="419"/>
      <c r="D90" s="760"/>
      <c r="E90" s="760"/>
      <c r="F90" s="760"/>
      <c r="G90" s="760"/>
      <c r="L90" s="357"/>
    </row>
    <row r="91" spans="1:21" s="88" customFormat="1" ht="12.75">
      <c r="A91" s="419"/>
      <c r="D91" s="760"/>
      <c r="E91" s="760"/>
      <c r="F91" s="760"/>
      <c r="G91" s="760"/>
      <c r="L91" s="357"/>
      <c r="M91" s="357"/>
      <c r="N91" s="357"/>
      <c r="O91" s="357"/>
      <c r="P91" s="357"/>
      <c r="Q91" s="357"/>
      <c r="R91" s="357"/>
      <c r="S91" s="357"/>
      <c r="T91" s="357"/>
      <c r="U91" s="357"/>
    </row>
    <row r="92" spans="1:21" s="88" customFormat="1" ht="12.75">
      <c r="A92" s="419"/>
      <c r="D92" s="760"/>
      <c r="E92" s="760"/>
      <c r="F92" s="760"/>
      <c r="G92" s="760"/>
      <c r="L92" s="357"/>
      <c r="M92" s="357"/>
      <c r="N92" s="357"/>
      <c r="O92" s="357"/>
      <c r="P92" s="357"/>
      <c r="Q92" s="357"/>
      <c r="R92" s="357"/>
      <c r="S92" s="357"/>
      <c r="T92" s="357"/>
      <c r="U92" s="357"/>
    </row>
    <row r="93" spans="1:21" s="88" customFormat="1" ht="12.75">
      <c r="A93" s="419"/>
      <c r="D93" s="760"/>
      <c r="E93" s="760"/>
      <c r="F93" s="760"/>
      <c r="G93" s="760"/>
      <c r="L93" s="357"/>
      <c r="M93" s="357"/>
      <c r="N93" s="357"/>
      <c r="O93" s="357"/>
      <c r="P93" s="357"/>
      <c r="Q93" s="357"/>
      <c r="R93" s="357"/>
      <c r="S93" s="357"/>
      <c r="T93" s="357"/>
      <c r="U93" s="357"/>
    </row>
    <row r="94" spans="1:21" s="88" customFormat="1" ht="12.75">
      <c r="A94" s="419"/>
      <c r="D94" s="760"/>
      <c r="E94" s="760"/>
      <c r="F94" s="760"/>
      <c r="G94" s="760"/>
      <c r="L94" s="357"/>
      <c r="M94" s="357"/>
      <c r="N94" s="357"/>
      <c r="O94" s="357"/>
      <c r="P94" s="357"/>
      <c r="Q94" s="357"/>
      <c r="R94" s="357"/>
      <c r="S94" s="357"/>
      <c r="T94" s="357"/>
      <c r="U94" s="357"/>
    </row>
    <row r="95" spans="1:21" s="88" customFormat="1" ht="12.75">
      <c r="A95" s="419"/>
      <c r="D95" s="760"/>
      <c r="E95" s="760"/>
      <c r="F95" s="760"/>
      <c r="G95" s="760"/>
      <c r="L95" s="357"/>
      <c r="M95" s="357"/>
      <c r="N95" s="357"/>
      <c r="O95" s="357"/>
      <c r="P95" s="357"/>
      <c r="Q95" s="357"/>
      <c r="R95" s="357"/>
      <c r="S95" s="357"/>
      <c r="T95" s="357"/>
      <c r="U95" s="357"/>
    </row>
    <row r="96" spans="1:21" s="88" customFormat="1" ht="12.75">
      <c r="A96" s="419"/>
      <c r="D96" s="760"/>
      <c r="E96" s="760"/>
      <c r="F96" s="760"/>
      <c r="G96" s="760"/>
      <c r="L96" s="357"/>
      <c r="M96" s="357"/>
      <c r="N96" s="357"/>
      <c r="O96" s="357"/>
      <c r="P96" s="357"/>
      <c r="Q96" s="357"/>
      <c r="R96" s="357"/>
      <c r="S96" s="357"/>
      <c r="T96" s="357"/>
      <c r="U96" s="357"/>
    </row>
    <row r="97" spans="1:21" s="88" customFormat="1" ht="12.75">
      <c r="A97" s="419"/>
      <c r="D97" s="760"/>
      <c r="E97" s="760"/>
      <c r="F97" s="760"/>
      <c r="G97" s="760"/>
      <c r="L97" s="357"/>
      <c r="M97" s="357"/>
      <c r="N97" s="357"/>
      <c r="O97" s="357"/>
      <c r="P97" s="357"/>
      <c r="Q97" s="357"/>
      <c r="R97" s="357"/>
      <c r="S97" s="357"/>
      <c r="T97" s="357"/>
      <c r="U97" s="357"/>
    </row>
    <row r="98" spans="1:21" s="88" customFormat="1" ht="12.75">
      <c r="A98" s="419"/>
      <c r="D98" s="760"/>
      <c r="E98" s="760"/>
      <c r="F98" s="760"/>
      <c r="G98" s="760"/>
      <c r="L98" s="357"/>
      <c r="M98" s="357"/>
      <c r="N98" s="357"/>
      <c r="O98" s="357"/>
      <c r="P98" s="357"/>
      <c r="Q98" s="357"/>
      <c r="R98" s="357"/>
      <c r="S98" s="357"/>
      <c r="T98" s="357"/>
      <c r="U98" s="357"/>
    </row>
    <row r="99" spans="1:21" s="88" customFormat="1" ht="12.75">
      <c r="A99" s="419"/>
      <c r="D99" s="760"/>
      <c r="E99" s="760"/>
      <c r="F99" s="760"/>
      <c r="G99" s="760"/>
      <c r="L99" s="357"/>
      <c r="M99" s="357"/>
      <c r="N99" s="357"/>
      <c r="O99" s="357"/>
      <c r="P99" s="357"/>
      <c r="Q99" s="357"/>
      <c r="R99" s="357"/>
      <c r="S99" s="357"/>
      <c r="T99" s="357"/>
      <c r="U99" s="357"/>
    </row>
    <row r="100" spans="1:21" s="88" customFormat="1" ht="12.75">
      <c r="A100" s="419"/>
      <c r="D100" s="760"/>
      <c r="E100" s="760"/>
      <c r="F100" s="760"/>
      <c r="G100" s="760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</row>
    <row r="101" spans="1:21" s="88" customFormat="1" ht="12.75">
      <c r="A101" s="419"/>
      <c r="D101" s="760"/>
      <c r="E101" s="760"/>
      <c r="F101" s="760"/>
      <c r="G101" s="760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</row>
    <row r="102" spans="1:21" s="88" customFormat="1" ht="12.75">
      <c r="A102" s="419"/>
      <c r="D102" s="760"/>
      <c r="E102" s="760"/>
      <c r="F102" s="760"/>
      <c r="G102" s="760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</row>
    <row r="103" spans="1:21" s="88" customFormat="1" ht="12.75">
      <c r="A103" s="419"/>
      <c r="D103" s="760"/>
      <c r="E103" s="760"/>
      <c r="F103" s="760"/>
      <c r="G103" s="760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</row>
    <row r="104" spans="1:21" s="88" customFormat="1" ht="12.75">
      <c r="A104" s="419"/>
      <c r="D104" s="760"/>
      <c r="E104" s="760"/>
      <c r="F104" s="760"/>
      <c r="G104" s="760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</row>
    <row r="105" spans="1:21" s="88" customFormat="1" ht="12.75">
      <c r="A105" s="419"/>
      <c r="D105" s="760"/>
      <c r="E105" s="760"/>
      <c r="F105" s="760"/>
      <c r="G105" s="760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</row>
    <row r="106" spans="1:21" s="88" customFormat="1" ht="12.75">
      <c r="A106" s="419"/>
      <c r="D106" s="760"/>
      <c r="E106" s="760"/>
      <c r="F106" s="760"/>
      <c r="G106" s="760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3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8.00390625" style="22" customWidth="1"/>
    <col min="4" max="6" width="13.875" style="22" customWidth="1"/>
  </cols>
  <sheetData>
    <row r="1" spans="2:6" ht="10.5" customHeight="1">
      <c r="B1" s="36"/>
      <c r="F1" s="103" t="s">
        <v>948</v>
      </c>
    </row>
    <row r="2" spans="2:6" ht="12" customHeight="1">
      <c r="B2" s="36"/>
      <c r="F2" s="103" t="s">
        <v>93</v>
      </c>
    </row>
    <row r="3" ht="23.25" customHeight="1">
      <c r="B3" s="36"/>
    </row>
    <row r="4" spans="1:6" s="88" customFormat="1" ht="33" customHeight="1">
      <c r="A4" s="124"/>
      <c r="B4" s="1975" t="s">
        <v>655</v>
      </c>
      <c r="C4" s="1975"/>
      <c r="D4" s="1975"/>
      <c r="E4" s="1975"/>
      <c r="F4" s="1975"/>
    </row>
    <row r="5" spans="1:6" s="594" customFormat="1" ht="19.5" customHeight="1">
      <c r="A5" s="704"/>
      <c r="B5" s="1976" t="s">
        <v>563</v>
      </c>
      <c r="C5" s="1976"/>
      <c r="D5" s="1976"/>
      <c r="E5" s="1976"/>
      <c r="F5" s="1976"/>
    </row>
    <row r="6" spans="3:6" ht="21" customHeight="1" thickBot="1">
      <c r="C6" s="37"/>
      <c r="D6" s="38"/>
      <c r="E6" s="38"/>
      <c r="F6" s="279" t="s">
        <v>134</v>
      </c>
    </row>
    <row r="7" spans="2:6" ht="24.75" thickBot="1">
      <c r="B7" s="81" t="s">
        <v>151</v>
      </c>
      <c r="C7" s="82"/>
      <c r="D7" s="1467" t="s">
        <v>792</v>
      </c>
      <c r="E7" s="125" t="s">
        <v>130</v>
      </c>
      <c r="F7" s="126" t="s">
        <v>658</v>
      </c>
    </row>
    <row r="8" spans="2:6" ht="13.5" thickBot="1">
      <c r="B8" s="78"/>
      <c r="C8" s="79">
        <v>1</v>
      </c>
      <c r="D8" s="80">
        <v>2</v>
      </c>
      <c r="E8" s="80">
        <v>3</v>
      </c>
      <c r="F8" s="80">
        <v>4</v>
      </c>
    </row>
    <row r="9" spans="2:6" ht="12.75">
      <c r="B9" s="74"/>
      <c r="C9" s="109" t="s">
        <v>642</v>
      </c>
      <c r="D9" s="70">
        <v>204667</v>
      </c>
      <c r="E9" s="70"/>
      <c r="F9" s="130">
        <f aca="true" t="shared" si="0" ref="F9:F16">SUM(D9:E9)</f>
        <v>204667</v>
      </c>
    </row>
    <row r="10" spans="2:6" ht="12.75">
      <c r="B10" s="74"/>
      <c r="C10" s="109" t="s">
        <v>193</v>
      </c>
      <c r="D10" s="70">
        <v>15000</v>
      </c>
      <c r="E10" s="70"/>
      <c r="F10" s="130">
        <f t="shared" si="0"/>
        <v>15000</v>
      </c>
    </row>
    <row r="11" spans="2:6" ht="12.75">
      <c r="B11" s="74"/>
      <c r="C11" s="109" t="s">
        <v>620</v>
      </c>
      <c r="D11" s="70">
        <v>141256</v>
      </c>
      <c r="E11" s="70">
        <v>18605</v>
      </c>
      <c r="F11" s="130">
        <f t="shared" si="0"/>
        <v>159861</v>
      </c>
    </row>
    <row r="12" spans="2:6" ht="25.5">
      <c r="B12" s="74"/>
      <c r="C12" s="1360" t="s">
        <v>623</v>
      </c>
      <c r="D12" s="70">
        <v>30485</v>
      </c>
      <c r="E12" s="70"/>
      <c r="F12" s="130">
        <f t="shared" si="0"/>
        <v>30485</v>
      </c>
    </row>
    <row r="13" spans="2:6" ht="12.75">
      <c r="B13" s="74"/>
      <c r="C13" s="109" t="s">
        <v>525</v>
      </c>
      <c r="D13" s="70">
        <v>13041</v>
      </c>
      <c r="E13" s="70">
        <v>-1852</v>
      </c>
      <c r="F13" s="130">
        <f t="shared" si="0"/>
        <v>11189</v>
      </c>
    </row>
    <row r="14" spans="2:6" ht="12.75">
      <c r="B14" s="74"/>
      <c r="C14" s="109" t="s">
        <v>845</v>
      </c>
      <c r="D14" s="70">
        <v>300</v>
      </c>
      <c r="E14" s="70"/>
      <c r="F14" s="130">
        <f t="shared" si="0"/>
        <v>300</v>
      </c>
    </row>
    <row r="15" spans="2:6" ht="12.75">
      <c r="B15" s="74"/>
      <c r="C15" s="109" t="s">
        <v>141</v>
      </c>
      <c r="D15" s="70">
        <v>5000</v>
      </c>
      <c r="E15" s="70">
        <v>279</v>
      </c>
      <c r="F15" s="69">
        <f t="shared" si="0"/>
        <v>5279</v>
      </c>
    </row>
    <row r="16" spans="2:6" ht="13.5" thickBot="1">
      <c r="B16" s="1498"/>
      <c r="C16" s="1499" t="s">
        <v>893</v>
      </c>
      <c r="D16" s="1500">
        <v>6427</v>
      </c>
      <c r="E16" s="1500"/>
      <c r="F16" s="69">
        <f t="shared" si="0"/>
        <v>6427</v>
      </c>
    </row>
    <row r="17" spans="2:9" ht="13.5" thickBot="1">
      <c r="B17" s="111">
        <v>1</v>
      </c>
      <c r="C17" s="112" t="s">
        <v>523</v>
      </c>
      <c r="D17" s="104">
        <f>SUM(D9:D16)</f>
        <v>416176</v>
      </c>
      <c r="E17" s="104">
        <f>SUM(E9:E16)</f>
        <v>17032</v>
      </c>
      <c r="F17" s="104">
        <f>SUM(F9:F16)</f>
        <v>433208</v>
      </c>
      <c r="G17" s="18">
        <f>SUM(D17:E17)</f>
        <v>433208</v>
      </c>
      <c r="H17" s="18">
        <f>hivatal9!K30</f>
        <v>433208</v>
      </c>
      <c r="I17" s="18"/>
    </row>
    <row r="18" spans="2:8" ht="13.5" thickBot="1">
      <c r="B18" s="116" t="s">
        <v>108</v>
      </c>
      <c r="C18" s="119" t="s">
        <v>436</v>
      </c>
      <c r="D18" s="106">
        <f>D17</f>
        <v>416176</v>
      </c>
      <c r="E18" s="106">
        <f>E17</f>
        <v>17032</v>
      </c>
      <c r="F18" s="106">
        <f>F17</f>
        <v>433208</v>
      </c>
      <c r="G18" s="18">
        <f>SUM(D18:E18)</f>
        <v>433208</v>
      </c>
      <c r="H18" s="18"/>
    </row>
    <row r="19" spans="2:6" ht="12.75">
      <c r="B19" s="74"/>
      <c r="C19" s="97" t="s">
        <v>640</v>
      </c>
      <c r="D19" s="1361">
        <v>185900</v>
      </c>
      <c r="E19" s="70">
        <v>35933</v>
      </c>
      <c r="F19" s="66">
        <f aca="true" t="shared" si="1" ref="F19:F24">SUM(D19:E19)</f>
        <v>221833</v>
      </c>
    </row>
    <row r="20" spans="2:6" ht="13.5" customHeight="1">
      <c r="B20" s="74"/>
      <c r="C20" s="97" t="s">
        <v>641</v>
      </c>
      <c r="D20" s="1361">
        <v>310000</v>
      </c>
      <c r="E20" s="70"/>
      <c r="F20" s="66">
        <f t="shared" si="1"/>
        <v>310000</v>
      </c>
    </row>
    <row r="21" spans="2:6" ht="12.75">
      <c r="B21" s="96"/>
      <c r="C21" s="97" t="s">
        <v>165</v>
      </c>
      <c r="D21" s="1361"/>
      <c r="E21" s="66"/>
      <c r="F21" s="66">
        <f>SUM(D21:E21)</f>
        <v>0</v>
      </c>
    </row>
    <row r="22" spans="2:6" ht="12.75">
      <c r="B22" s="96"/>
      <c r="C22" s="39" t="s">
        <v>453</v>
      </c>
      <c r="D22" s="1362">
        <v>7650</v>
      </c>
      <c r="E22" s="70"/>
      <c r="F22" s="70">
        <f>SUM(D22:E22)</f>
        <v>7650</v>
      </c>
    </row>
    <row r="23" spans="2:6" ht="12.75">
      <c r="B23" s="96"/>
      <c r="C23" s="39" t="s">
        <v>166</v>
      </c>
      <c r="D23" s="1362">
        <v>2144</v>
      </c>
      <c r="E23" s="70"/>
      <c r="F23" s="70">
        <f t="shared" si="1"/>
        <v>2144</v>
      </c>
    </row>
    <row r="24" spans="2:6" ht="12.75">
      <c r="B24" s="96"/>
      <c r="C24" s="39" t="s">
        <v>167</v>
      </c>
      <c r="D24" s="1362">
        <v>1600</v>
      </c>
      <c r="E24" s="70"/>
      <c r="F24" s="70">
        <f t="shared" si="1"/>
        <v>1600</v>
      </c>
    </row>
    <row r="25" spans="2:6" ht="12.75">
      <c r="B25" s="96"/>
      <c r="C25" s="39" t="s">
        <v>168</v>
      </c>
      <c r="D25" s="1362">
        <v>9055</v>
      </c>
      <c r="E25" s="70"/>
      <c r="F25" s="70">
        <f aca="true" t="shared" si="2" ref="F25:F32">SUM(D25:E25)</f>
        <v>9055</v>
      </c>
    </row>
    <row r="26" spans="2:6" ht="12.75">
      <c r="B26" s="96"/>
      <c r="C26" s="39" t="s">
        <v>564</v>
      </c>
      <c r="D26" s="1362">
        <v>7495</v>
      </c>
      <c r="E26" s="70"/>
      <c r="F26" s="70">
        <f t="shared" si="2"/>
        <v>7495</v>
      </c>
    </row>
    <row r="27" spans="2:6" ht="12.75">
      <c r="B27" s="96"/>
      <c r="C27" s="39" t="s">
        <v>170</v>
      </c>
      <c r="D27" s="1362">
        <v>3929</v>
      </c>
      <c r="E27" s="70"/>
      <c r="F27" s="70">
        <f t="shared" si="2"/>
        <v>3929</v>
      </c>
    </row>
    <row r="28" spans="2:6" ht="12.75">
      <c r="B28" s="96"/>
      <c r="C28" s="39" t="s">
        <v>169</v>
      </c>
      <c r="D28" s="1362">
        <v>3807</v>
      </c>
      <c r="E28" s="70"/>
      <c r="F28" s="70">
        <f t="shared" si="2"/>
        <v>3807</v>
      </c>
    </row>
    <row r="29" spans="2:6" ht="12.75">
      <c r="B29" s="96"/>
      <c r="C29" s="39" t="s">
        <v>91</v>
      </c>
      <c r="D29" s="1362">
        <v>1000</v>
      </c>
      <c r="E29" s="70"/>
      <c r="F29" s="70">
        <f t="shared" si="2"/>
        <v>1000</v>
      </c>
    </row>
    <row r="30" spans="2:6" ht="12.75">
      <c r="B30" s="96"/>
      <c r="C30" s="39" t="s">
        <v>77</v>
      </c>
      <c r="D30" s="1362">
        <v>1000</v>
      </c>
      <c r="E30" s="70"/>
      <c r="F30" s="70">
        <f t="shared" si="2"/>
        <v>1000</v>
      </c>
    </row>
    <row r="31" spans="2:6" ht="12.75">
      <c r="B31" s="96"/>
      <c r="C31" s="39" t="s">
        <v>894</v>
      </c>
      <c r="D31" s="1362">
        <v>1650</v>
      </c>
      <c r="E31" s="70">
        <v>-33</v>
      </c>
      <c r="F31" s="70">
        <f t="shared" si="2"/>
        <v>1617</v>
      </c>
    </row>
    <row r="32" spans="2:6" ht="12.75">
      <c r="B32" s="96"/>
      <c r="C32" s="39" t="s">
        <v>931</v>
      </c>
      <c r="D32" s="1362"/>
      <c r="E32" s="70">
        <v>1435</v>
      </c>
      <c r="F32" s="70">
        <f t="shared" si="2"/>
        <v>1435</v>
      </c>
    </row>
    <row r="33" spans="2:6" ht="12.75">
      <c r="B33" s="74"/>
      <c r="C33" s="97" t="s">
        <v>195</v>
      </c>
      <c r="D33" s="1361">
        <f>SUM(D22:D32)</f>
        <v>39330</v>
      </c>
      <c r="E33" s="1361">
        <f>SUM(E22:E32)</f>
        <v>1402</v>
      </c>
      <c r="F33" s="1361">
        <f>SUM(F22:F32)</f>
        <v>40732</v>
      </c>
    </row>
    <row r="34" spans="2:6" ht="12.75">
      <c r="B34" s="74"/>
      <c r="C34" s="97" t="s">
        <v>452</v>
      </c>
      <c r="D34" s="1361">
        <v>2000</v>
      </c>
      <c r="E34" s="69"/>
      <c r="F34" s="66">
        <f aca="true" t="shared" si="3" ref="F34:F50">SUM(D34:E34)</f>
        <v>2000</v>
      </c>
    </row>
    <row r="35" spans="2:6" ht="12.75">
      <c r="B35" s="75"/>
      <c r="C35" s="40" t="s">
        <v>152</v>
      </c>
      <c r="D35" s="1222">
        <v>24967</v>
      </c>
      <c r="E35" s="71"/>
      <c r="F35" s="70">
        <f t="shared" si="3"/>
        <v>24967</v>
      </c>
    </row>
    <row r="36" spans="2:6" ht="12.75">
      <c r="B36" s="75"/>
      <c r="C36" s="40" t="s">
        <v>153</v>
      </c>
      <c r="D36" s="1222">
        <v>5150</v>
      </c>
      <c r="E36" s="71"/>
      <c r="F36" s="70">
        <f t="shared" si="3"/>
        <v>5150</v>
      </c>
    </row>
    <row r="37" spans="2:6" ht="12.75">
      <c r="B37" s="75"/>
      <c r="C37" s="40" t="s">
        <v>154</v>
      </c>
      <c r="D37" s="1222">
        <v>7928</v>
      </c>
      <c r="E37" s="71"/>
      <c r="F37" s="70">
        <f t="shared" si="3"/>
        <v>7928</v>
      </c>
    </row>
    <row r="38" spans="2:6" ht="12.75">
      <c r="B38" s="75"/>
      <c r="C38" s="40" t="s">
        <v>155</v>
      </c>
      <c r="D38" s="1222">
        <v>9000</v>
      </c>
      <c r="E38" s="71"/>
      <c r="F38" s="70">
        <f t="shared" si="3"/>
        <v>9000</v>
      </c>
    </row>
    <row r="39" spans="2:6" ht="12.75">
      <c r="B39" s="75"/>
      <c r="C39" s="40" t="s">
        <v>565</v>
      </c>
      <c r="D39" s="1222">
        <v>2000</v>
      </c>
      <c r="E39" s="71"/>
      <c r="F39" s="70">
        <f t="shared" si="3"/>
        <v>2000</v>
      </c>
    </row>
    <row r="40" spans="2:6" ht="12.75">
      <c r="B40" s="75"/>
      <c r="C40" s="40" t="s">
        <v>156</v>
      </c>
      <c r="D40" s="1222">
        <v>11000</v>
      </c>
      <c r="E40" s="71"/>
      <c r="F40" s="70">
        <f t="shared" si="3"/>
        <v>11000</v>
      </c>
    </row>
    <row r="41" spans="2:6" ht="12.75">
      <c r="B41" s="94"/>
      <c r="C41" s="95" t="s">
        <v>157</v>
      </c>
      <c r="D41" s="1363">
        <f>SUM(D35:D40)</f>
        <v>60045</v>
      </c>
      <c r="E41" s="67">
        <f>SUM(E35:E40)</f>
        <v>0</v>
      </c>
      <c r="F41" s="67">
        <f>SUM(F35:F40)</f>
        <v>60045</v>
      </c>
    </row>
    <row r="42" spans="2:6" s="61" customFormat="1" ht="12.75">
      <c r="B42" s="77"/>
      <c r="C42" s="99" t="s">
        <v>158</v>
      </c>
      <c r="D42" s="1363">
        <v>5120</v>
      </c>
      <c r="E42" s="101"/>
      <c r="F42" s="68">
        <f t="shared" si="3"/>
        <v>5120</v>
      </c>
    </row>
    <row r="43" spans="2:6" s="61" customFormat="1" ht="12.75">
      <c r="B43" s="77"/>
      <c r="C43" s="99" t="s">
        <v>526</v>
      </c>
      <c r="D43" s="1363">
        <v>3000</v>
      </c>
      <c r="E43" s="101"/>
      <c r="F43" s="68">
        <f t="shared" si="3"/>
        <v>3000</v>
      </c>
    </row>
    <row r="44" spans="2:6" s="61" customFormat="1" ht="12.75">
      <c r="B44" s="77"/>
      <c r="C44" s="193" t="s">
        <v>643</v>
      </c>
      <c r="D44" s="1363">
        <v>2500</v>
      </c>
      <c r="E44" s="101"/>
      <c r="F44" s="68">
        <f t="shared" si="3"/>
        <v>2500</v>
      </c>
    </row>
    <row r="45" spans="2:6" s="15" customFormat="1" ht="14.25" customHeight="1">
      <c r="B45" s="457"/>
      <c r="C45" s="1389" t="s">
        <v>846</v>
      </c>
      <c r="D45" s="1363">
        <v>1000</v>
      </c>
      <c r="E45" s="101"/>
      <c r="F45" s="68">
        <f t="shared" si="3"/>
        <v>1000</v>
      </c>
    </row>
    <row r="46" spans="2:6" s="15" customFormat="1" ht="14.25" customHeight="1">
      <c r="B46" s="457"/>
      <c r="C46" s="1389" t="s">
        <v>140</v>
      </c>
      <c r="D46" s="1363">
        <v>430</v>
      </c>
      <c r="E46" s="101"/>
      <c r="F46" s="68">
        <f t="shared" si="3"/>
        <v>430</v>
      </c>
    </row>
    <row r="47" spans="2:6" s="15" customFormat="1" ht="14.25" customHeight="1">
      <c r="B47" s="457"/>
      <c r="C47" s="99" t="s">
        <v>141</v>
      </c>
      <c r="D47" s="1363">
        <v>12272</v>
      </c>
      <c r="E47" s="101"/>
      <c r="F47" s="68">
        <f t="shared" si="3"/>
        <v>12272</v>
      </c>
    </row>
    <row r="48" spans="2:6" s="15" customFormat="1" ht="27" customHeight="1">
      <c r="B48" s="457"/>
      <c r="C48" s="1501" t="s">
        <v>847</v>
      </c>
      <c r="D48" s="1363">
        <v>5000</v>
      </c>
      <c r="E48" s="101"/>
      <c r="F48" s="68">
        <f t="shared" si="3"/>
        <v>5000</v>
      </c>
    </row>
    <row r="49" spans="2:6" s="61" customFormat="1" ht="12.75">
      <c r="B49" s="77"/>
      <c r="C49" s="100" t="s">
        <v>196</v>
      </c>
      <c r="D49" s="71">
        <v>700</v>
      </c>
      <c r="E49" s="73">
        <v>-700</v>
      </c>
      <c r="F49" s="73">
        <f t="shared" si="3"/>
        <v>0</v>
      </c>
    </row>
    <row r="50" spans="2:6" s="61" customFormat="1" ht="12.75">
      <c r="B50" s="77"/>
      <c r="C50" s="100" t="s">
        <v>566</v>
      </c>
      <c r="D50" s="1222">
        <v>4000</v>
      </c>
      <c r="E50" s="73">
        <v>-641</v>
      </c>
      <c r="F50" s="73">
        <f t="shared" si="3"/>
        <v>3359</v>
      </c>
    </row>
    <row r="51" spans="2:8" s="61" customFormat="1" ht="12.75">
      <c r="B51" s="76"/>
      <c r="C51" s="102" t="s">
        <v>454</v>
      </c>
      <c r="D51" s="70">
        <v>1500</v>
      </c>
      <c r="E51" s="72"/>
      <c r="F51" s="72">
        <f>SUM(D51:E51)</f>
        <v>1500</v>
      </c>
      <c r="H51" s="15"/>
    </row>
    <row r="52" spans="2:8" s="61" customFormat="1" ht="12.75">
      <c r="B52" s="77"/>
      <c r="C52" s="99" t="s">
        <v>197</v>
      </c>
      <c r="D52" s="67">
        <f>SUM(D49:D51)</f>
        <v>6200</v>
      </c>
      <c r="E52" s="67">
        <f>SUM(E49:E51)</f>
        <v>-1341</v>
      </c>
      <c r="F52" s="68">
        <f>SUM(D52:E52)</f>
        <v>4859</v>
      </c>
      <c r="H52" s="89"/>
    </row>
    <row r="53" spans="2:9" s="61" customFormat="1" ht="12.75">
      <c r="B53" s="77"/>
      <c r="C53" s="62" t="s">
        <v>228</v>
      </c>
      <c r="D53" s="71">
        <v>6607</v>
      </c>
      <c r="E53" s="73"/>
      <c r="F53" s="201">
        <f>SUM(D53:E53)</f>
        <v>6607</v>
      </c>
      <c r="I53" s="127"/>
    </row>
    <row r="54" spans="2:6" s="61" customFormat="1" ht="12.75">
      <c r="B54" s="76"/>
      <c r="C54" s="41" t="s">
        <v>92</v>
      </c>
      <c r="D54" s="70">
        <v>38580</v>
      </c>
      <c r="E54" s="72">
        <v>-16029</v>
      </c>
      <c r="F54" s="201">
        <f>SUM(D54:E54)</f>
        <v>22551</v>
      </c>
    </row>
    <row r="55" spans="2:7" ht="12.75">
      <c r="B55" s="98"/>
      <c r="C55" s="193" t="s">
        <v>567</v>
      </c>
      <c r="D55" s="1361">
        <f>SUM(D53:D54)</f>
        <v>45187</v>
      </c>
      <c r="E55" s="194">
        <f>SUM(E53:E54)</f>
        <v>-16029</v>
      </c>
      <c r="F55" s="194">
        <f>SUM(F53:F54)</f>
        <v>29158</v>
      </c>
      <c r="G55" s="18"/>
    </row>
    <row r="56" spans="2:7" ht="12.75">
      <c r="B56" s="98"/>
      <c r="C56" s="1502" t="s">
        <v>659</v>
      </c>
      <c r="D56" s="1361">
        <v>1970</v>
      </c>
      <c r="E56" s="194"/>
      <c r="F56" s="101">
        <f>SUM(D56:E56)</f>
        <v>1970</v>
      </c>
      <c r="G56" s="18"/>
    </row>
    <row r="57" spans="2:7" ht="12.75">
      <c r="B57" s="98"/>
      <c r="C57" s="1503" t="s">
        <v>669</v>
      </c>
      <c r="D57" s="1361">
        <v>87</v>
      </c>
      <c r="E57" s="194"/>
      <c r="F57" s="194">
        <f>SUM(D57:E57)</f>
        <v>87</v>
      </c>
      <c r="G57" s="18"/>
    </row>
    <row r="58" spans="2:7" ht="12.75">
      <c r="B58" s="98"/>
      <c r="C58" s="1806" t="s">
        <v>933</v>
      </c>
      <c r="D58" s="1807">
        <v>336</v>
      </c>
      <c r="E58" s="1808"/>
      <c r="F58" s="1808">
        <f>SUM(D58:E58)</f>
        <v>336</v>
      </c>
      <c r="G58" s="18"/>
    </row>
    <row r="59" spans="2:7" ht="12.75">
      <c r="B59" s="98"/>
      <c r="C59" s="1806" t="s">
        <v>934</v>
      </c>
      <c r="D59" s="1807"/>
      <c r="E59" s="1808">
        <v>323</v>
      </c>
      <c r="F59" s="1808">
        <f>SUM(D59:E59)</f>
        <v>323</v>
      </c>
      <c r="G59" s="18"/>
    </row>
    <row r="60" spans="2:7" ht="13.5" thickBot="1">
      <c r="B60" s="1411"/>
      <c r="C60" s="1502" t="s">
        <v>932</v>
      </c>
      <c r="D60" s="1412">
        <f>SUM(D58:D59)</f>
        <v>336</v>
      </c>
      <c r="E60" s="1412">
        <f>SUM(E58:E59)</f>
        <v>323</v>
      </c>
      <c r="F60" s="1412">
        <f>SUM(F58:F59)</f>
        <v>659</v>
      </c>
      <c r="G60" s="18"/>
    </row>
    <row r="61" spans="2:9" ht="13.5" thickBot="1">
      <c r="B61" s="113">
        <v>3</v>
      </c>
      <c r="C61" s="114" t="s">
        <v>400</v>
      </c>
      <c r="D61" s="104">
        <f>D19+D20+D33+D34+D41+D42+D52+D55+D21+D43+D44+D45+D46+D47+D48+D56+D57+D60</f>
        <v>680377</v>
      </c>
      <c r="E61" s="104">
        <f>E19+E20+E33+E34+E41+E42+E52+E55+E21+E43+E44+E45+E46+E47+E48+E56+E57+E60</f>
        <v>20288</v>
      </c>
      <c r="F61" s="104">
        <f>F19+F20+F33+F34+F41+F42+F52+F55+F21+F43+F44+F45+F46+F47+F48+F56+F57+F60</f>
        <v>700665</v>
      </c>
      <c r="G61" s="18">
        <f>SUM(D61:E61)</f>
        <v>700665</v>
      </c>
      <c r="H61" s="18">
        <f>hivatal9!K21</f>
        <v>700665</v>
      </c>
      <c r="I61" s="18">
        <f>H61-F61</f>
        <v>0</v>
      </c>
    </row>
    <row r="62" spans="2:7" s="15" customFormat="1" ht="12.75">
      <c r="B62" s="98"/>
      <c r="C62" s="99" t="s">
        <v>354</v>
      </c>
      <c r="D62" s="67">
        <v>5270</v>
      </c>
      <c r="E62" s="130">
        <v>135</v>
      </c>
      <c r="F62" s="66">
        <f>SUM(D62:E62)</f>
        <v>5405</v>
      </c>
      <c r="G62" s="89"/>
    </row>
    <row r="63" spans="2:7" s="15" customFormat="1" ht="12.75">
      <c r="B63" s="98"/>
      <c r="C63" s="99" t="s">
        <v>333</v>
      </c>
      <c r="D63" s="67">
        <v>17642</v>
      </c>
      <c r="E63" s="130"/>
      <c r="F63" s="66">
        <f>SUM(D63:E63)</f>
        <v>17642</v>
      </c>
      <c r="G63" s="89"/>
    </row>
    <row r="64" spans="2:7" s="15" customFormat="1" ht="12.75">
      <c r="B64" s="98"/>
      <c r="C64" s="62" t="s">
        <v>853</v>
      </c>
      <c r="D64" s="110">
        <v>300</v>
      </c>
      <c r="E64" s="110"/>
      <c r="F64" s="1504">
        <f>SUM(D64:E64)</f>
        <v>300</v>
      </c>
      <c r="G64" s="89"/>
    </row>
    <row r="65" spans="2:7" s="15" customFormat="1" ht="12.75">
      <c r="B65" s="98"/>
      <c r="C65" s="62" t="s">
        <v>854</v>
      </c>
      <c r="D65" s="110">
        <v>350</v>
      </c>
      <c r="E65" s="110"/>
      <c r="F65" s="1504">
        <f>SUM(D65:E65)</f>
        <v>350</v>
      </c>
      <c r="G65" s="89"/>
    </row>
    <row r="66" spans="2:7" s="15" customFormat="1" ht="12.75">
      <c r="B66" s="98"/>
      <c r="C66" s="99" t="s">
        <v>195</v>
      </c>
      <c r="D66" s="67">
        <f>SUM(D64:D65)</f>
        <v>650</v>
      </c>
      <c r="E66" s="67">
        <f>SUM(E64:E65)</f>
        <v>0</v>
      </c>
      <c r="F66" s="67">
        <f>SUM(F64:F65)</f>
        <v>650</v>
      </c>
      <c r="G66" s="89"/>
    </row>
    <row r="67" spans="2:7" s="15" customFormat="1" ht="12.75">
      <c r="B67" s="98"/>
      <c r="C67" s="99" t="s">
        <v>141</v>
      </c>
      <c r="D67" s="67"/>
      <c r="E67" s="67">
        <v>540</v>
      </c>
      <c r="F67" s="67">
        <f>SUM(D67:E67)</f>
        <v>540</v>
      </c>
      <c r="G67" s="89"/>
    </row>
    <row r="68" spans="2:7" s="15" customFormat="1" ht="12.75">
      <c r="B68" s="98"/>
      <c r="C68" s="99" t="s">
        <v>557</v>
      </c>
      <c r="D68" s="67">
        <v>8215</v>
      </c>
      <c r="E68" s="130"/>
      <c r="F68" s="66">
        <f aca="true" t="shared" si="4" ref="F68:F73">SUM(D68:E68)</f>
        <v>8215</v>
      </c>
      <c r="G68" s="89"/>
    </row>
    <row r="69" spans="2:7" ht="12.75">
      <c r="B69" s="98"/>
      <c r="C69" s="62" t="s">
        <v>848</v>
      </c>
      <c r="D69" s="70">
        <v>1370</v>
      </c>
      <c r="E69" s="1504"/>
      <c r="F69" s="1504">
        <f t="shared" si="4"/>
        <v>1370</v>
      </c>
      <c r="G69" s="18"/>
    </row>
    <row r="70" spans="2:7" ht="12.75">
      <c r="B70" s="98"/>
      <c r="C70" s="62" t="s">
        <v>849</v>
      </c>
      <c r="D70" s="70">
        <v>500</v>
      </c>
      <c r="E70" s="1504"/>
      <c r="F70" s="1504">
        <f t="shared" si="4"/>
        <v>500</v>
      </c>
      <c r="G70" s="18"/>
    </row>
    <row r="71" spans="2:7" ht="12.75">
      <c r="B71" s="98"/>
      <c r="C71" s="62" t="s">
        <v>850</v>
      </c>
      <c r="D71" s="70">
        <v>1130</v>
      </c>
      <c r="E71" s="1504"/>
      <c r="F71" s="1504">
        <f t="shared" si="4"/>
        <v>1130</v>
      </c>
      <c r="G71" s="18"/>
    </row>
    <row r="72" spans="2:7" ht="12.75">
      <c r="B72" s="98"/>
      <c r="C72" s="62" t="s">
        <v>851</v>
      </c>
      <c r="D72" s="70">
        <v>1030</v>
      </c>
      <c r="E72" s="1504"/>
      <c r="F72" s="1504">
        <f t="shared" si="4"/>
        <v>1030</v>
      </c>
      <c r="G72" s="18"/>
    </row>
    <row r="73" spans="2:7" ht="12.75">
      <c r="B73" s="98"/>
      <c r="C73" s="62" t="s">
        <v>852</v>
      </c>
      <c r="D73" s="70">
        <v>1961</v>
      </c>
      <c r="E73" s="1504"/>
      <c r="F73" s="1504">
        <f t="shared" si="4"/>
        <v>1961</v>
      </c>
      <c r="G73" s="18"/>
    </row>
    <row r="74" spans="2:7" s="15" customFormat="1" ht="12.75">
      <c r="B74" s="98"/>
      <c r="C74" s="1505" t="s">
        <v>637</v>
      </c>
      <c r="D74" s="66">
        <f>SUM(D69:D73)</f>
        <v>5991</v>
      </c>
      <c r="E74" s="66">
        <f>SUM(E69:E73)</f>
        <v>0</v>
      </c>
      <c r="F74" s="66">
        <f>SUM(F69:F73)</f>
        <v>5991</v>
      </c>
      <c r="G74" s="89"/>
    </row>
    <row r="75" spans="2:7" s="15" customFormat="1" ht="12.75">
      <c r="B75" s="98"/>
      <c r="C75" s="1743" t="s">
        <v>895</v>
      </c>
      <c r="D75" s="66">
        <v>675</v>
      </c>
      <c r="E75" s="66">
        <v>25</v>
      </c>
      <c r="F75" s="66">
        <f>SUM(D75:E75)</f>
        <v>700</v>
      </c>
      <c r="G75" s="89"/>
    </row>
    <row r="76" spans="2:7" s="15" customFormat="1" ht="12.75">
      <c r="B76" s="98"/>
      <c r="C76" s="1806" t="s">
        <v>933</v>
      </c>
      <c r="D76" s="1504">
        <v>78</v>
      </c>
      <c r="E76" s="1504"/>
      <c r="F76" s="1504">
        <f>SUM(D76:E76)</f>
        <v>78</v>
      </c>
      <c r="G76" s="89"/>
    </row>
    <row r="77" spans="2:7" s="15" customFormat="1" ht="12.75">
      <c r="B77" s="98"/>
      <c r="C77" s="1806" t="s">
        <v>934</v>
      </c>
      <c r="D77" s="1504"/>
      <c r="E77" s="1504">
        <v>116</v>
      </c>
      <c r="F77" s="1504">
        <f>SUM(D77:E77)</f>
        <v>116</v>
      </c>
      <c r="G77" s="89"/>
    </row>
    <row r="78" spans="2:7" ht="13.5" thickBot="1">
      <c r="B78" s="1411"/>
      <c r="C78" s="1502" t="s">
        <v>932</v>
      </c>
      <c r="D78" s="1809">
        <f>SUM(D76:D77)</f>
        <v>78</v>
      </c>
      <c r="E78" s="1809">
        <f>SUM(E76:E77)</f>
        <v>116</v>
      </c>
      <c r="F78" s="1809">
        <f>SUM(F76:F77)</f>
        <v>194</v>
      </c>
      <c r="G78" s="18"/>
    </row>
    <row r="79" spans="2:8" ht="13.5" thickBot="1">
      <c r="B79" s="113">
        <v>4</v>
      </c>
      <c r="C79" s="114" t="s">
        <v>401</v>
      </c>
      <c r="D79" s="115">
        <f>D62+D63+D66+D68+D74+D78+D75+D67</f>
        <v>38521</v>
      </c>
      <c r="E79" s="115">
        <f>E62+E63+E66+E68+E74+E78+E75+E67</f>
        <v>816</v>
      </c>
      <c r="F79" s="115">
        <f>F62+F63+F66+F68+F74+F78+F75+F67</f>
        <v>39337</v>
      </c>
      <c r="G79" s="18">
        <f>SUM(D79:E79)</f>
        <v>39337</v>
      </c>
      <c r="H79" s="18">
        <f>hivatal9!K18</f>
        <v>39337</v>
      </c>
    </row>
    <row r="80" spans="2:9" ht="13.5" thickBot="1">
      <c r="B80" s="116" t="s">
        <v>109</v>
      </c>
      <c r="C80" s="117" t="s">
        <v>399</v>
      </c>
      <c r="D80" s="118">
        <f>D61+D79</f>
        <v>718898</v>
      </c>
      <c r="E80" s="118">
        <f>E61+E79</f>
        <v>21104</v>
      </c>
      <c r="F80" s="118">
        <f>SUM(D80:E80)</f>
        <v>740002</v>
      </c>
      <c r="G80" s="18">
        <f>F61+F79</f>
        <v>740002</v>
      </c>
      <c r="H80" s="18">
        <f>hivatal9!K18+hivatal9!K21</f>
        <v>740002</v>
      </c>
      <c r="I80" s="18">
        <f>H80-G80</f>
        <v>0</v>
      </c>
    </row>
    <row r="83" ht="12.75">
      <c r="D83" s="225"/>
    </row>
    <row r="91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showGridLines="0" zoomScalePageLayoutView="0" workbookViewId="0" topLeftCell="A1">
      <pane xSplit="5" ySplit="8" topLeftCell="F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79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6"/>
      <c r="H1" s="103" t="s">
        <v>949</v>
      </c>
    </row>
    <row r="2" spans="2:8" ht="12" customHeight="1">
      <c r="B2" s="36"/>
      <c r="H2" s="103" t="s">
        <v>93</v>
      </c>
    </row>
    <row r="3" ht="23.25" customHeight="1">
      <c r="B3" s="36"/>
    </row>
    <row r="4" spans="1:8" s="88" customFormat="1" ht="40.5" customHeight="1">
      <c r="A4" s="124"/>
      <c r="B4" s="1977" t="s">
        <v>655</v>
      </c>
      <c r="C4" s="1977"/>
      <c r="D4" s="1977"/>
      <c r="E4" s="1977"/>
      <c r="F4" s="1977"/>
      <c r="G4" s="1977"/>
      <c r="H4" s="1977"/>
    </row>
    <row r="5" spans="1:8" s="594" customFormat="1" ht="34.5" customHeight="1">
      <c r="A5" s="704"/>
      <c r="B5" s="1983" t="s">
        <v>568</v>
      </c>
      <c r="C5" s="1983"/>
      <c r="D5" s="1983"/>
      <c r="E5" s="1983"/>
      <c r="F5" s="1983"/>
      <c r="G5" s="1983"/>
      <c r="H5" s="1983"/>
    </row>
    <row r="6" spans="4:8" ht="31.5" customHeight="1" thickBot="1">
      <c r="D6" s="37"/>
      <c r="E6" s="37"/>
      <c r="F6" s="38"/>
      <c r="G6" s="38"/>
      <c r="H6" s="280" t="s">
        <v>134</v>
      </c>
    </row>
    <row r="7" spans="2:8" ht="35.25" customHeight="1" thickBot="1">
      <c r="B7" s="806"/>
      <c r="C7" s="1981" t="s">
        <v>151</v>
      </c>
      <c r="D7" s="1982"/>
      <c r="E7" s="815" t="s">
        <v>403</v>
      </c>
      <c r="F7" s="1467" t="s">
        <v>792</v>
      </c>
      <c r="G7" s="125" t="s">
        <v>130</v>
      </c>
      <c r="H7" s="126" t="s">
        <v>658</v>
      </c>
    </row>
    <row r="8" spans="2:8" ht="13.5" thickBot="1">
      <c r="B8" s="811">
        <v>1</v>
      </c>
      <c r="C8" s="1984">
        <v>2</v>
      </c>
      <c r="D8" s="1985"/>
      <c r="E8" s="816">
        <v>3</v>
      </c>
      <c r="F8" s="820">
        <v>4</v>
      </c>
      <c r="G8" s="269">
        <v>5</v>
      </c>
      <c r="H8" s="270">
        <v>6</v>
      </c>
    </row>
    <row r="9" spans="2:8" s="589" customFormat="1" ht="20.25" customHeight="1">
      <c r="B9" s="830" t="s">
        <v>112</v>
      </c>
      <c r="C9" s="1986" t="s">
        <v>408</v>
      </c>
      <c r="D9" s="1987"/>
      <c r="E9" s="831" t="s">
        <v>404</v>
      </c>
      <c r="F9" s="832">
        <f>SUM(F10:F11)</f>
        <v>2736</v>
      </c>
      <c r="G9" s="1746">
        <f>SUM(G10:G11)</f>
        <v>-2690</v>
      </c>
      <c r="H9" s="1746">
        <f>SUM(H10:H11)</f>
        <v>46</v>
      </c>
    </row>
    <row r="10" spans="2:8" s="807" customFormat="1" ht="32.25" customHeight="1">
      <c r="B10" s="1992"/>
      <c r="C10" s="808" t="s">
        <v>253</v>
      </c>
      <c r="D10" s="812" t="s">
        <v>503</v>
      </c>
      <c r="E10" s="817" t="s">
        <v>404</v>
      </c>
      <c r="F10" s="842">
        <v>84</v>
      </c>
      <c r="G10" s="822">
        <v>-84</v>
      </c>
      <c r="H10" s="1748">
        <f>SUM(F10:G10)</f>
        <v>0</v>
      </c>
    </row>
    <row r="11" spans="2:8" s="807" customFormat="1" ht="32.25" customHeight="1" thickBot="1">
      <c r="B11" s="1993"/>
      <c r="C11" s="808" t="s">
        <v>253</v>
      </c>
      <c r="D11" s="812" t="s">
        <v>896</v>
      </c>
      <c r="E11" s="1744"/>
      <c r="F11" s="1745">
        <v>2652</v>
      </c>
      <c r="G11" s="1747">
        <f>-2652+46</f>
        <v>-2606</v>
      </c>
      <c r="H11" s="1747">
        <f>SUM(F11:G11)</f>
        <v>46</v>
      </c>
    </row>
    <row r="12" spans="2:11" s="589" customFormat="1" ht="20.25" customHeight="1" thickBot="1">
      <c r="B12" s="833" t="s">
        <v>114</v>
      </c>
      <c r="C12" s="1988" t="s">
        <v>409</v>
      </c>
      <c r="D12" s="1989"/>
      <c r="E12" s="834" t="s">
        <v>405</v>
      </c>
      <c r="F12" s="835">
        <f>SUM(F13:F13)</f>
        <v>0</v>
      </c>
      <c r="G12" s="835">
        <f>SUM(G13:G13)</f>
        <v>0</v>
      </c>
      <c r="H12" s="835">
        <f>SUM(H13:H13)</f>
        <v>0</v>
      </c>
      <c r="I12" s="599"/>
      <c r="J12" s="599"/>
      <c r="K12" s="599"/>
    </row>
    <row r="13" spans="2:11" s="807" customFormat="1" ht="30.75" customHeight="1" thickBot="1">
      <c r="B13" s="824"/>
      <c r="C13" s="827" t="s">
        <v>253</v>
      </c>
      <c r="D13" s="828" t="s">
        <v>415</v>
      </c>
      <c r="E13" s="829" t="s">
        <v>405</v>
      </c>
      <c r="F13" s="843"/>
      <c r="G13" s="826"/>
      <c r="H13" s="837">
        <f>SUM(F13:G13)</f>
        <v>0</v>
      </c>
      <c r="I13" s="809"/>
      <c r="J13" s="809"/>
      <c r="K13" s="809"/>
    </row>
    <row r="14" spans="2:11" s="589" customFormat="1" ht="20.25" customHeight="1" thickBot="1">
      <c r="B14" s="833" t="s">
        <v>115</v>
      </c>
      <c r="C14" s="1990" t="s">
        <v>410</v>
      </c>
      <c r="D14" s="1991"/>
      <c r="E14" s="834" t="s">
        <v>406</v>
      </c>
      <c r="F14" s="836">
        <f>SUM(F15:F26)+F27</f>
        <v>121687</v>
      </c>
      <c r="G14" s="836">
        <f>SUM(G15:G26)+G27</f>
        <v>1134</v>
      </c>
      <c r="H14" s="836">
        <f>SUM(H15:H26)+H27</f>
        <v>122821</v>
      </c>
      <c r="I14" s="599"/>
      <c r="J14" s="599"/>
      <c r="K14" s="599"/>
    </row>
    <row r="15" spans="2:14" s="807" customFormat="1" ht="29.25" customHeight="1">
      <c r="B15" s="824"/>
      <c r="C15" s="808" t="s">
        <v>253</v>
      </c>
      <c r="D15" s="812" t="s">
        <v>455</v>
      </c>
      <c r="E15" s="817" t="s">
        <v>406</v>
      </c>
      <c r="F15" s="842">
        <v>22024</v>
      </c>
      <c r="G15" s="1413">
        <v>-2000</v>
      </c>
      <c r="H15" s="837">
        <f aca="true" t="shared" si="0" ref="H15:H22">SUM(F15:G15)</f>
        <v>20024</v>
      </c>
      <c r="I15" s="809"/>
      <c r="J15" s="809"/>
      <c r="K15" s="809"/>
      <c r="N15" s="832">
        <f>SUM(N16:N16)</f>
        <v>0</v>
      </c>
    </row>
    <row r="16" spans="2:11" s="807" customFormat="1" ht="29.25" customHeight="1">
      <c r="B16" s="824"/>
      <c r="C16" s="808" t="s">
        <v>253</v>
      </c>
      <c r="D16" s="812" t="s">
        <v>619</v>
      </c>
      <c r="E16" s="1390" t="s">
        <v>406</v>
      </c>
      <c r="F16" s="842">
        <v>3000</v>
      </c>
      <c r="G16" s="1413"/>
      <c r="H16" s="837">
        <f t="shared" si="0"/>
        <v>3000</v>
      </c>
      <c r="I16" s="809"/>
      <c r="J16" s="809"/>
      <c r="K16" s="809"/>
    </row>
    <row r="17" spans="2:11" s="807" customFormat="1" ht="29.25" customHeight="1">
      <c r="B17" s="824"/>
      <c r="C17" s="808" t="s">
        <v>253</v>
      </c>
      <c r="D17" s="812" t="s">
        <v>456</v>
      </c>
      <c r="E17" s="817" t="s">
        <v>406</v>
      </c>
      <c r="F17" s="842">
        <v>27996</v>
      </c>
      <c r="G17" s="1413">
        <v>-2000</v>
      </c>
      <c r="H17" s="837">
        <f t="shared" si="0"/>
        <v>25996</v>
      </c>
      <c r="I17" s="809"/>
      <c r="J17" s="809"/>
      <c r="K17" s="809"/>
    </row>
    <row r="18" spans="2:11" s="807" customFormat="1" ht="29.25" customHeight="1">
      <c r="B18" s="824"/>
      <c r="C18" s="808" t="s">
        <v>253</v>
      </c>
      <c r="D18" s="812" t="s">
        <v>457</v>
      </c>
      <c r="E18" s="817" t="s">
        <v>406</v>
      </c>
      <c r="F18" s="842">
        <v>6000</v>
      </c>
      <c r="G18" s="1413">
        <v>2000</v>
      </c>
      <c r="H18" s="837">
        <f t="shared" si="0"/>
        <v>8000</v>
      </c>
      <c r="I18" s="809"/>
      <c r="J18" s="809"/>
      <c r="K18" s="809"/>
    </row>
    <row r="19" spans="2:11" s="807" customFormat="1" ht="29.25" customHeight="1">
      <c r="B19" s="824"/>
      <c r="C19" s="808" t="s">
        <v>253</v>
      </c>
      <c r="D19" s="812" t="s">
        <v>458</v>
      </c>
      <c r="E19" s="817" t="s">
        <v>406</v>
      </c>
      <c r="F19" s="842">
        <v>18536</v>
      </c>
      <c r="G19" s="1413"/>
      <c r="H19" s="837">
        <f t="shared" si="0"/>
        <v>18536</v>
      </c>
      <c r="I19" s="809"/>
      <c r="J19" s="809"/>
      <c r="K19" s="809"/>
    </row>
    <row r="20" spans="2:11" s="807" customFormat="1" ht="29.25" customHeight="1">
      <c r="B20" s="824"/>
      <c r="C20" s="808" t="s">
        <v>253</v>
      </c>
      <c r="D20" s="812" t="s">
        <v>459</v>
      </c>
      <c r="E20" s="817" t="s">
        <v>406</v>
      </c>
      <c r="F20" s="842">
        <v>3869</v>
      </c>
      <c r="G20" s="1413"/>
      <c r="H20" s="837">
        <f t="shared" si="0"/>
        <v>3869</v>
      </c>
      <c r="I20" s="809"/>
      <c r="J20" s="809"/>
      <c r="K20" s="809"/>
    </row>
    <row r="21" spans="2:11" s="807" customFormat="1" ht="29.25" customHeight="1">
      <c r="B21" s="824"/>
      <c r="C21" s="808" t="s">
        <v>253</v>
      </c>
      <c r="D21" s="812" t="s">
        <v>460</v>
      </c>
      <c r="E21" s="817" t="s">
        <v>406</v>
      </c>
      <c r="F21" s="842">
        <v>26226</v>
      </c>
      <c r="G21" s="1413"/>
      <c r="H21" s="837">
        <f t="shared" si="0"/>
        <v>26226</v>
      </c>
      <c r="I21" s="809"/>
      <c r="J21" s="809"/>
      <c r="K21" s="809"/>
    </row>
    <row r="22" spans="2:11" s="807" customFormat="1" ht="29.25" customHeight="1">
      <c r="B22" s="824"/>
      <c r="C22" s="808" t="s">
        <v>253</v>
      </c>
      <c r="D22" s="812" t="s">
        <v>462</v>
      </c>
      <c r="E22" s="817" t="s">
        <v>406</v>
      </c>
      <c r="F22" s="842">
        <v>7020</v>
      </c>
      <c r="G22" s="1413"/>
      <c r="H22" s="837">
        <f t="shared" si="0"/>
        <v>7020</v>
      </c>
      <c r="I22" s="809"/>
      <c r="J22" s="809"/>
      <c r="K22" s="809"/>
    </row>
    <row r="23" spans="2:11" s="807" customFormat="1" ht="19.5" customHeight="1">
      <c r="B23" s="824"/>
      <c r="C23" s="808" t="s">
        <v>253</v>
      </c>
      <c r="D23" s="841" t="s">
        <v>529</v>
      </c>
      <c r="E23" s="818" t="str">
        <f>E26</f>
        <v>K48</v>
      </c>
      <c r="F23" s="844">
        <v>3000</v>
      </c>
      <c r="G23" s="1414"/>
      <c r="H23" s="837">
        <f>SUM(F23:G23)</f>
        <v>3000</v>
      </c>
      <c r="I23" s="809"/>
      <c r="J23" s="809"/>
      <c r="K23" s="809"/>
    </row>
    <row r="24" spans="2:11" s="807" customFormat="1" ht="21" customHeight="1">
      <c r="B24" s="824"/>
      <c r="C24" s="847" t="s">
        <v>253</v>
      </c>
      <c r="D24" s="841" t="s">
        <v>530</v>
      </c>
      <c r="E24" s="818" t="str">
        <f>E25</f>
        <v>K48</v>
      </c>
      <c r="F24" s="844">
        <v>500</v>
      </c>
      <c r="G24" s="1415"/>
      <c r="H24" s="837">
        <f>SUM(F24:G24)</f>
        <v>500</v>
      </c>
      <c r="I24" s="809"/>
      <c r="J24" s="809"/>
      <c r="K24" s="809"/>
    </row>
    <row r="25" spans="2:11" s="807" customFormat="1" ht="20.25" customHeight="1">
      <c r="B25" s="824"/>
      <c r="C25" s="808" t="s">
        <v>253</v>
      </c>
      <c r="D25" s="812" t="s">
        <v>411</v>
      </c>
      <c r="E25" s="817" t="s">
        <v>406</v>
      </c>
      <c r="F25" s="842">
        <v>3516</v>
      </c>
      <c r="G25" s="1413">
        <f>2000+1134</f>
        <v>3134</v>
      </c>
      <c r="H25" s="848">
        <f>SUM(F25:G25)</f>
        <v>6650</v>
      </c>
      <c r="I25" s="809"/>
      <c r="J25" s="809"/>
      <c r="K25" s="809"/>
    </row>
    <row r="26" spans="2:11" s="807" customFormat="1" ht="30.75" customHeight="1">
      <c r="B26" s="824"/>
      <c r="C26" s="847" t="s">
        <v>253</v>
      </c>
      <c r="D26" s="812" t="s">
        <v>412</v>
      </c>
      <c r="E26" s="817" t="s">
        <v>406</v>
      </c>
      <c r="F26" s="849">
        <v>0</v>
      </c>
      <c r="G26" s="849"/>
      <c r="H26" s="848">
        <f>SUM(F26:G26)</f>
        <v>0</v>
      </c>
      <c r="I26" s="809"/>
      <c r="J26" s="809"/>
      <c r="K26" s="809"/>
    </row>
    <row r="27" spans="2:11" s="807" customFormat="1" ht="29.25" customHeight="1" thickBot="1">
      <c r="B27" s="823"/>
      <c r="C27" s="808" t="s">
        <v>253</v>
      </c>
      <c r="D27" s="813" t="s">
        <v>413</v>
      </c>
      <c r="E27" s="818" t="s">
        <v>406</v>
      </c>
      <c r="F27" s="844">
        <v>0</v>
      </c>
      <c r="G27" s="1415"/>
      <c r="H27" s="837">
        <f>SUM(F27:G27)</f>
        <v>0</v>
      </c>
      <c r="I27" s="809"/>
      <c r="J27" s="809"/>
      <c r="K27" s="809"/>
    </row>
    <row r="28" spans="2:11" s="589" customFormat="1" ht="23.25" customHeight="1" thickBot="1">
      <c r="B28" s="1978" t="s">
        <v>407</v>
      </c>
      <c r="C28" s="1979"/>
      <c r="D28" s="1980"/>
      <c r="E28" s="839" t="s">
        <v>359</v>
      </c>
      <c r="F28" s="821">
        <f>F9+F12+F14</f>
        <v>124423</v>
      </c>
      <c r="G28" s="810">
        <f>G9+G12+G14</f>
        <v>-1556</v>
      </c>
      <c r="H28" s="810">
        <f>H9+H12+H14</f>
        <v>122867</v>
      </c>
      <c r="I28" s="599">
        <f>hivatal9!K14</f>
        <v>122867</v>
      </c>
      <c r="J28" s="599">
        <f>SUM(F28:G28)</f>
        <v>122867</v>
      </c>
      <c r="K28" s="599">
        <f>'kiadfő '!H12</f>
        <v>122867</v>
      </c>
    </row>
    <row r="29" spans="2:11" s="807" customFormat="1" ht="30.75" customHeight="1" thickBot="1">
      <c r="B29" s="825"/>
      <c r="C29" s="840" t="s">
        <v>253</v>
      </c>
      <c r="D29" s="814" t="s">
        <v>414</v>
      </c>
      <c r="E29" s="819"/>
      <c r="F29" s="845">
        <f>F10+F11</f>
        <v>2736</v>
      </c>
      <c r="G29" s="1165">
        <f>G10+G11</f>
        <v>-2690</v>
      </c>
      <c r="H29" s="838">
        <f>SUM(F29:G29)</f>
        <v>46</v>
      </c>
      <c r="I29" s="809"/>
      <c r="J29" s="809"/>
      <c r="K29" s="809"/>
    </row>
    <row r="30" spans="2:11" s="807" customFormat="1" ht="30.75" customHeight="1" thickBot="1">
      <c r="B30" s="825"/>
      <c r="C30" s="840" t="s">
        <v>253</v>
      </c>
      <c r="D30" s="814" t="s">
        <v>461</v>
      </c>
      <c r="E30" s="819"/>
      <c r="F30" s="845">
        <f>F15+F17+F18+F19+F20+F21+F22+F23+F24+F16</f>
        <v>118171</v>
      </c>
      <c r="G30" s="1033">
        <f>G15+G17+G18+G19+G20+G21+G22+G23+G24+G16</f>
        <v>-2000</v>
      </c>
      <c r="H30" s="838">
        <f>H15+H17+H18+H19+H20+H21+H22+H23+H24+H16</f>
        <v>116171</v>
      </c>
      <c r="I30" s="809"/>
      <c r="J30" s="809"/>
      <c r="K30" s="809"/>
    </row>
    <row r="31" spans="2:11" s="807" customFormat="1" ht="30.75" customHeight="1" thickBot="1">
      <c r="B31" s="825"/>
      <c r="C31" s="840" t="s">
        <v>253</v>
      </c>
      <c r="D31" s="814" t="s">
        <v>463</v>
      </c>
      <c r="E31" s="819"/>
      <c r="F31" s="1749">
        <f>F25</f>
        <v>3516</v>
      </c>
      <c r="G31" s="1165">
        <f>G25</f>
        <v>3134</v>
      </c>
      <c r="H31" s="1750">
        <f>H25</f>
        <v>6650</v>
      </c>
      <c r="I31" s="809"/>
      <c r="J31" s="809"/>
      <c r="K31" s="809"/>
    </row>
    <row r="32" spans="6:8" ht="12.75">
      <c r="F32" s="846">
        <f>SUM(F29:F31)</f>
        <v>124423</v>
      </c>
      <c r="G32" s="846">
        <f>SUM(G29:G31)</f>
        <v>-1556</v>
      </c>
      <c r="H32" s="846">
        <f>SUM(H29:H31)</f>
        <v>122867</v>
      </c>
    </row>
    <row r="33" ht="12.75">
      <c r="F33" s="225"/>
    </row>
    <row r="34" ht="12.75">
      <c r="H34" s="225"/>
    </row>
    <row r="35" ht="12.75">
      <c r="H35" s="225"/>
    </row>
    <row r="39" ht="11.25" customHeight="1"/>
  </sheetData>
  <sheetProtection/>
  <mergeCells count="9">
    <mergeCell ref="B4:H4"/>
    <mergeCell ref="B28:D28"/>
    <mergeCell ref="C7:D7"/>
    <mergeCell ref="B5:H5"/>
    <mergeCell ref="C8:D8"/>
    <mergeCell ref="C9:D9"/>
    <mergeCell ref="C12:D12"/>
    <mergeCell ref="C14:D14"/>
    <mergeCell ref="B10:B11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6"/>
  <sheetViews>
    <sheetView showGridLines="0" view="pageLayout" zoomScaleNormal="90" workbookViewId="0" topLeftCell="A1">
      <selection activeCell="E1" sqref="E1"/>
    </sheetView>
  </sheetViews>
  <sheetFormatPr defaultColWidth="9.00390625" defaultRowHeight="12.75"/>
  <cols>
    <col min="1" max="1" width="5.50390625" style="254" customWidth="1"/>
    <col min="2" max="2" width="107.375" style="1542" bestFit="1" customWidth="1"/>
    <col min="3" max="3" width="14.625" style="254" customWidth="1"/>
    <col min="4" max="4" width="15.00390625" style="254" customWidth="1"/>
    <col min="5" max="5" width="14.125" style="255" customWidth="1"/>
    <col min="6" max="6" width="13.125" style="726" customWidth="1"/>
    <col min="7" max="7" width="11.375" style="726" customWidth="1"/>
    <col min="8" max="8" width="11.375" style="1790" customWidth="1"/>
    <col min="9" max="9" width="11.375" style="1517" customWidth="1"/>
    <col min="10" max="10" width="12.125" style="1468" customWidth="1"/>
    <col min="11" max="11" width="9.375" style="88" customWidth="1"/>
    <col min="12" max="12" width="12.125" style="88" customWidth="1"/>
    <col min="13" max="16384" width="9.375" style="88" customWidth="1"/>
  </cols>
  <sheetData>
    <row r="1" ht="12.75">
      <c r="E1" s="892"/>
    </row>
    <row r="2" ht="12.75">
      <c r="E2" s="892"/>
    </row>
    <row r="3" spans="1:5" ht="15.75">
      <c r="A3" s="1977" t="s">
        <v>647</v>
      </c>
      <c r="B3" s="1977"/>
      <c r="C3" s="1977"/>
      <c r="D3" s="1977"/>
      <c r="E3" s="1977"/>
    </row>
    <row r="4" spans="1:5" ht="12.75" customHeight="1">
      <c r="A4" s="990"/>
      <c r="B4" s="1543" t="s">
        <v>569</v>
      </c>
      <c r="C4" s="989"/>
      <c r="D4" s="989"/>
      <c r="E4" s="991"/>
    </row>
    <row r="5" spans="2:5" ht="26.25" customHeight="1" thickBot="1">
      <c r="B5" s="1544"/>
      <c r="C5" s="992"/>
      <c r="D5" s="992"/>
      <c r="E5" s="1429" t="s">
        <v>134</v>
      </c>
    </row>
    <row r="6" spans="1:10" ht="27.75" customHeight="1" thickBot="1">
      <c r="A6" s="271" t="s">
        <v>163</v>
      </c>
      <c r="B6" s="1545" t="s">
        <v>151</v>
      </c>
      <c r="C6" s="1467" t="s">
        <v>792</v>
      </c>
      <c r="D6" s="125" t="s">
        <v>130</v>
      </c>
      <c r="E6" s="126" t="s">
        <v>658</v>
      </c>
      <c r="H6" s="1793" t="s">
        <v>910</v>
      </c>
      <c r="I6" s="1518" t="s">
        <v>856</v>
      </c>
      <c r="J6" s="1471" t="s">
        <v>793</v>
      </c>
    </row>
    <row r="7" spans="1:5" ht="13.5" thickBot="1">
      <c r="A7" s="987">
        <v>1</v>
      </c>
      <c r="B7" s="1546">
        <v>2</v>
      </c>
      <c r="C7" s="80">
        <v>3</v>
      </c>
      <c r="D7" s="80">
        <v>4</v>
      </c>
      <c r="E7" s="1394">
        <v>5</v>
      </c>
    </row>
    <row r="8" spans="1:12" s="257" customFormat="1" ht="15" customHeight="1">
      <c r="A8" s="985"/>
      <c r="B8" s="1547" t="s">
        <v>595</v>
      </c>
      <c r="C8" s="1217">
        <v>1125</v>
      </c>
      <c r="D8" s="1063"/>
      <c r="E8" s="986">
        <f aca="true" t="shared" si="0" ref="E8:E16">SUM(C8:D8)</f>
        <v>1125</v>
      </c>
      <c r="F8" s="1032"/>
      <c r="G8" s="726"/>
      <c r="H8" s="1790">
        <v>1125</v>
      </c>
      <c r="I8" s="1517">
        <v>1125</v>
      </c>
      <c r="J8" s="1468">
        <v>1125</v>
      </c>
      <c r="L8" s="1493"/>
    </row>
    <row r="9" spans="1:12" s="257" customFormat="1" ht="15" customHeight="1">
      <c r="A9" s="985"/>
      <c r="B9" s="1548" t="s">
        <v>539</v>
      </c>
      <c r="C9" s="1217">
        <v>150</v>
      </c>
      <c r="D9" s="1063"/>
      <c r="E9" s="986">
        <f t="shared" si="0"/>
        <v>150</v>
      </c>
      <c r="F9" s="1032"/>
      <c r="G9" s="726"/>
      <c r="H9" s="1790"/>
      <c r="I9" s="1517"/>
      <c r="J9" s="1468"/>
      <c r="L9" s="1493"/>
    </row>
    <row r="10" spans="1:12" s="257" customFormat="1" ht="15" customHeight="1">
      <c r="A10" s="985"/>
      <c r="B10" s="1549" t="s">
        <v>622</v>
      </c>
      <c r="C10" s="1217">
        <v>4915</v>
      </c>
      <c r="D10" s="1063">
        <v>-127</v>
      </c>
      <c r="E10" s="986">
        <f t="shared" si="0"/>
        <v>4788</v>
      </c>
      <c r="F10" s="1032"/>
      <c r="G10" s="726"/>
      <c r="H10" s="1790">
        <v>4681</v>
      </c>
      <c r="I10" s="1517"/>
      <c r="J10" s="1468"/>
      <c r="L10" s="1493"/>
    </row>
    <row r="11" spans="1:12" s="257" customFormat="1" ht="15" customHeight="1">
      <c r="A11" s="985"/>
      <c r="B11" s="1549" t="s">
        <v>864</v>
      </c>
      <c r="C11" s="1259">
        <v>6928</v>
      </c>
      <c r="D11" s="1063"/>
      <c r="E11" s="256">
        <f t="shared" si="0"/>
        <v>6928</v>
      </c>
      <c r="F11" s="1032"/>
      <c r="G11" s="726"/>
      <c r="H11" s="1790">
        <v>6759</v>
      </c>
      <c r="I11" s="1517"/>
      <c r="J11" s="1468"/>
      <c r="L11" s="1493"/>
    </row>
    <row r="12" spans="1:12" s="257" customFormat="1" ht="15" customHeight="1">
      <c r="A12" s="985"/>
      <c r="B12" s="1550" t="s">
        <v>786</v>
      </c>
      <c r="C12" s="1259">
        <v>27000</v>
      </c>
      <c r="D12" s="1063"/>
      <c r="E12" s="256">
        <f t="shared" si="0"/>
        <v>27000</v>
      </c>
      <c r="F12" s="1032"/>
      <c r="G12" s="726"/>
      <c r="H12" s="1790">
        <v>26851</v>
      </c>
      <c r="I12" s="1517">
        <v>13098</v>
      </c>
      <c r="J12" s="1468"/>
      <c r="L12" s="1493"/>
    </row>
    <row r="13" spans="1:12" s="257" customFormat="1" ht="15" customHeight="1">
      <c r="A13" s="985"/>
      <c r="B13" s="1549" t="s">
        <v>581</v>
      </c>
      <c r="C13" s="1259"/>
      <c r="D13" s="1063">
        <v>29063</v>
      </c>
      <c r="E13" s="256">
        <f t="shared" si="0"/>
        <v>29063</v>
      </c>
      <c r="F13" s="1032"/>
      <c r="G13" s="726"/>
      <c r="H13" s="1790">
        <v>26227</v>
      </c>
      <c r="I13" s="1517"/>
      <c r="J13" s="1468"/>
      <c r="L13" s="1493"/>
    </row>
    <row r="14" spans="1:12" s="257" customFormat="1" ht="15" customHeight="1">
      <c r="A14" s="985"/>
      <c r="B14" s="1549" t="s">
        <v>678</v>
      </c>
      <c r="C14" s="1259">
        <v>155387</v>
      </c>
      <c r="D14" s="1063">
        <v>-5000</v>
      </c>
      <c r="E14" s="256">
        <f t="shared" si="0"/>
        <v>150387</v>
      </c>
      <c r="F14" s="1032"/>
      <c r="G14" s="726"/>
      <c r="H14" s="1790">
        <v>148025</v>
      </c>
      <c r="I14" s="1517">
        <v>108191</v>
      </c>
      <c r="J14" s="1468">
        <v>5804</v>
      </c>
      <c r="L14" s="1493"/>
    </row>
    <row r="15" spans="1:12" s="257" customFormat="1" ht="15" customHeight="1">
      <c r="A15" s="985"/>
      <c r="B15" s="1549" t="s">
        <v>715</v>
      </c>
      <c r="C15" s="1259">
        <v>713</v>
      </c>
      <c r="D15" s="1063"/>
      <c r="E15" s="256">
        <f t="shared" si="0"/>
        <v>713</v>
      </c>
      <c r="F15" s="1032"/>
      <c r="G15" s="726"/>
      <c r="H15" s="1790"/>
      <c r="I15" s="1517"/>
      <c r="J15" s="1468"/>
      <c r="L15" s="1493"/>
    </row>
    <row r="16" spans="1:12" s="257" customFormat="1" ht="15" customHeight="1" thickBot="1">
      <c r="A16" s="985"/>
      <c r="B16" s="1551" t="s">
        <v>789</v>
      </c>
      <c r="C16" s="1035">
        <v>12635</v>
      </c>
      <c r="D16" s="1426"/>
      <c r="E16" s="256">
        <f t="shared" si="0"/>
        <v>12635</v>
      </c>
      <c r="F16" s="1032"/>
      <c r="G16" s="726"/>
      <c r="H16" s="1790">
        <v>12623</v>
      </c>
      <c r="I16" s="1517"/>
      <c r="J16" s="1468"/>
      <c r="L16" s="1493"/>
    </row>
    <row r="17" spans="1:12" s="257" customFormat="1" ht="15" customHeight="1" thickBot="1">
      <c r="A17" s="1062" t="s">
        <v>112</v>
      </c>
      <c r="B17" s="1552" t="s">
        <v>670</v>
      </c>
      <c r="C17" s="1064">
        <f>SUM(C8:C16)</f>
        <v>208853</v>
      </c>
      <c r="D17" s="1064">
        <f>SUM(D8:D16)</f>
        <v>23936</v>
      </c>
      <c r="E17" s="1064">
        <f>SUM(E8:E16)</f>
        <v>232789</v>
      </c>
      <c r="F17" s="1032">
        <f>SUM(C17:D17)</f>
        <v>232789</v>
      </c>
      <c r="G17" s="726"/>
      <c r="H17" s="1790"/>
      <c r="I17" s="1517"/>
      <c r="J17" s="1468"/>
      <c r="L17" s="1493"/>
    </row>
    <row r="18" spans="1:12" s="257" customFormat="1" ht="15" customHeight="1">
      <c r="A18" s="1004"/>
      <c r="B18" s="1553" t="s">
        <v>875</v>
      </c>
      <c r="C18" s="1034">
        <v>167466</v>
      </c>
      <c r="D18" s="1427"/>
      <c r="E18" s="256">
        <f>SUM(C18:D18)</f>
        <v>167466</v>
      </c>
      <c r="F18" s="1032"/>
      <c r="G18" s="726"/>
      <c r="H18" s="1790"/>
      <c r="I18" s="1517"/>
      <c r="J18" s="1468"/>
      <c r="L18" s="1493"/>
    </row>
    <row r="19" spans="1:12" s="1534" customFormat="1" ht="15" customHeight="1">
      <c r="A19" s="1539"/>
      <c r="B19" s="1554" t="s">
        <v>877</v>
      </c>
      <c r="C19" s="1540">
        <v>33878</v>
      </c>
      <c r="D19" s="1492"/>
      <c r="E19" s="1510">
        <v>33878</v>
      </c>
      <c r="F19" s="1533"/>
      <c r="H19" s="1794">
        <v>33878</v>
      </c>
      <c r="I19" s="1541"/>
      <c r="J19" s="1485"/>
      <c r="L19" s="1493"/>
    </row>
    <row r="20" spans="1:12" s="1534" customFormat="1" ht="15" customHeight="1">
      <c r="A20" s="1539"/>
      <c r="B20" s="1554" t="s">
        <v>878</v>
      </c>
      <c r="C20" s="1540">
        <v>17721</v>
      </c>
      <c r="D20" s="1492"/>
      <c r="E20" s="1510">
        <v>17721</v>
      </c>
      <c r="F20" s="1533"/>
      <c r="H20" s="1794">
        <v>17719</v>
      </c>
      <c r="I20" s="1541"/>
      <c r="J20" s="1485"/>
      <c r="L20" s="1493"/>
    </row>
    <row r="21" spans="1:12" s="1534" customFormat="1" ht="15" customHeight="1">
      <c r="A21" s="1539"/>
      <c r="B21" s="1554" t="s">
        <v>876</v>
      </c>
      <c r="C21" s="1540">
        <v>11879</v>
      </c>
      <c r="D21" s="1492"/>
      <c r="E21" s="1510">
        <v>11879</v>
      </c>
      <c r="F21" s="1533"/>
      <c r="H21" s="1794">
        <v>11869</v>
      </c>
      <c r="I21" s="1541"/>
      <c r="J21" s="1485"/>
      <c r="L21" s="1493"/>
    </row>
    <row r="22" spans="1:12" s="1534" customFormat="1" ht="15" customHeight="1">
      <c r="A22" s="1539"/>
      <c r="B22" s="1554" t="s">
        <v>879</v>
      </c>
      <c r="C22" s="1540">
        <v>5580</v>
      </c>
      <c r="D22" s="1492"/>
      <c r="E22" s="1510">
        <v>5580</v>
      </c>
      <c r="F22" s="1533"/>
      <c r="H22" s="1794">
        <v>5578</v>
      </c>
      <c r="I22" s="1541"/>
      <c r="J22" s="1485"/>
      <c r="L22" s="1493"/>
    </row>
    <row r="23" spans="1:12" s="1534" customFormat="1" ht="15" customHeight="1">
      <c r="A23" s="1539"/>
      <c r="B23" s="1554" t="s">
        <v>880</v>
      </c>
      <c r="C23" s="1540">
        <v>54495</v>
      </c>
      <c r="D23" s="1492"/>
      <c r="E23" s="1510">
        <v>54495</v>
      </c>
      <c r="F23" s="1533"/>
      <c r="H23" s="1794">
        <v>54460</v>
      </c>
      <c r="I23" s="1541"/>
      <c r="J23" s="1485"/>
      <c r="L23" s="1493"/>
    </row>
    <row r="24" spans="1:12" s="1534" customFormat="1" ht="15" customHeight="1">
      <c r="A24" s="1539"/>
      <c r="B24" s="1554" t="s">
        <v>881</v>
      </c>
      <c r="C24" s="1540">
        <v>43812</v>
      </c>
      <c r="D24" s="1492"/>
      <c r="E24" s="1510">
        <v>43812</v>
      </c>
      <c r="F24" s="1533"/>
      <c r="H24" s="1794">
        <v>43809</v>
      </c>
      <c r="I24" s="1541"/>
      <c r="J24" s="1485"/>
      <c r="L24" s="1493"/>
    </row>
    <row r="25" spans="1:12" s="1534" customFormat="1" ht="15" customHeight="1">
      <c r="A25" s="1539"/>
      <c r="B25" s="1623" t="s">
        <v>720</v>
      </c>
      <c r="C25" s="1540"/>
      <c r="D25" s="211">
        <v>7515</v>
      </c>
      <c r="E25" s="256">
        <f>SUM(C25:D25)</f>
        <v>7515</v>
      </c>
      <c r="F25" s="1533"/>
      <c r="H25" s="1794"/>
      <c r="I25" s="1541"/>
      <c r="J25" s="1485"/>
      <c r="L25" s="1493"/>
    </row>
    <row r="26" spans="1:12" s="1534" customFormat="1" ht="15" customHeight="1" thickBot="1">
      <c r="A26" s="1539"/>
      <c r="B26" s="1739" t="s">
        <v>891</v>
      </c>
      <c r="C26" s="1782"/>
      <c r="D26" s="1520">
        <v>7515</v>
      </c>
      <c r="E26" s="1783">
        <f>SUM(C26:D26)</f>
        <v>7515</v>
      </c>
      <c r="F26" s="1533"/>
      <c r="H26" s="1792">
        <v>7515</v>
      </c>
      <c r="I26" s="1541"/>
      <c r="J26" s="1485"/>
      <c r="L26" s="1493"/>
    </row>
    <row r="27" spans="1:12" s="257" customFormat="1" ht="15" customHeight="1" thickBot="1">
      <c r="A27" s="236" t="s">
        <v>114</v>
      </c>
      <c r="B27" s="1555" t="s">
        <v>468</v>
      </c>
      <c r="C27" s="214">
        <f>C18+C25</f>
        <v>167466</v>
      </c>
      <c r="D27" s="214">
        <f>D18+D25</f>
        <v>7515</v>
      </c>
      <c r="E27" s="1314">
        <f>E18+E25</f>
        <v>174981</v>
      </c>
      <c r="F27" s="1032">
        <f>SUM(C27:D27)</f>
        <v>174981</v>
      </c>
      <c r="G27" s="726"/>
      <c r="H27" s="1790"/>
      <c r="I27" s="1517"/>
      <c r="J27" s="1468"/>
      <c r="L27" s="1493"/>
    </row>
    <row r="28" spans="1:12" s="257" customFormat="1" ht="15" customHeight="1">
      <c r="A28" s="1004"/>
      <c r="B28" s="1556" t="s">
        <v>505</v>
      </c>
      <c r="C28" s="1034">
        <v>11901</v>
      </c>
      <c r="D28" s="1427">
        <v>2460</v>
      </c>
      <c r="E28" s="986">
        <f aca="true" t="shared" si="1" ref="E28:E33">SUM(C28:D28)</f>
        <v>14361</v>
      </c>
      <c r="F28" s="1032"/>
      <c r="G28" s="726"/>
      <c r="H28" s="1790">
        <v>9824</v>
      </c>
      <c r="I28" s="1517">
        <v>9824</v>
      </c>
      <c r="J28" s="1468">
        <v>6058</v>
      </c>
      <c r="L28" s="1493"/>
    </row>
    <row r="29" spans="1:12" s="257" customFormat="1" ht="15" customHeight="1">
      <c r="A29" s="1004"/>
      <c r="B29" s="1557" t="s">
        <v>466</v>
      </c>
      <c r="C29" s="1034">
        <v>406</v>
      </c>
      <c r="D29" s="1427">
        <v>-164</v>
      </c>
      <c r="E29" s="256">
        <f t="shared" si="1"/>
        <v>242</v>
      </c>
      <c r="F29" s="1032"/>
      <c r="G29" s="726"/>
      <c r="H29" s="1790"/>
      <c r="I29" s="1517"/>
      <c r="J29" s="1468"/>
      <c r="L29" s="1493"/>
    </row>
    <row r="30" spans="1:12" s="257" customFormat="1" ht="15" customHeight="1">
      <c r="A30" s="1004"/>
      <c r="B30" s="1558" t="s">
        <v>582</v>
      </c>
      <c r="C30" s="1034">
        <v>11445</v>
      </c>
      <c r="D30" s="1427">
        <v>-11445</v>
      </c>
      <c r="E30" s="256">
        <f t="shared" si="1"/>
        <v>0</v>
      </c>
      <c r="F30" s="1032"/>
      <c r="G30" s="726"/>
      <c r="H30" s="1790"/>
      <c r="I30" s="1517"/>
      <c r="J30" s="1468"/>
      <c r="L30" s="1493"/>
    </row>
    <row r="31" spans="1:12" s="257" customFormat="1" ht="15" customHeight="1">
      <c r="A31" s="1004"/>
      <c r="B31" s="1559" t="s">
        <v>680</v>
      </c>
      <c r="C31" s="1034">
        <v>1996</v>
      </c>
      <c r="D31" s="1427"/>
      <c r="E31" s="256">
        <f t="shared" si="1"/>
        <v>1996</v>
      </c>
      <c r="F31" s="1032"/>
      <c r="G31" s="726"/>
      <c r="H31" s="1790">
        <v>1901</v>
      </c>
      <c r="I31" s="1517">
        <v>1901</v>
      </c>
      <c r="J31" s="1468">
        <v>1901</v>
      </c>
      <c r="L31" s="1493"/>
    </row>
    <row r="32" spans="1:12" s="257" customFormat="1" ht="15" customHeight="1">
      <c r="A32" s="1004"/>
      <c r="B32" s="1558" t="s">
        <v>541</v>
      </c>
      <c r="C32" s="1259">
        <v>1000</v>
      </c>
      <c r="D32" s="258">
        <v>-1000</v>
      </c>
      <c r="E32" s="256">
        <f t="shared" si="1"/>
        <v>0</v>
      </c>
      <c r="F32" s="1032"/>
      <c r="G32" s="726"/>
      <c r="H32" s="1790"/>
      <c r="I32" s="1517"/>
      <c r="J32" s="1468"/>
      <c r="L32" s="1493"/>
    </row>
    <row r="33" spans="1:12" s="257" customFormat="1" ht="15" customHeight="1" thickBot="1">
      <c r="A33" s="1004"/>
      <c r="B33" s="1560" t="s">
        <v>679</v>
      </c>
      <c r="C33" s="1035">
        <v>5532</v>
      </c>
      <c r="D33" s="1428"/>
      <c r="E33" s="256">
        <f t="shared" si="1"/>
        <v>5532</v>
      </c>
      <c r="F33" s="1032"/>
      <c r="G33" s="726"/>
      <c r="H33" s="1790"/>
      <c r="I33" s="1517"/>
      <c r="J33" s="1468"/>
      <c r="L33" s="1493"/>
    </row>
    <row r="34" spans="1:13" s="257" customFormat="1" ht="15" customHeight="1" thickBot="1">
      <c r="A34" s="294" t="s">
        <v>115</v>
      </c>
      <c r="B34" s="1555" t="s">
        <v>469</v>
      </c>
      <c r="C34" s="214">
        <f>SUM(C28:C33)</f>
        <v>32280</v>
      </c>
      <c r="D34" s="214">
        <f>SUM(D28:D33)</f>
        <v>-10149</v>
      </c>
      <c r="E34" s="214">
        <f>SUM(E28:E33)</f>
        <v>22131</v>
      </c>
      <c r="F34" s="1032">
        <f>SUM(C34:D34)</f>
        <v>22131</v>
      </c>
      <c r="G34" s="726"/>
      <c r="H34" s="1790"/>
      <c r="I34" s="1517"/>
      <c r="J34" s="1468"/>
      <c r="L34" s="1493"/>
      <c r="M34" s="257" t="s">
        <v>230</v>
      </c>
    </row>
    <row r="35" spans="1:12" s="257" customFormat="1" ht="15" customHeight="1">
      <c r="A35" s="259"/>
      <c r="B35" s="1473" t="s">
        <v>721</v>
      </c>
      <c r="C35" s="1507"/>
      <c r="D35" s="1508"/>
      <c r="E35" s="1508"/>
      <c r="F35" s="1032"/>
      <c r="G35" s="726"/>
      <c r="H35" s="1790"/>
      <c r="I35" s="1517"/>
      <c r="J35" s="1468"/>
      <c r="L35" s="1493"/>
    </row>
    <row r="36" spans="1:12" s="257" customFormat="1" ht="15" customHeight="1">
      <c r="A36" s="259"/>
      <c r="B36" s="1473" t="s">
        <v>841</v>
      </c>
      <c r="C36" s="211">
        <v>7469</v>
      </c>
      <c r="D36" s="211"/>
      <c r="E36" s="1521">
        <f>SUM(C36:D36)</f>
        <v>7469</v>
      </c>
      <c r="F36" s="1032"/>
      <c r="G36" s="726"/>
      <c r="H36" s="1790">
        <v>7186</v>
      </c>
      <c r="I36" s="1517">
        <v>7186</v>
      </c>
      <c r="J36" s="1468"/>
      <c r="L36" s="1493"/>
    </row>
    <row r="37" spans="1:12" s="257" customFormat="1" ht="15" customHeight="1">
      <c r="A37" s="259"/>
      <c r="B37" s="1784" t="s">
        <v>865</v>
      </c>
      <c r="C37" s="211">
        <v>3243</v>
      </c>
      <c r="D37" s="211"/>
      <c r="E37" s="1521">
        <f>SUM(C37:D37)</f>
        <v>3243</v>
      </c>
      <c r="F37" s="1032"/>
      <c r="G37" s="726"/>
      <c r="H37" s="1790"/>
      <c r="I37" s="1517"/>
      <c r="J37" s="1468"/>
      <c r="L37" s="1493"/>
    </row>
    <row r="38" spans="1:12" s="257" customFormat="1" ht="15" customHeight="1" thickBot="1">
      <c r="A38" s="259"/>
      <c r="B38" s="1473" t="s">
        <v>722</v>
      </c>
      <c r="C38" s="1416"/>
      <c r="D38" s="1416">
        <v>30531</v>
      </c>
      <c r="E38" s="1521">
        <f>SUM(C38:D38)</f>
        <v>30531</v>
      </c>
      <c r="F38" s="1032"/>
      <c r="G38" s="726"/>
      <c r="H38" s="1790"/>
      <c r="I38" s="1517"/>
      <c r="J38" s="1468"/>
      <c r="L38" s="1493"/>
    </row>
    <row r="39" spans="1:12" s="257" customFormat="1" ht="15" customHeight="1" thickBot="1">
      <c r="A39" s="294" t="s">
        <v>117</v>
      </c>
      <c r="B39" s="1555" t="s">
        <v>506</v>
      </c>
      <c r="C39" s="1260">
        <f>SUM(C35:C38)</f>
        <v>10712</v>
      </c>
      <c r="D39" s="1260">
        <f>SUM(D35:D38)</f>
        <v>30531</v>
      </c>
      <c r="E39" s="1260">
        <f>SUM(E35:E38)</f>
        <v>41243</v>
      </c>
      <c r="F39" s="1032">
        <f>SUM(C39:D39)</f>
        <v>41243</v>
      </c>
      <c r="G39" s="726"/>
      <c r="H39" s="1790"/>
      <c r="I39" s="1517"/>
      <c r="J39" s="1468"/>
      <c r="L39" s="1493"/>
    </row>
    <row r="40" spans="1:12" s="257" customFormat="1" ht="15" customHeight="1">
      <c r="A40" s="1997"/>
      <c r="B40" s="1561" t="s">
        <v>613</v>
      </c>
      <c r="C40" s="211">
        <v>30498</v>
      </c>
      <c r="D40" s="1022"/>
      <c r="E40" s="217">
        <f>SUM(C40:D40)</f>
        <v>30498</v>
      </c>
      <c r="F40" s="1032"/>
      <c r="G40" s="726"/>
      <c r="H40" s="1798">
        <v>30498</v>
      </c>
      <c r="I40" s="1524">
        <v>30497</v>
      </c>
      <c r="J40" s="1468"/>
      <c r="L40" s="1493"/>
    </row>
    <row r="41" spans="1:12" s="257" customFormat="1" ht="15" customHeight="1">
      <c r="A41" s="1997"/>
      <c r="B41" s="1559" t="s">
        <v>614</v>
      </c>
      <c r="C41" s="211">
        <v>3936</v>
      </c>
      <c r="D41" s="1022"/>
      <c r="E41" s="217">
        <f>SUM(C41:D41)</f>
        <v>3936</v>
      </c>
      <c r="F41" s="1032"/>
      <c r="G41" s="726"/>
      <c r="H41" s="1798">
        <v>3936</v>
      </c>
      <c r="I41" s="1524">
        <v>3936</v>
      </c>
      <c r="J41" s="1468"/>
      <c r="L41" s="1493"/>
    </row>
    <row r="42" spans="1:12" s="257" customFormat="1" ht="15" customHeight="1">
      <c r="A42" s="1997"/>
      <c r="B42" s="1572" t="s">
        <v>593</v>
      </c>
      <c r="C42" s="215"/>
      <c r="D42" s="1317">
        <v>13000</v>
      </c>
      <c r="E42" s="217">
        <f>SUM(C42:D42)</f>
        <v>13000</v>
      </c>
      <c r="F42" s="1032"/>
      <c r="G42" s="726"/>
      <c r="H42" s="1798">
        <f>57+1950</f>
        <v>2007</v>
      </c>
      <c r="I42" s="1524"/>
      <c r="J42" s="1468"/>
      <c r="L42" s="1493"/>
    </row>
    <row r="43" spans="1:12" s="257" customFormat="1" ht="24.75" customHeight="1">
      <c r="A43" s="1997"/>
      <c r="B43" s="1628" t="s">
        <v>725</v>
      </c>
      <c r="C43" s="215"/>
      <c r="D43" s="1317">
        <v>628</v>
      </c>
      <c r="E43" s="217">
        <f>SUM(C43:D43)</f>
        <v>628</v>
      </c>
      <c r="F43" s="1032"/>
      <c r="G43" s="726"/>
      <c r="H43" s="1790">
        <v>628</v>
      </c>
      <c r="I43" s="1517"/>
      <c r="J43" s="1468"/>
      <c r="L43" s="1493"/>
    </row>
    <row r="44" spans="1:12" s="257" customFormat="1" ht="15" customHeight="1">
      <c r="A44" s="1997"/>
      <c r="B44" s="1562" t="s">
        <v>681</v>
      </c>
      <c r="C44" s="215">
        <v>400</v>
      </c>
      <c r="D44" s="215"/>
      <c r="E44" s="213">
        <f aca="true" t="shared" si="2" ref="E44:E49">SUM(C44:D44)</f>
        <v>400</v>
      </c>
      <c r="F44" s="1032"/>
      <c r="G44" s="726"/>
      <c r="H44" s="1790"/>
      <c r="I44" s="1517"/>
      <c r="J44" s="1468"/>
      <c r="L44" s="1493"/>
    </row>
    <row r="45" spans="1:12" s="257" customFormat="1" ht="23.25" customHeight="1">
      <c r="A45" s="1997"/>
      <c r="B45" s="1563" t="s">
        <v>726</v>
      </c>
      <c r="C45" s="215">
        <v>814</v>
      </c>
      <c r="D45" s="215"/>
      <c r="E45" s="213">
        <f t="shared" si="2"/>
        <v>814</v>
      </c>
      <c r="F45" s="1032"/>
      <c r="G45" s="726"/>
      <c r="H45" s="1790">
        <v>814</v>
      </c>
      <c r="I45" s="1517">
        <v>814</v>
      </c>
      <c r="J45" s="1468"/>
      <c r="L45" s="1493"/>
    </row>
    <row r="46" spans="1:12" s="257" customFormat="1" ht="15" customHeight="1">
      <c r="A46" s="1997"/>
      <c r="B46" s="1562" t="s">
        <v>682</v>
      </c>
      <c r="C46" s="215">
        <v>1000</v>
      </c>
      <c r="D46" s="215">
        <v>-1000</v>
      </c>
      <c r="E46" s="217">
        <f t="shared" si="2"/>
        <v>0</v>
      </c>
      <c r="F46" s="1032"/>
      <c r="G46" s="726"/>
      <c r="H46" s="1790"/>
      <c r="I46" s="1517"/>
      <c r="J46" s="1468"/>
      <c r="L46" s="1493"/>
    </row>
    <row r="47" spans="1:12" s="257" customFormat="1" ht="15" customHeight="1">
      <c r="A47" s="1997"/>
      <c r="B47" s="1564" t="s">
        <v>612</v>
      </c>
      <c r="C47" s="211">
        <v>38000</v>
      </c>
      <c r="D47" s="1022">
        <v>-25916</v>
      </c>
      <c r="E47" s="217">
        <f>SUM(C47:D47)</f>
        <v>12084</v>
      </c>
      <c r="F47" s="1032"/>
      <c r="G47" s="726"/>
      <c r="H47" s="1790"/>
      <c r="I47" s="1517"/>
      <c r="J47" s="1468"/>
      <c r="L47" s="1493"/>
    </row>
    <row r="48" spans="1:12" s="257" customFormat="1" ht="15" customHeight="1">
      <c r="A48" s="1997"/>
      <c r="B48" s="1565" t="s">
        <v>644</v>
      </c>
      <c r="C48" s="211">
        <v>20000</v>
      </c>
      <c r="D48" s="1022"/>
      <c r="E48" s="217">
        <f>SUM(C48:D48)</f>
        <v>20000</v>
      </c>
      <c r="F48" s="1032"/>
      <c r="G48" s="726"/>
      <c r="H48" s="1790">
        <v>18353</v>
      </c>
      <c r="I48" s="1517">
        <v>18353</v>
      </c>
      <c r="J48" s="1468"/>
      <c r="L48" s="1493"/>
    </row>
    <row r="49" spans="1:12" s="257" customFormat="1" ht="15" customHeight="1" thickBot="1">
      <c r="A49" s="1996"/>
      <c r="B49" s="1566" t="s">
        <v>683</v>
      </c>
      <c r="C49" s="1373">
        <v>30</v>
      </c>
      <c r="D49" s="1373"/>
      <c r="E49" s="1312">
        <f t="shared" si="2"/>
        <v>30</v>
      </c>
      <c r="F49" s="1032"/>
      <c r="G49" s="726"/>
      <c r="H49" s="1790"/>
      <c r="I49" s="1517"/>
      <c r="J49" s="1468"/>
      <c r="L49" s="1493"/>
    </row>
    <row r="50" spans="1:12" s="257" customFormat="1" ht="15" customHeight="1" thickBot="1">
      <c r="A50" s="272" t="s">
        <v>98</v>
      </c>
      <c r="B50" s="1567" t="s">
        <v>509</v>
      </c>
      <c r="C50" s="262">
        <f>SUM(C40:C49)</f>
        <v>94678</v>
      </c>
      <c r="D50" s="262">
        <f>SUM(D40:D49)</f>
        <v>-13288</v>
      </c>
      <c r="E50" s="262">
        <f>SUM(E40:E49)</f>
        <v>81390</v>
      </c>
      <c r="F50" s="1032"/>
      <c r="G50" s="726"/>
      <c r="H50" s="1790"/>
      <c r="I50" s="1517"/>
      <c r="J50" s="1468"/>
      <c r="L50" s="1493"/>
    </row>
    <row r="51" spans="1:12" s="1200" customFormat="1" ht="15" customHeight="1" thickBot="1">
      <c r="A51" s="988"/>
      <c r="B51" s="1568" t="s">
        <v>684</v>
      </c>
      <c r="C51" s="1369">
        <v>5000</v>
      </c>
      <c r="D51" s="1368"/>
      <c r="E51" s="256">
        <f>SUM(C51:D51)</f>
        <v>5000</v>
      </c>
      <c r="F51" s="725"/>
      <c r="G51" s="724"/>
      <c r="H51" s="1791"/>
      <c r="I51" s="1523"/>
      <c r="J51" s="1470"/>
      <c r="L51" s="1493"/>
    </row>
    <row r="52" spans="1:12" s="257" customFormat="1" ht="15" customHeight="1" thickBot="1">
      <c r="A52" s="235" t="s">
        <v>99</v>
      </c>
      <c r="B52" s="1569" t="s">
        <v>508</v>
      </c>
      <c r="C52" s="262">
        <f>SUM(C51:C51)</f>
        <v>5000</v>
      </c>
      <c r="D52" s="262">
        <f>SUM(D51:D51)</f>
        <v>0</v>
      </c>
      <c r="E52" s="1318">
        <f>SUM(E51:E51)</f>
        <v>5000</v>
      </c>
      <c r="F52" s="1032"/>
      <c r="G52" s="726"/>
      <c r="H52" s="1790"/>
      <c r="I52" s="1517"/>
      <c r="J52" s="1468"/>
      <c r="L52" s="1493"/>
    </row>
    <row r="53" spans="1:12" s="257" customFormat="1" ht="15" customHeight="1">
      <c r="A53" s="259"/>
      <c r="B53" s="1570" t="s">
        <v>685</v>
      </c>
      <c r="C53" s="1372">
        <v>22000</v>
      </c>
      <c r="D53" s="215"/>
      <c r="E53" s="213">
        <f aca="true" t="shared" si="3" ref="E53:E60">SUM(C53:D53)</f>
        <v>22000</v>
      </c>
      <c r="F53" s="1032"/>
      <c r="G53" s="726"/>
      <c r="H53" s="1790">
        <v>21888</v>
      </c>
      <c r="I53" s="1517">
        <v>21888</v>
      </c>
      <c r="J53" s="1468"/>
      <c r="L53" s="1493"/>
    </row>
    <row r="54" spans="1:12" s="257" customFormat="1" ht="25.5" customHeight="1">
      <c r="A54" s="259"/>
      <c r="B54" s="1570" t="s">
        <v>686</v>
      </c>
      <c r="C54" s="1371">
        <v>1500</v>
      </c>
      <c r="D54" s="211"/>
      <c r="E54" s="213">
        <f t="shared" si="3"/>
        <v>1500</v>
      </c>
      <c r="F54" s="1032"/>
      <c r="G54" s="726"/>
      <c r="H54" s="1790"/>
      <c r="I54" s="1517"/>
      <c r="J54" s="1468"/>
      <c r="L54" s="1493"/>
    </row>
    <row r="55" spans="1:12" s="257" customFormat="1" ht="15" customHeight="1">
      <c r="A55" s="259"/>
      <c r="B55" s="1550" t="s">
        <v>687</v>
      </c>
      <c r="C55" s="1371">
        <v>3300</v>
      </c>
      <c r="D55" s="211"/>
      <c r="E55" s="213">
        <f>SUM(C55:D55)</f>
        <v>3300</v>
      </c>
      <c r="F55" s="1032"/>
      <c r="G55" s="726"/>
      <c r="H55" s="1790">
        <v>3298</v>
      </c>
      <c r="I55" s="1517">
        <v>3298</v>
      </c>
      <c r="J55" s="1468"/>
      <c r="L55" s="1493"/>
    </row>
    <row r="56" spans="1:12" s="257" customFormat="1" ht="15" customHeight="1">
      <c r="A56" s="259"/>
      <c r="B56" s="1571" t="s">
        <v>688</v>
      </c>
      <c r="C56" s="1371">
        <v>2000</v>
      </c>
      <c r="D56" s="211"/>
      <c r="E56" s="213">
        <f>SUM(C56:D56)</f>
        <v>2000</v>
      </c>
      <c r="F56" s="1032"/>
      <c r="G56" s="726"/>
      <c r="H56" s="1790"/>
      <c r="I56" s="1517"/>
      <c r="J56" s="1468"/>
      <c r="L56" s="1493"/>
    </row>
    <row r="57" spans="1:12" s="257" customFormat="1" ht="15" customHeight="1">
      <c r="A57" s="259"/>
      <c r="B57" s="1571" t="s">
        <v>689</v>
      </c>
      <c r="C57" s="1371">
        <v>3970</v>
      </c>
      <c r="D57" s="211"/>
      <c r="E57" s="213">
        <f t="shared" si="3"/>
        <v>3970</v>
      </c>
      <c r="F57" s="1032"/>
      <c r="G57" s="726"/>
      <c r="H57" s="1790">
        <v>3970</v>
      </c>
      <c r="I57" s="1517"/>
      <c r="J57" s="1468"/>
      <c r="L57" s="1493"/>
    </row>
    <row r="58" spans="1:12" s="257" customFormat="1" ht="15" customHeight="1">
      <c r="A58" s="259"/>
      <c r="B58" s="1571" t="s">
        <v>690</v>
      </c>
      <c r="C58" s="1371">
        <v>100</v>
      </c>
      <c r="D58" s="211"/>
      <c r="E58" s="213">
        <f t="shared" si="3"/>
        <v>100</v>
      </c>
      <c r="F58" s="1032"/>
      <c r="G58" s="726"/>
      <c r="H58" s="1790"/>
      <c r="I58" s="1517"/>
      <c r="J58" s="1468"/>
      <c r="L58" s="1493"/>
    </row>
    <row r="59" spans="1:12" s="257" customFormat="1" ht="15" customHeight="1">
      <c r="A59" s="259"/>
      <c r="B59" s="1550" t="s">
        <v>691</v>
      </c>
      <c r="C59" s="1371">
        <v>11500</v>
      </c>
      <c r="D59" s="211"/>
      <c r="E59" s="213">
        <f>SUM(C59:D59)</f>
        <v>11500</v>
      </c>
      <c r="F59" s="1032"/>
      <c r="G59" s="726"/>
      <c r="H59" s="1790">
        <v>11500</v>
      </c>
      <c r="I59" s="1517">
        <v>11500</v>
      </c>
      <c r="J59" s="1468"/>
      <c r="L59" s="1493"/>
    </row>
    <row r="60" spans="1:12" s="257" customFormat="1" ht="15" customHeight="1">
      <c r="A60" s="259"/>
      <c r="B60" s="1571" t="s">
        <v>692</v>
      </c>
      <c r="C60" s="1371">
        <v>100</v>
      </c>
      <c r="D60" s="211"/>
      <c r="E60" s="213">
        <f t="shared" si="3"/>
        <v>100</v>
      </c>
      <c r="F60" s="1032"/>
      <c r="G60" s="726"/>
      <c r="H60" s="1790"/>
      <c r="I60" s="1517"/>
      <c r="J60" s="1468"/>
      <c r="L60" s="1493"/>
    </row>
    <row r="61" spans="1:12" s="257" customFormat="1" ht="15" customHeight="1">
      <c r="A61" s="259"/>
      <c r="B61" s="1572" t="s">
        <v>693</v>
      </c>
      <c r="C61" s="1372">
        <v>1975</v>
      </c>
      <c r="D61" s="215"/>
      <c r="E61" s="219">
        <f>SUM(C61:D61)</f>
        <v>1975</v>
      </c>
      <c r="F61" s="1032"/>
      <c r="G61" s="726"/>
      <c r="H61" s="1790">
        <v>1975</v>
      </c>
      <c r="I61" s="1517">
        <v>1975</v>
      </c>
      <c r="J61" s="1468"/>
      <c r="L61" s="1493"/>
    </row>
    <row r="62" spans="1:12" s="257" customFormat="1" ht="15" customHeight="1" thickBot="1">
      <c r="A62" s="259"/>
      <c r="B62" s="1564" t="s">
        <v>694</v>
      </c>
      <c r="C62" s="1431">
        <v>5151</v>
      </c>
      <c r="D62" s="1373"/>
      <c r="E62" s="1312">
        <f>SUM(C62:D62)</f>
        <v>5151</v>
      </c>
      <c r="F62" s="1032"/>
      <c r="G62" s="726"/>
      <c r="H62" s="1790">
        <v>5135</v>
      </c>
      <c r="I62" s="1517">
        <v>5135</v>
      </c>
      <c r="J62" s="1468"/>
      <c r="L62" s="1493"/>
    </row>
    <row r="63" spans="1:12" s="257" customFormat="1" ht="15" customHeight="1" thickBot="1">
      <c r="A63" s="235" t="s">
        <v>100</v>
      </c>
      <c r="B63" s="1569" t="s">
        <v>510</v>
      </c>
      <c r="C63" s="262">
        <f>SUM(C53:C62)</f>
        <v>51596</v>
      </c>
      <c r="D63" s="262">
        <f>SUM(D53:D62)</f>
        <v>0</v>
      </c>
      <c r="E63" s="262">
        <f>SUM(E53:E62)</f>
        <v>51596</v>
      </c>
      <c r="F63" s="1032"/>
      <c r="G63" s="726"/>
      <c r="H63" s="1790"/>
      <c r="I63" s="1517"/>
      <c r="J63" s="1468"/>
      <c r="L63" s="1493"/>
    </row>
    <row r="64" spans="1:12" s="257" customFormat="1" ht="15" customHeight="1">
      <c r="A64" s="259"/>
      <c r="B64" s="1573" t="s">
        <v>593</v>
      </c>
      <c r="C64" s="1374">
        <v>13000</v>
      </c>
      <c r="D64" s="1400">
        <v>-13000</v>
      </c>
      <c r="E64" s="1395">
        <f aca="true" t="shared" si="4" ref="E64:E69">SUM(C64:D64)</f>
        <v>0</v>
      </c>
      <c r="F64" s="1032"/>
      <c r="G64" s="726"/>
      <c r="H64" s="1790">
        <v>0</v>
      </c>
      <c r="I64" s="1524">
        <v>57</v>
      </c>
      <c r="J64" s="1468"/>
      <c r="L64" s="1493"/>
    </row>
    <row r="65" spans="1:12" s="257" customFormat="1" ht="15" customHeight="1">
      <c r="A65" s="259"/>
      <c r="B65" s="1571" t="s">
        <v>695</v>
      </c>
      <c r="C65" s="261">
        <v>2500</v>
      </c>
      <c r="D65" s="1377"/>
      <c r="E65" s="256">
        <f t="shared" si="4"/>
        <v>2500</v>
      </c>
      <c r="F65" s="1032"/>
      <c r="G65" s="726"/>
      <c r="H65" s="1790"/>
      <c r="I65" s="1517"/>
      <c r="J65" s="1468"/>
      <c r="L65" s="1493"/>
    </row>
    <row r="66" spans="1:12" s="257" customFormat="1" ht="15" customHeight="1">
      <c r="A66" s="259"/>
      <c r="B66" s="1564" t="s">
        <v>610</v>
      </c>
      <c r="C66" s="261">
        <v>5000</v>
      </c>
      <c r="D66" s="1377"/>
      <c r="E66" s="256">
        <f t="shared" si="4"/>
        <v>5000</v>
      </c>
      <c r="F66" s="1032"/>
      <c r="G66" s="726"/>
      <c r="H66" s="1790"/>
      <c r="I66" s="1517"/>
      <c r="J66" s="1468"/>
      <c r="L66" s="1493"/>
    </row>
    <row r="67" spans="1:12" s="257" customFormat="1" ht="15" customHeight="1">
      <c r="A67" s="259"/>
      <c r="B67" s="1574" t="s">
        <v>696</v>
      </c>
      <c r="C67" s="261">
        <v>30000</v>
      </c>
      <c r="D67" s="1377"/>
      <c r="E67" s="256">
        <f t="shared" si="4"/>
        <v>30000</v>
      </c>
      <c r="F67" s="1032"/>
      <c r="G67" s="726"/>
      <c r="H67" s="1790">
        <v>24058</v>
      </c>
      <c r="I67" s="1517">
        <v>24058</v>
      </c>
      <c r="J67" s="1468"/>
      <c r="L67" s="1493"/>
    </row>
    <row r="68" spans="1:12" s="257" customFormat="1" ht="15" customHeight="1">
      <c r="A68" s="259"/>
      <c r="B68" s="1574" t="s">
        <v>697</v>
      </c>
      <c r="C68" s="261">
        <v>1000</v>
      </c>
      <c r="D68" s="1377"/>
      <c r="E68" s="256">
        <f t="shared" si="4"/>
        <v>1000</v>
      </c>
      <c r="F68" s="1032"/>
      <c r="G68" s="726"/>
      <c r="H68" s="1790"/>
      <c r="I68" s="1517"/>
      <c r="J68" s="1468"/>
      <c r="L68" s="1493"/>
    </row>
    <row r="69" spans="1:12" s="257" customFormat="1" ht="15" customHeight="1" thickBot="1">
      <c r="A69" s="259"/>
      <c r="B69" s="1575" t="s">
        <v>611</v>
      </c>
      <c r="C69" s="1364">
        <v>2000</v>
      </c>
      <c r="D69" s="1376"/>
      <c r="E69" s="256">
        <f t="shared" si="4"/>
        <v>2000</v>
      </c>
      <c r="F69" s="1032"/>
      <c r="G69" s="726"/>
      <c r="H69" s="1790"/>
      <c r="I69" s="1517"/>
      <c r="J69" s="1468"/>
      <c r="L69" s="1493"/>
    </row>
    <row r="70" spans="1:12" s="257" customFormat="1" ht="15" customHeight="1" thickBot="1">
      <c r="A70" s="235" t="s">
        <v>101</v>
      </c>
      <c r="B70" s="1569" t="s">
        <v>511</v>
      </c>
      <c r="C70" s="262">
        <f>SUM(C64:C69)</f>
        <v>53500</v>
      </c>
      <c r="D70" s="262">
        <f>SUM(D64:D69)</f>
        <v>-13000</v>
      </c>
      <c r="E70" s="1318">
        <f>SUM(E64:E69)</f>
        <v>40500</v>
      </c>
      <c r="F70" s="1032"/>
      <c r="G70" s="726"/>
      <c r="H70" s="1790"/>
      <c r="I70" s="1517"/>
      <c r="J70" s="1468"/>
      <c r="L70" s="1493"/>
    </row>
    <row r="71" spans="1:12" s="257" customFormat="1" ht="15.75" customHeight="1">
      <c r="A71" s="259"/>
      <c r="B71" s="1573" t="s">
        <v>739</v>
      </c>
      <c r="C71" s="1374">
        <v>2275</v>
      </c>
      <c r="D71" s="1432"/>
      <c r="E71" s="986">
        <f>SUM(C71:D71)</f>
        <v>2275</v>
      </c>
      <c r="F71" s="1032"/>
      <c r="G71" s="726"/>
      <c r="H71" s="1790">
        <v>2274</v>
      </c>
      <c r="I71" s="1517"/>
      <c r="J71" s="1468"/>
      <c r="L71" s="1493"/>
    </row>
    <row r="72" spans="1:12" s="257" customFormat="1" ht="24.75" customHeight="1">
      <c r="A72" s="259"/>
      <c r="B72" s="1576" t="s">
        <v>609</v>
      </c>
      <c r="C72" s="249">
        <v>2860</v>
      </c>
      <c r="D72" s="260"/>
      <c r="E72" s="986">
        <f>SUM(C72:D72)</f>
        <v>2860</v>
      </c>
      <c r="F72" s="1032"/>
      <c r="G72" s="726"/>
      <c r="H72" s="1790">
        <v>2860</v>
      </c>
      <c r="I72" s="1517"/>
      <c r="J72" s="1468"/>
      <c r="L72" s="1493"/>
    </row>
    <row r="73" spans="1:12" s="257" customFormat="1" ht="15" customHeight="1" thickBot="1">
      <c r="A73" s="259"/>
      <c r="B73" s="1577" t="s">
        <v>698</v>
      </c>
      <c r="C73" s="249">
        <v>2706</v>
      </c>
      <c r="D73" s="260"/>
      <c r="E73" s="986">
        <f>SUM(C73:D73)</f>
        <v>2706</v>
      </c>
      <c r="F73" s="1032"/>
      <c r="G73" s="726"/>
      <c r="H73" s="1790">
        <v>2705</v>
      </c>
      <c r="I73" s="1517"/>
      <c r="J73" s="1468"/>
      <c r="L73" s="1493"/>
    </row>
    <row r="74" spans="1:12" s="257" customFormat="1" ht="15" customHeight="1" thickBot="1">
      <c r="A74" s="235" t="s">
        <v>192</v>
      </c>
      <c r="B74" s="1569" t="s">
        <v>512</v>
      </c>
      <c r="C74" s="262">
        <f>SUM(C71:C73)</f>
        <v>7841</v>
      </c>
      <c r="D74" s="262">
        <f>SUM(D71:D73)</f>
        <v>0</v>
      </c>
      <c r="E74" s="262">
        <f>SUM(E71:E73)</f>
        <v>7841</v>
      </c>
      <c r="F74" s="1032"/>
      <c r="G74" s="726"/>
      <c r="H74" s="1790"/>
      <c r="I74" s="1517"/>
      <c r="J74" s="1468"/>
      <c r="L74" s="1493"/>
    </row>
    <row r="75" spans="1:12" s="257" customFormat="1" ht="15" customHeight="1" thickBot="1">
      <c r="A75" s="309"/>
      <c r="B75" s="1578"/>
      <c r="C75" s="249"/>
      <c r="D75" s="260"/>
      <c r="E75" s="256">
        <f>SUM(C75:D75)</f>
        <v>0</v>
      </c>
      <c r="F75" s="1032"/>
      <c r="G75" s="726"/>
      <c r="H75" s="1790"/>
      <c r="I75" s="1517"/>
      <c r="J75" s="1468"/>
      <c r="L75" s="1493"/>
    </row>
    <row r="76" spans="1:12" s="257" customFormat="1" ht="15" customHeight="1" thickBot="1">
      <c r="A76" s="235" t="s">
        <v>339</v>
      </c>
      <c r="B76" s="1569" t="s">
        <v>513</v>
      </c>
      <c r="C76" s="262">
        <f>SUM(C75)</f>
        <v>0</v>
      </c>
      <c r="D76" s="262">
        <f>SUM(D75)</f>
        <v>0</v>
      </c>
      <c r="E76" s="1318">
        <f>SUM(E75)</f>
        <v>0</v>
      </c>
      <c r="F76" s="1032"/>
      <c r="G76" s="726"/>
      <c r="H76" s="1790"/>
      <c r="I76" s="1517"/>
      <c r="J76" s="1468"/>
      <c r="L76" s="1493"/>
    </row>
    <row r="77" spans="1:12" s="257" customFormat="1" ht="15" customHeight="1">
      <c r="A77" s="309"/>
      <c r="B77" s="1579" t="s">
        <v>594</v>
      </c>
      <c r="C77" s="249">
        <v>175000</v>
      </c>
      <c r="D77" s="260"/>
      <c r="E77" s="256">
        <f>SUM(C77:D77)</f>
        <v>175000</v>
      </c>
      <c r="F77" s="1032"/>
      <c r="G77" s="726"/>
      <c r="H77" s="1799">
        <v>174405</v>
      </c>
      <c r="I77" s="1517">
        <v>113501</v>
      </c>
      <c r="J77" s="1468"/>
      <c r="L77" s="1493"/>
    </row>
    <row r="78" spans="1:12" s="257" customFormat="1" ht="15" customHeight="1" thickBot="1">
      <c r="A78" s="309"/>
      <c r="B78" s="1579" t="s">
        <v>712</v>
      </c>
      <c r="C78" s="1364">
        <v>89607</v>
      </c>
      <c r="D78" s="1365">
        <v>-603</v>
      </c>
      <c r="E78" s="256">
        <f>SUM(C78:D78)</f>
        <v>89004</v>
      </c>
      <c r="F78" s="1032"/>
      <c r="G78" s="726"/>
      <c r="H78" s="1799"/>
      <c r="I78" s="1517">
        <v>55904</v>
      </c>
      <c r="J78" s="1468"/>
      <c r="L78" s="1493"/>
    </row>
    <row r="79" spans="1:12" s="257" customFormat="1" ht="15" customHeight="1" thickBot="1">
      <c r="A79" s="272" t="s">
        <v>340</v>
      </c>
      <c r="B79" s="1569" t="s">
        <v>514</v>
      </c>
      <c r="C79" s="262">
        <f>SUM(C77:C78)</f>
        <v>264607</v>
      </c>
      <c r="D79" s="262">
        <f>SUM(D77:D78)</f>
        <v>-603</v>
      </c>
      <c r="E79" s="262">
        <f>SUM(E77:E78)</f>
        <v>264004</v>
      </c>
      <c r="F79" s="1032"/>
      <c r="G79" s="726"/>
      <c r="H79" s="1790"/>
      <c r="I79" s="1517"/>
      <c r="J79" s="1468"/>
      <c r="L79" s="1493"/>
    </row>
    <row r="80" spans="1:12" s="257" customFormat="1" ht="15" customHeight="1" thickBot="1">
      <c r="A80" s="309"/>
      <c r="B80" s="1580"/>
      <c r="C80" s="249"/>
      <c r="D80" s="260"/>
      <c r="E80" s="256">
        <f>SUM(C80:D80)</f>
        <v>0</v>
      </c>
      <c r="F80" s="1032"/>
      <c r="G80" s="726"/>
      <c r="H80" s="1790"/>
      <c r="I80" s="1517"/>
      <c r="J80" s="1468"/>
      <c r="L80" s="1493"/>
    </row>
    <row r="81" spans="1:12" s="257" customFormat="1" ht="15" customHeight="1" thickBot="1">
      <c r="A81" s="272" t="s">
        <v>69</v>
      </c>
      <c r="B81" s="1569" t="s">
        <v>671</v>
      </c>
      <c r="C81" s="262">
        <f>SUM(C80)</f>
        <v>0</v>
      </c>
      <c r="D81" s="262">
        <f>SUM(D80)</f>
        <v>0</v>
      </c>
      <c r="E81" s="1318">
        <f>SUM(E80)</f>
        <v>0</v>
      </c>
      <c r="F81" s="1032"/>
      <c r="G81" s="726"/>
      <c r="H81" s="1790"/>
      <c r="I81" s="1517"/>
      <c r="J81" s="1468"/>
      <c r="L81" s="1493"/>
    </row>
    <row r="82" spans="1:12" s="257" customFormat="1" ht="15" customHeight="1" thickBot="1">
      <c r="A82" s="309"/>
      <c r="B82" s="1580"/>
      <c r="C82" s="249"/>
      <c r="D82" s="260"/>
      <c r="E82" s="256">
        <f>SUM(C82:D82)</f>
        <v>0</v>
      </c>
      <c r="F82" s="1032"/>
      <c r="G82" s="726"/>
      <c r="H82" s="1790"/>
      <c r="I82" s="1517"/>
      <c r="J82" s="1468"/>
      <c r="L82" s="1493"/>
    </row>
    <row r="83" spans="1:12" s="257" customFormat="1" ht="15" customHeight="1" thickBot="1">
      <c r="A83" s="111" t="s">
        <v>517</v>
      </c>
      <c r="B83" s="1569" t="s">
        <v>515</v>
      </c>
      <c r="C83" s="262">
        <f>SUM(C82)</f>
        <v>0</v>
      </c>
      <c r="D83" s="262">
        <f>SUM(D82)</f>
        <v>0</v>
      </c>
      <c r="E83" s="1318">
        <f>SUM(E82)</f>
        <v>0</v>
      </c>
      <c r="F83" s="1032"/>
      <c r="G83" s="726"/>
      <c r="H83" s="1790"/>
      <c r="I83" s="1517"/>
      <c r="J83" s="1468"/>
      <c r="L83" s="1493"/>
    </row>
    <row r="84" spans="1:12" s="257" customFormat="1" ht="15" customHeight="1">
      <c r="A84" s="267"/>
      <c r="B84" s="1581" t="s">
        <v>699</v>
      </c>
      <c r="C84" s="1036">
        <v>2500</v>
      </c>
      <c r="D84" s="260"/>
      <c r="E84" s="256">
        <f aca="true" t="shared" si="5" ref="E84:E100">SUM(C84:D84)</f>
        <v>2500</v>
      </c>
      <c r="F84" s="1032"/>
      <c r="G84" s="726"/>
      <c r="H84" s="1790">
        <v>2490</v>
      </c>
      <c r="I84" s="1517">
        <v>2490</v>
      </c>
      <c r="J84" s="1468"/>
      <c r="L84" s="1493"/>
    </row>
    <row r="85" spans="1:12" s="257" customFormat="1" ht="15" customHeight="1">
      <c r="A85" s="267"/>
      <c r="B85" s="1582" t="s">
        <v>700</v>
      </c>
      <c r="C85" s="993">
        <v>2000</v>
      </c>
      <c r="D85" s="260"/>
      <c r="E85" s="256">
        <f t="shared" si="5"/>
        <v>2000</v>
      </c>
      <c r="F85" s="1032"/>
      <c r="G85" s="726"/>
      <c r="H85" s="1790"/>
      <c r="I85" s="1517"/>
      <c r="J85" s="1468"/>
      <c r="L85" s="1493"/>
    </row>
    <row r="86" spans="1:12" s="257" customFormat="1" ht="15" customHeight="1">
      <c r="A86" s="267"/>
      <c r="B86" s="1575" t="s">
        <v>701</v>
      </c>
      <c r="C86" s="993">
        <v>0</v>
      </c>
      <c r="D86" s="260"/>
      <c r="E86" s="256">
        <f t="shared" si="5"/>
        <v>0</v>
      </c>
      <c r="F86" s="1032"/>
      <c r="G86" s="726"/>
      <c r="H86" s="1790"/>
      <c r="I86" s="1517"/>
      <c r="J86" s="1468"/>
      <c r="L86" s="1493"/>
    </row>
    <row r="87" spans="1:12" s="257" customFormat="1" ht="15" customHeight="1">
      <c r="A87" s="267"/>
      <c r="B87" s="1575" t="s">
        <v>749</v>
      </c>
      <c r="C87" s="1036">
        <v>100</v>
      </c>
      <c r="D87" s="260"/>
      <c r="E87" s="256">
        <f t="shared" si="5"/>
        <v>100</v>
      </c>
      <c r="F87" s="1032"/>
      <c r="G87" s="726"/>
      <c r="H87" s="1790">
        <v>100</v>
      </c>
      <c r="I87" s="1517"/>
      <c r="J87" s="1468"/>
      <c r="L87" s="1493"/>
    </row>
    <row r="88" spans="1:12" s="257" customFormat="1" ht="15" customHeight="1">
      <c r="A88" s="267"/>
      <c r="B88" s="1582" t="s">
        <v>702</v>
      </c>
      <c r="C88" s="1036">
        <v>990</v>
      </c>
      <c r="D88" s="260"/>
      <c r="E88" s="256">
        <f t="shared" si="5"/>
        <v>990</v>
      </c>
      <c r="F88" s="1032"/>
      <c r="G88" s="726"/>
      <c r="H88" s="1790"/>
      <c r="I88" s="1517"/>
      <c r="J88" s="1468"/>
      <c r="L88" s="1493"/>
    </row>
    <row r="89" spans="1:12" s="257" customFormat="1" ht="15" customHeight="1">
      <c r="A89" s="267"/>
      <c r="B89" s="1582" t="s">
        <v>703</v>
      </c>
      <c r="C89" s="1036">
        <v>0</v>
      </c>
      <c r="D89" s="260"/>
      <c r="E89" s="256">
        <f t="shared" si="5"/>
        <v>0</v>
      </c>
      <c r="F89" s="1032"/>
      <c r="G89" s="726"/>
      <c r="H89" s="1790"/>
      <c r="I89" s="1517"/>
      <c r="J89" s="1468"/>
      <c r="L89" s="1493"/>
    </row>
    <row r="90" spans="1:12" s="257" customFormat="1" ht="15" customHeight="1">
      <c r="A90" s="267"/>
      <c r="B90" s="1583" t="s">
        <v>704</v>
      </c>
      <c r="C90" s="993">
        <v>100</v>
      </c>
      <c r="D90" s="260"/>
      <c r="E90" s="256">
        <f t="shared" si="5"/>
        <v>100</v>
      </c>
      <c r="F90" s="1032"/>
      <c r="G90" s="726"/>
      <c r="H90" s="1790"/>
      <c r="I90" s="1517"/>
      <c r="J90" s="1468"/>
      <c r="L90" s="1493"/>
    </row>
    <row r="91" spans="1:12" s="257" customFormat="1" ht="15" customHeight="1">
      <c r="A91" s="267"/>
      <c r="B91" s="1584" t="s">
        <v>705</v>
      </c>
      <c r="C91" s="1371">
        <v>6000</v>
      </c>
      <c r="D91" s="260"/>
      <c r="E91" s="256">
        <f t="shared" si="5"/>
        <v>6000</v>
      </c>
      <c r="F91" s="1032"/>
      <c r="G91" s="726"/>
      <c r="H91" s="1790">
        <v>1902</v>
      </c>
      <c r="I91" s="1517">
        <v>1902</v>
      </c>
      <c r="J91" s="1468"/>
      <c r="L91" s="1493"/>
    </row>
    <row r="92" spans="1:12" s="257" customFormat="1" ht="15" customHeight="1">
      <c r="A92" s="267"/>
      <c r="B92" s="1575" t="s">
        <v>645</v>
      </c>
      <c r="C92" s="1375">
        <v>2000</v>
      </c>
      <c r="D92" s="260"/>
      <c r="E92" s="256">
        <f t="shared" si="5"/>
        <v>2000</v>
      </c>
      <c r="F92" s="1032"/>
      <c r="G92" s="726"/>
      <c r="H92" s="1790"/>
      <c r="I92" s="1517"/>
      <c r="J92" s="1468"/>
      <c r="L92" s="1493"/>
    </row>
    <row r="93" spans="1:12" s="257" customFormat="1" ht="15" customHeight="1">
      <c r="A93" s="267"/>
      <c r="B93" s="1584" t="s">
        <v>706</v>
      </c>
      <c r="C93" s="249">
        <v>0</v>
      </c>
      <c r="D93" s="260"/>
      <c r="E93" s="256">
        <f t="shared" si="5"/>
        <v>0</v>
      </c>
      <c r="F93" s="1032"/>
      <c r="G93" s="726"/>
      <c r="H93" s="1790"/>
      <c r="I93" s="1517"/>
      <c r="J93" s="1468"/>
      <c r="L93" s="1493"/>
    </row>
    <row r="94" spans="1:12" s="257" customFormat="1" ht="15" customHeight="1">
      <c r="A94" s="267"/>
      <c r="B94" s="1584" t="s">
        <v>707</v>
      </c>
      <c r="C94" s="261">
        <v>0</v>
      </c>
      <c r="D94" s="1433"/>
      <c r="E94" s="256">
        <f t="shared" si="5"/>
        <v>0</v>
      </c>
      <c r="F94" s="1032"/>
      <c r="G94" s="726"/>
      <c r="H94" s="1790"/>
      <c r="I94" s="1517"/>
      <c r="J94" s="1468"/>
      <c r="L94" s="1493"/>
    </row>
    <row r="95" spans="1:12" s="257" customFormat="1" ht="15" customHeight="1">
      <c r="A95" s="267"/>
      <c r="B95" s="1584" t="s">
        <v>708</v>
      </c>
      <c r="C95" s="249">
        <v>1500</v>
      </c>
      <c r="D95" s="260"/>
      <c r="E95" s="256">
        <f t="shared" si="5"/>
        <v>1500</v>
      </c>
      <c r="F95" s="1032"/>
      <c r="G95" s="726"/>
      <c r="H95" s="1790">
        <v>583</v>
      </c>
      <c r="I95" s="1517"/>
      <c r="J95" s="1468"/>
      <c r="L95" s="1493"/>
    </row>
    <row r="96" spans="1:12" s="257" customFormat="1" ht="15" customHeight="1">
      <c r="A96" s="267"/>
      <c r="B96" s="1585" t="s">
        <v>607</v>
      </c>
      <c r="C96" s="1375">
        <v>550</v>
      </c>
      <c r="D96" s="260"/>
      <c r="E96" s="256">
        <f t="shared" si="5"/>
        <v>550</v>
      </c>
      <c r="F96" s="1032"/>
      <c r="G96" s="726"/>
      <c r="H96" s="1790"/>
      <c r="I96" s="1517"/>
      <c r="J96" s="1468"/>
      <c r="L96" s="1493"/>
    </row>
    <row r="97" spans="1:12" s="257" customFormat="1" ht="15" customHeight="1">
      <c r="A97" s="267"/>
      <c r="B97" s="1584" t="s">
        <v>709</v>
      </c>
      <c r="C97" s="261">
        <v>15000</v>
      </c>
      <c r="D97" s="260"/>
      <c r="E97" s="256">
        <f t="shared" si="5"/>
        <v>15000</v>
      </c>
      <c r="F97" s="1032"/>
      <c r="G97" s="726"/>
      <c r="H97" s="1790">
        <v>6064</v>
      </c>
      <c r="I97" s="1517"/>
      <c r="J97" s="1468"/>
      <c r="L97" s="1493"/>
    </row>
    <row r="98" spans="1:12" s="257" customFormat="1" ht="15" customHeight="1">
      <c r="A98" s="267"/>
      <c r="B98" s="1584" t="s">
        <v>710</v>
      </c>
      <c r="C98" s="1430">
        <v>0</v>
      </c>
      <c r="D98" s="260"/>
      <c r="E98" s="256">
        <f t="shared" si="5"/>
        <v>0</v>
      </c>
      <c r="F98" s="1032"/>
      <c r="G98" s="726"/>
      <c r="H98" s="1790"/>
      <c r="I98" s="1517"/>
      <c r="J98" s="1468"/>
      <c r="L98" s="1493"/>
    </row>
    <row r="99" spans="1:12" s="257" customFormat="1" ht="15" customHeight="1">
      <c r="A99" s="267"/>
      <c r="B99" s="1586" t="s">
        <v>711</v>
      </c>
      <c r="C99" s="249">
        <v>345</v>
      </c>
      <c r="D99" s="260"/>
      <c r="E99" s="986">
        <f t="shared" si="5"/>
        <v>345</v>
      </c>
      <c r="F99" s="1032"/>
      <c r="G99" s="726"/>
      <c r="H99" s="1790"/>
      <c r="I99" s="1517"/>
      <c r="J99" s="1468"/>
      <c r="L99" s="1493"/>
    </row>
    <row r="100" spans="1:12" s="257" customFormat="1" ht="15" customHeight="1" thickBot="1">
      <c r="A100" s="267"/>
      <c r="B100" s="1587" t="s">
        <v>713</v>
      </c>
      <c r="C100" s="1364">
        <v>50099</v>
      </c>
      <c r="D100" s="1365"/>
      <c r="E100" s="986">
        <f t="shared" si="5"/>
        <v>50099</v>
      </c>
      <c r="F100" s="1032"/>
      <c r="G100" s="726"/>
      <c r="H100" s="1790">
        <v>3459</v>
      </c>
      <c r="I100" s="1517"/>
      <c r="J100" s="1468"/>
      <c r="L100" s="1493"/>
    </row>
    <row r="101" spans="1:12" s="264" customFormat="1" ht="15" customHeight="1" thickBot="1">
      <c r="A101" s="250" t="s">
        <v>432</v>
      </c>
      <c r="B101" s="1569" t="s">
        <v>516</v>
      </c>
      <c r="C101" s="262">
        <f>SUM(C84:C100)</f>
        <v>81184</v>
      </c>
      <c r="D101" s="262">
        <f>SUM(D84:D100)</f>
        <v>0</v>
      </c>
      <c r="E101" s="262">
        <f>SUM(E84:E100)</f>
        <v>81184</v>
      </c>
      <c r="F101" s="263"/>
      <c r="H101" s="1790"/>
      <c r="I101" s="1517"/>
      <c r="J101" s="1468"/>
      <c r="L101" s="1493"/>
    </row>
    <row r="102" spans="1:12" s="264" customFormat="1" ht="15" customHeight="1" thickBot="1">
      <c r="A102" s="235" t="s">
        <v>490</v>
      </c>
      <c r="B102" s="1569" t="s">
        <v>672</v>
      </c>
      <c r="C102" s="262">
        <v>20104</v>
      </c>
      <c r="D102" s="262">
        <v>-4000</v>
      </c>
      <c r="E102" s="1061">
        <f>SUM(C102:D102)</f>
        <v>16104</v>
      </c>
      <c r="F102" s="263"/>
      <c r="H102" s="1790">
        <v>6518</v>
      </c>
      <c r="I102" s="1517">
        <v>5186</v>
      </c>
      <c r="J102" s="1468">
        <v>5186</v>
      </c>
      <c r="L102" s="1493"/>
    </row>
    <row r="103" spans="1:12" s="264" customFormat="1" ht="15" customHeight="1">
      <c r="A103" s="1994"/>
      <c r="B103" s="1588" t="s">
        <v>842</v>
      </c>
      <c r="C103" s="1451">
        <v>10000</v>
      </c>
      <c r="D103" s="216">
        <v>-10000</v>
      </c>
      <c r="E103" s="986">
        <f aca="true" t="shared" si="6" ref="E103:E109">SUM(C103:D103)</f>
        <v>0</v>
      </c>
      <c r="F103" s="263"/>
      <c r="H103" s="1790"/>
      <c r="I103" s="1517"/>
      <c r="J103" s="1468"/>
      <c r="L103" s="1493"/>
    </row>
    <row r="104" spans="1:12" s="264" customFormat="1" ht="15" customHeight="1">
      <c r="A104" s="1994"/>
      <c r="B104" s="1588" t="s">
        <v>583</v>
      </c>
      <c r="C104" s="1451">
        <v>7000</v>
      </c>
      <c r="D104" s="216">
        <v>-7000</v>
      </c>
      <c r="E104" s="986">
        <f t="shared" si="6"/>
        <v>0</v>
      </c>
      <c r="F104" s="263"/>
      <c r="H104" s="1790"/>
      <c r="I104" s="1517"/>
      <c r="J104" s="1468"/>
      <c r="L104" s="1493"/>
    </row>
    <row r="105" spans="1:12" s="264" customFormat="1" ht="15" customHeight="1">
      <c r="A105" s="1994"/>
      <c r="B105" s="1588" t="s">
        <v>584</v>
      </c>
      <c r="C105" s="1451">
        <v>5000</v>
      </c>
      <c r="D105" s="216">
        <v>-5000</v>
      </c>
      <c r="E105" s="986">
        <f t="shared" si="6"/>
        <v>0</v>
      </c>
      <c r="F105" s="263"/>
      <c r="H105" s="1790"/>
      <c r="I105" s="1517"/>
      <c r="J105" s="1468"/>
      <c r="L105" s="1493"/>
    </row>
    <row r="106" spans="1:12" s="264" customFormat="1" ht="15" customHeight="1">
      <c r="A106" s="1994"/>
      <c r="B106" s="1588" t="s">
        <v>585</v>
      </c>
      <c r="C106" s="1451">
        <v>8000</v>
      </c>
      <c r="D106" s="216">
        <v>-8000</v>
      </c>
      <c r="E106" s="986">
        <f t="shared" si="6"/>
        <v>0</v>
      </c>
      <c r="F106" s="263"/>
      <c r="H106" s="1790"/>
      <c r="I106" s="1517"/>
      <c r="J106" s="1468"/>
      <c r="L106" s="1493"/>
    </row>
    <row r="107" spans="1:12" s="264" customFormat="1" ht="15" customHeight="1">
      <c r="A107" s="1994"/>
      <c r="B107" s="1588" t="s">
        <v>586</v>
      </c>
      <c r="C107" s="217">
        <v>5000</v>
      </c>
      <c r="D107" s="217">
        <v>-5000</v>
      </c>
      <c r="E107" s="986">
        <f t="shared" si="6"/>
        <v>0</v>
      </c>
      <c r="F107" s="263"/>
      <c r="H107" s="1790"/>
      <c r="I107" s="1517"/>
      <c r="J107" s="1468"/>
      <c r="L107" s="1493"/>
    </row>
    <row r="108" spans="1:12" s="264" customFormat="1" ht="15" customHeight="1">
      <c r="A108" s="1994"/>
      <c r="B108" s="1588" t="s">
        <v>587</v>
      </c>
      <c r="C108" s="1218">
        <v>1574</v>
      </c>
      <c r="D108" s="1218"/>
      <c r="E108" s="986">
        <f t="shared" si="6"/>
        <v>1574</v>
      </c>
      <c r="F108" s="263"/>
      <c r="H108" s="1790"/>
      <c r="I108" s="1517"/>
      <c r="J108" s="1468"/>
      <c r="L108" s="1493"/>
    </row>
    <row r="109" spans="1:12" s="264" customFormat="1" ht="15" customHeight="1">
      <c r="A109" s="1994"/>
      <c r="B109" s="1588" t="s">
        <v>588</v>
      </c>
      <c r="C109" s="217">
        <v>5785</v>
      </c>
      <c r="D109" s="217"/>
      <c r="E109" s="256">
        <f t="shared" si="6"/>
        <v>5785</v>
      </c>
      <c r="F109" s="263"/>
      <c r="H109" s="1790"/>
      <c r="I109" s="1517"/>
      <c r="J109" s="1468"/>
      <c r="L109" s="1493"/>
    </row>
    <row r="110" spans="1:12" s="264" customFormat="1" ht="15" customHeight="1">
      <c r="A110" s="259"/>
      <c r="B110" s="1509" t="s">
        <v>859</v>
      </c>
      <c r="C110" s="217"/>
      <c r="D110" s="217"/>
      <c r="E110" s="1510">
        <v>5785</v>
      </c>
      <c r="F110" s="263"/>
      <c r="H110" s="1790">
        <v>5785</v>
      </c>
      <c r="I110" s="1517">
        <v>5785</v>
      </c>
      <c r="J110" s="1468"/>
      <c r="L110" s="1493"/>
    </row>
    <row r="111" spans="1:12" s="264" customFormat="1" ht="15" customHeight="1">
      <c r="A111" s="259"/>
      <c r="B111" s="1589" t="s">
        <v>714</v>
      </c>
      <c r="C111" s="217">
        <v>13128</v>
      </c>
      <c r="D111" s="217"/>
      <c r="E111" s="217">
        <f aca="true" t="shared" si="7" ref="E111:E121">SUM(C111:D111)</f>
        <v>13128</v>
      </c>
      <c r="F111" s="263"/>
      <c r="H111" s="1790"/>
      <c r="I111" s="1517"/>
      <c r="J111" s="1468"/>
      <c r="L111" s="1493"/>
    </row>
    <row r="112" spans="1:12" s="1445" customFormat="1" ht="15" customHeight="1">
      <c r="A112" s="1443"/>
      <c r="B112" s="1509" t="s">
        <v>770</v>
      </c>
      <c r="C112" s="1492">
        <v>13128</v>
      </c>
      <c r="D112" s="1492"/>
      <c r="E112" s="1510">
        <f t="shared" si="7"/>
        <v>13128</v>
      </c>
      <c r="F112" s="1444"/>
      <c r="H112" s="1796">
        <v>13128</v>
      </c>
      <c r="I112" s="1522">
        <v>13128</v>
      </c>
      <c r="J112" s="1469"/>
      <c r="L112" s="1493"/>
    </row>
    <row r="113" spans="1:12" s="1445" customFormat="1" ht="15" customHeight="1">
      <c r="A113" s="1443"/>
      <c r="B113" s="1450" t="s">
        <v>766</v>
      </c>
      <c r="C113" s="217">
        <v>8282</v>
      </c>
      <c r="D113" s="217">
        <v>-2974</v>
      </c>
      <c r="E113" s="217">
        <f t="shared" si="7"/>
        <v>5308</v>
      </c>
      <c r="F113" s="1444"/>
      <c r="H113" s="1796"/>
      <c r="I113" s="1522"/>
      <c r="J113" s="1469"/>
      <c r="L113" s="1493"/>
    </row>
    <row r="114" spans="1:12" s="1445" customFormat="1" ht="15" customHeight="1">
      <c r="A114" s="1443"/>
      <c r="B114" s="1481" t="s">
        <v>905</v>
      </c>
      <c r="C114" s="1492">
        <v>0</v>
      </c>
      <c r="D114" s="1492">
        <v>339</v>
      </c>
      <c r="E114" s="1510">
        <f t="shared" si="7"/>
        <v>339</v>
      </c>
      <c r="F114" s="1444"/>
      <c r="H114" s="1796"/>
      <c r="I114" s="1522"/>
      <c r="J114" s="1469"/>
      <c r="L114" s="1493"/>
    </row>
    <row r="115" spans="1:12" s="1445" customFormat="1" ht="15" customHeight="1">
      <c r="A115" s="1443"/>
      <c r="B115" s="1481" t="s">
        <v>906</v>
      </c>
      <c r="C115" s="1492">
        <v>1220</v>
      </c>
      <c r="D115" s="1492"/>
      <c r="E115" s="1510">
        <f t="shared" si="7"/>
        <v>1220</v>
      </c>
      <c r="F115" s="1444"/>
      <c r="H115" s="1796"/>
      <c r="I115" s="1522"/>
      <c r="J115" s="1469"/>
      <c r="L115" s="1493"/>
    </row>
    <row r="116" spans="1:12" s="1445" customFormat="1" ht="15" customHeight="1">
      <c r="A116" s="1443"/>
      <c r="B116" s="1481" t="s">
        <v>866</v>
      </c>
      <c r="C116" s="1492">
        <v>7062</v>
      </c>
      <c r="D116" s="1492">
        <v>-6420</v>
      </c>
      <c r="E116" s="1510">
        <f t="shared" si="7"/>
        <v>642</v>
      </c>
      <c r="F116" s="1444"/>
      <c r="H116" s="1796"/>
      <c r="I116" s="1522"/>
      <c r="J116" s="1469"/>
      <c r="L116" s="1493"/>
    </row>
    <row r="117" spans="1:12" s="1445" customFormat="1" ht="15" customHeight="1">
      <c r="A117" s="1443"/>
      <c r="B117" s="1481" t="s">
        <v>907</v>
      </c>
      <c r="C117" s="1492"/>
      <c r="D117" s="1492">
        <v>3107</v>
      </c>
      <c r="E117" s="1510">
        <f t="shared" si="7"/>
        <v>3107</v>
      </c>
      <c r="F117" s="1444"/>
      <c r="H117" s="1796"/>
      <c r="I117" s="1522"/>
      <c r="J117" s="1469"/>
      <c r="L117" s="1493"/>
    </row>
    <row r="118" spans="1:12" s="1445" customFormat="1" ht="15" customHeight="1">
      <c r="A118" s="1443"/>
      <c r="B118" s="1589" t="s">
        <v>601</v>
      </c>
      <c r="C118" s="217">
        <v>2925</v>
      </c>
      <c r="D118" s="217"/>
      <c r="E118" s="217">
        <f t="shared" si="7"/>
        <v>2925</v>
      </c>
      <c r="F118" s="1444"/>
      <c r="H118" s="1796"/>
      <c r="I118" s="1522"/>
      <c r="J118" s="1469"/>
      <c r="L118" s="1493"/>
    </row>
    <row r="119" spans="1:12" s="1445" customFormat="1" ht="15" customHeight="1">
      <c r="A119" s="1443"/>
      <c r="B119" s="1481" t="s">
        <v>843</v>
      </c>
      <c r="C119" s="1492">
        <v>2925</v>
      </c>
      <c r="D119" s="1492"/>
      <c r="E119" s="1510">
        <f t="shared" si="7"/>
        <v>2925</v>
      </c>
      <c r="F119" s="1444"/>
      <c r="H119" s="1796">
        <v>2925</v>
      </c>
      <c r="I119" s="1522"/>
      <c r="J119" s="1469"/>
      <c r="L119" s="1493"/>
    </row>
    <row r="120" spans="1:12" s="1445" customFormat="1" ht="15" customHeight="1">
      <c r="A120" s="1443"/>
      <c r="B120" s="1785" t="s">
        <v>768</v>
      </c>
      <c r="C120" s="1492"/>
      <c r="D120" s="211">
        <v>736</v>
      </c>
      <c r="E120" s="256">
        <f t="shared" si="7"/>
        <v>736</v>
      </c>
      <c r="F120" s="1444"/>
      <c r="H120" s="1796"/>
      <c r="I120" s="1522"/>
      <c r="J120" s="1469"/>
      <c r="L120" s="1493"/>
    </row>
    <row r="121" spans="1:12" s="1703" customFormat="1" ht="15" customHeight="1" thickBot="1">
      <c r="A121" s="1786"/>
      <c r="B121" s="1511" t="s">
        <v>908</v>
      </c>
      <c r="C121" s="1520"/>
      <c r="D121" s="1520">
        <v>736</v>
      </c>
      <c r="E121" s="1510">
        <f t="shared" si="7"/>
        <v>736</v>
      </c>
      <c r="F121" s="1702"/>
      <c r="H121" s="1794"/>
      <c r="I121" s="1541"/>
      <c r="J121" s="1485"/>
      <c r="L121" s="1493"/>
    </row>
    <row r="122" spans="1:12" s="264" customFormat="1" ht="15" customHeight="1" thickBot="1">
      <c r="A122" s="1262" t="s">
        <v>328</v>
      </c>
      <c r="B122" s="1590" t="s">
        <v>570</v>
      </c>
      <c r="C122" s="1263">
        <f>SUM(C103:C109)+C111+C113+C118+C120</f>
        <v>66694</v>
      </c>
      <c r="D122" s="1263">
        <f>SUM(D103:D109)+D111+D113+D118+D120</f>
        <v>-37238</v>
      </c>
      <c r="E122" s="1263">
        <f>SUM(E103:E109)+E111+E113+E118+E120</f>
        <v>29456</v>
      </c>
      <c r="F122" s="263"/>
      <c r="H122" s="1790"/>
      <c r="I122" s="1517"/>
      <c r="J122" s="1468"/>
      <c r="L122" s="1493"/>
    </row>
    <row r="123" spans="1:12" s="257" customFormat="1" ht="15" customHeight="1" thickBot="1">
      <c r="A123" s="236" t="s">
        <v>53</v>
      </c>
      <c r="B123" s="1555" t="s">
        <v>558</v>
      </c>
      <c r="C123" s="214">
        <f>C50+C52+C63+C70+C74+C76+C79+C81+C83+C101+C102+C122</f>
        <v>645204</v>
      </c>
      <c r="D123" s="214">
        <f>D50+D52+D63+D70+D74+D76+D79+D81+D83+D101+D102+D122</f>
        <v>-68129</v>
      </c>
      <c r="E123" s="1314">
        <f>E50+E52+E63+E70+E74+E76+E79+E81+E83+E101+E102+E122</f>
        <v>577075</v>
      </c>
      <c r="F123" s="1032">
        <f>SUM(C123:D123)</f>
        <v>577075</v>
      </c>
      <c r="G123" s="726"/>
      <c r="H123" s="1790"/>
      <c r="I123" s="1517"/>
      <c r="J123" s="1468"/>
      <c r="L123" s="1493"/>
    </row>
    <row r="124" spans="1:12" s="1200" customFormat="1" ht="15" customHeight="1">
      <c r="A124" s="1995"/>
      <c r="B124" s="1591" t="s">
        <v>675</v>
      </c>
      <c r="C124" s="1420">
        <v>12011</v>
      </c>
      <c r="D124" s="1420"/>
      <c r="E124" s="1066">
        <f>SUM(C124:D124)</f>
        <v>12011</v>
      </c>
      <c r="F124" s="725"/>
      <c r="G124" s="724"/>
      <c r="H124" s="1791"/>
      <c r="I124" s="1523"/>
      <c r="J124" s="1470"/>
      <c r="L124" s="1493"/>
    </row>
    <row r="125" spans="1:12" s="1200" customFormat="1" ht="15" customHeight="1" thickBot="1">
      <c r="A125" s="1996"/>
      <c r="B125" s="1592" t="s">
        <v>676</v>
      </c>
      <c r="C125" s="1261">
        <v>266673</v>
      </c>
      <c r="D125" s="1261"/>
      <c r="E125" s="1421">
        <f>SUM(C125:D125)</f>
        <v>266673</v>
      </c>
      <c r="F125" s="725"/>
      <c r="G125" s="724"/>
      <c r="H125" s="1791">
        <v>264637</v>
      </c>
      <c r="I125" s="1523">
        <v>264637</v>
      </c>
      <c r="J125" s="1470">
        <v>264637</v>
      </c>
      <c r="L125" s="1493"/>
    </row>
    <row r="126" spans="1:12" s="1200" customFormat="1" ht="15" customHeight="1" thickBot="1">
      <c r="A126" s="1201" t="s">
        <v>54</v>
      </c>
      <c r="B126" s="1593" t="s">
        <v>532</v>
      </c>
      <c r="C126" s="1202">
        <f>SUM(C124:C125)</f>
        <v>278684</v>
      </c>
      <c r="D126" s="1202">
        <f>SUM(D124:D125)</f>
        <v>0</v>
      </c>
      <c r="E126" s="1202">
        <f>SUM(E124:E125)</f>
        <v>278684</v>
      </c>
      <c r="F126" s="725">
        <f>SUM(C126:D126)</f>
        <v>278684</v>
      </c>
      <c r="G126" s="724"/>
      <c r="H126" s="1791"/>
      <c r="I126" s="1523"/>
      <c r="J126" s="1470"/>
      <c r="L126" s="1493"/>
    </row>
    <row r="127" spans="1:12" s="257" customFormat="1" ht="15" customHeight="1" thickBot="1" thickTop="1">
      <c r="A127" s="265" t="s">
        <v>95</v>
      </c>
      <c r="B127" s="1594" t="s">
        <v>533</v>
      </c>
      <c r="C127" s="221">
        <f>C17+C27+C34+C39+C123+C126</f>
        <v>1343199</v>
      </c>
      <c r="D127" s="221">
        <f>D17+D27+D34+D39+D123+D126</f>
        <v>-16296</v>
      </c>
      <c r="E127" s="1396">
        <f>E17+E27+E34+E39+E123+E126</f>
        <v>1326903</v>
      </c>
      <c r="F127" s="1032">
        <f>SUM(C127:D127)</f>
        <v>1326903</v>
      </c>
      <c r="G127" s="1032">
        <f>'hivatal5 '!E25</f>
        <v>1326903</v>
      </c>
      <c r="H127" s="1790"/>
      <c r="I127" s="1517"/>
      <c r="J127" s="1468"/>
      <c r="L127" s="1493"/>
    </row>
    <row r="128" spans="1:12" s="257" customFormat="1" ht="15" customHeight="1" thickTop="1">
      <c r="A128" s="1474"/>
      <c r="B128" s="1595" t="s">
        <v>332</v>
      </c>
      <c r="C128" s="249">
        <v>126353</v>
      </c>
      <c r="D128" s="260">
        <v>-11703</v>
      </c>
      <c r="E128" s="986">
        <f>SUM(C128:D128)</f>
        <v>114650</v>
      </c>
      <c r="F128" s="1032"/>
      <c r="G128" s="726"/>
      <c r="H128" s="1790">
        <v>35657</v>
      </c>
      <c r="I128" s="1517">
        <v>11626</v>
      </c>
      <c r="J128" s="1468">
        <v>1353</v>
      </c>
      <c r="L128" s="1493"/>
    </row>
    <row r="129" spans="1:12" s="257" customFormat="1" ht="15" customHeight="1">
      <c r="A129" s="309"/>
      <c r="B129" s="1596" t="s">
        <v>589</v>
      </c>
      <c r="C129" s="261">
        <v>12855</v>
      </c>
      <c r="D129" s="1433"/>
      <c r="E129" s="256">
        <f>SUM(C129:D129)</f>
        <v>12855</v>
      </c>
      <c r="F129" s="1032"/>
      <c r="G129" s="726"/>
      <c r="H129" s="1790">
        <v>11676</v>
      </c>
      <c r="I129" s="1517">
        <v>8414</v>
      </c>
      <c r="J129" s="1468">
        <v>2333</v>
      </c>
      <c r="L129" s="1493"/>
    </row>
    <row r="130" spans="1:12" s="257" customFormat="1" ht="15" customHeight="1" thickBot="1">
      <c r="A130" s="1475"/>
      <c r="B130" s="1597" t="s">
        <v>799</v>
      </c>
      <c r="C130" s="1364">
        <v>3380</v>
      </c>
      <c r="D130" s="1365">
        <v>14419</v>
      </c>
      <c r="E130" s="256">
        <f>SUM(C130:D130)</f>
        <v>17799</v>
      </c>
      <c r="F130" s="1032"/>
      <c r="G130" s="726"/>
      <c r="H130" s="1790">
        <v>3380</v>
      </c>
      <c r="I130" s="1517">
        <v>537</v>
      </c>
      <c r="J130" s="1468">
        <v>537</v>
      </c>
      <c r="L130" s="1493"/>
    </row>
    <row r="131" spans="1:12" s="266" customFormat="1" ht="15" customHeight="1" thickBot="1">
      <c r="A131" s="235" t="s">
        <v>98</v>
      </c>
      <c r="B131" s="1569" t="s">
        <v>657</v>
      </c>
      <c r="C131" s="262">
        <f>SUM(C128:C130)</f>
        <v>142588</v>
      </c>
      <c r="D131" s="262">
        <f>SUM(D128:D130)</f>
        <v>2716</v>
      </c>
      <c r="E131" s="262">
        <f>SUM(E128:E130)</f>
        <v>145304</v>
      </c>
      <c r="F131" s="725">
        <f>SUM(C131:D131)</f>
        <v>145304</v>
      </c>
      <c r="H131" s="1791"/>
      <c r="I131" s="1523"/>
      <c r="J131" s="1470"/>
      <c r="L131" s="1493"/>
    </row>
    <row r="132" spans="1:12" s="257" customFormat="1" ht="15" customHeight="1">
      <c r="A132" s="267"/>
      <c r="B132" s="1595" t="s">
        <v>200</v>
      </c>
      <c r="C132" s="261">
        <v>130045</v>
      </c>
      <c r="D132" s="260">
        <v>-1781</v>
      </c>
      <c r="E132" s="986">
        <f>SUM(C132:D132)</f>
        <v>128264</v>
      </c>
      <c r="F132" s="1032"/>
      <c r="G132" s="726"/>
      <c r="H132" s="1790">
        <v>77970</v>
      </c>
      <c r="I132" s="1517">
        <v>72481</v>
      </c>
      <c r="J132" s="1468">
        <v>68190</v>
      </c>
      <c r="L132" s="1493"/>
    </row>
    <row r="133" spans="1:12" s="257" customFormat="1" ht="15" customHeight="1">
      <c r="A133" s="267"/>
      <c r="B133" s="1595" t="s">
        <v>590</v>
      </c>
      <c r="C133" s="261">
        <v>50000</v>
      </c>
      <c r="D133" s="260"/>
      <c r="E133" s="986">
        <f>SUM(C133:D133)</f>
        <v>50000</v>
      </c>
      <c r="F133" s="1032"/>
      <c r="G133" s="726"/>
      <c r="H133" s="1790">
        <v>25047</v>
      </c>
      <c r="I133" s="1517">
        <v>13558</v>
      </c>
      <c r="J133" s="1468">
        <v>13558</v>
      </c>
      <c r="L133" s="1493"/>
    </row>
    <row r="134" spans="1:12" s="257" customFormat="1" ht="15" customHeight="1">
      <c r="A134" s="267"/>
      <c r="B134" s="1598" t="s">
        <v>800</v>
      </c>
      <c r="C134" s="261">
        <v>7914</v>
      </c>
      <c r="D134" s="260">
        <v>1208</v>
      </c>
      <c r="E134" s="986">
        <f>SUM(C134:D134)</f>
        <v>9122</v>
      </c>
      <c r="F134" s="1032"/>
      <c r="G134" s="726"/>
      <c r="H134" s="1790">
        <v>8748</v>
      </c>
      <c r="I134" s="1517">
        <v>7540</v>
      </c>
      <c r="J134" s="1468">
        <v>7286</v>
      </c>
      <c r="L134" s="1493"/>
    </row>
    <row r="135" spans="1:12" s="257" customFormat="1" ht="15" customHeight="1" thickBot="1">
      <c r="A135" s="267"/>
      <c r="B135" s="1595" t="s">
        <v>201</v>
      </c>
      <c r="C135" s="261">
        <v>17988</v>
      </c>
      <c r="D135" s="260"/>
      <c r="E135" s="986">
        <f>SUM(C135:D135)</f>
        <v>17988</v>
      </c>
      <c r="F135" s="1032"/>
      <c r="G135" s="726"/>
      <c r="H135" s="1790">
        <v>9988</v>
      </c>
      <c r="I135" s="1517">
        <v>11951</v>
      </c>
      <c r="J135" s="1468">
        <v>9518</v>
      </c>
      <c r="L135" s="1493"/>
    </row>
    <row r="136" spans="1:12" s="268" customFormat="1" ht="15" customHeight="1" thickBot="1">
      <c r="A136" s="250" t="s">
        <v>99</v>
      </c>
      <c r="B136" s="1569" t="s">
        <v>656</v>
      </c>
      <c r="C136" s="1058">
        <f>SUM(C132:C135)</f>
        <v>205947</v>
      </c>
      <c r="D136" s="1058">
        <f>SUM(D132:D135)</f>
        <v>-573</v>
      </c>
      <c r="E136" s="1060">
        <f>SUM(E132:E135)</f>
        <v>205374</v>
      </c>
      <c r="F136" s="1032">
        <f>SUM(C136:D136)</f>
        <v>205374</v>
      </c>
      <c r="G136" s="726"/>
      <c r="H136" s="1790"/>
      <c r="I136" s="1517"/>
      <c r="J136" s="1468"/>
      <c r="L136" s="1493"/>
    </row>
    <row r="137" spans="1:12" s="268" customFormat="1" ht="15" customHeight="1" thickBot="1">
      <c r="A137" s="1188" t="s">
        <v>100</v>
      </c>
      <c r="B137" s="1569" t="s">
        <v>591</v>
      </c>
      <c r="C137" s="1417">
        <v>66610</v>
      </c>
      <c r="D137" s="251"/>
      <c r="E137" s="1061">
        <f>SUM(C137:D137)</f>
        <v>66610</v>
      </c>
      <c r="F137" s="1032"/>
      <c r="G137" s="726"/>
      <c r="H137" s="1790">
        <v>31194</v>
      </c>
      <c r="I137" s="1517">
        <v>31194</v>
      </c>
      <c r="J137" s="1468">
        <v>31194</v>
      </c>
      <c r="L137" s="1493"/>
    </row>
    <row r="138" spans="1:12" s="268" customFormat="1" ht="15" customHeight="1" thickBot="1">
      <c r="A138" s="1422" t="s">
        <v>101</v>
      </c>
      <c r="B138" s="1599" t="s">
        <v>592</v>
      </c>
      <c r="C138" s="1423">
        <v>1000</v>
      </c>
      <c r="D138" s="1424"/>
      <c r="E138" s="1425">
        <f>SUM(C138:D138)</f>
        <v>1000</v>
      </c>
      <c r="F138" s="1032"/>
      <c r="G138" s="726"/>
      <c r="H138" s="1790"/>
      <c r="I138" s="1517"/>
      <c r="J138" s="1468"/>
      <c r="L138" s="1493"/>
    </row>
    <row r="139" spans="1:12" ht="15" customHeight="1" thickBot="1" thickTop="1">
      <c r="A139" s="1187" t="s">
        <v>102</v>
      </c>
      <c r="B139" s="1600" t="s">
        <v>677</v>
      </c>
      <c r="C139" s="1059">
        <f>+C131+C136+C137+C138</f>
        <v>416145</v>
      </c>
      <c r="D139" s="1059">
        <f>+D131+D136+D137+D138</f>
        <v>2143</v>
      </c>
      <c r="E139" s="1397">
        <f>+E131+E136+E137+E138</f>
        <v>418288</v>
      </c>
      <c r="F139" s="1032">
        <f>SUM(C139:D139)</f>
        <v>418288</v>
      </c>
      <c r="G139" s="1032">
        <f>hivatal4!N25</f>
        <v>418288</v>
      </c>
      <c r="L139" s="1493"/>
    </row>
    <row r="140" spans="1:12" ht="15" customHeight="1" thickBot="1" thickTop="1">
      <c r="A140" s="1187" t="s">
        <v>105</v>
      </c>
      <c r="B140" s="1601" t="s">
        <v>673</v>
      </c>
      <c r="C140" s="1418">
        <f>hivatal1!I25</f>
        <v>11060</v>
      </c>
      <c r="D140" s="1418">
        <f>hivatal1!J25</f>
        <v>0</v>
      </c>
      <c r="E140" s="1419">
        <f>SUM(C140:D140)</f>
        <v>11060</v>
      </c>
      <c r="F140" s="1032"/>
      <c r="G140" s="1032"/>
      <c r="H140" s="1790">
        <v>385</v>
      </c>
      <c r="I140" s="1517">
        <v>385</v>
      </c>
      <c r="L140" s="1493"/>
    </row>
    <row r="141" spans="1:12" ht="15" customHeight="1" thickBot="1" thickTop="1">
      <c r="A141" s="252" t="s">
        <v>120</v>
      </c>
      <c r="B141" s="1602" t="s">
        <v>935</v>
      </c>
      <c r="C141" s="253">
        <f>C127+C139+C140</f>
        <v>1770404</v>
      </c>
      <c r="D141" s="253">
        <f>D127+D139+D140</f>
        <v>-14153</v>
      </c>
      <c r="E141" s="253">
        <f>E127+E139+E140</f>
        <v>1756251</v>
      </c>
      <c r="F141" s="1032">
        <f>SUM(C141:D141)</f>
        <v>1756251</v>
      </c>
      <c r="G141" s="1032"/>
      <c r="L141" s="1493"/>
    </row>
    <row r="142" spans="1:12" ht="15" customHeight="1" thickBot="1" thickTop="1">
      <c r="A142" s="247" t="s">
        <v>121</v>
      </c>
      <c r="B142" s="1603" t="s">
        <v>90</v>
      </c>
      <c r="C142" s="248">
        <f>'önállóan gazd.'!O25</f>
        <v>2540</v>
      </c>
      <c r="D142" s="248">
        <f>'önállóan gazd.'!P25</f>
        <v>10185</v>
      </c>
      <c r="E142" s="1398">
        <f>'önállóan gazd.'!Q25</f>
        <v>12725</v>
      </c>
      <c r="L142" s="1493"/>
    </row>
    <row r="143" spans="1:12" ht="15" customHeight="1" thickBot="1" thickTop="1">
      <c r="A143" s="128"/>
      <c r="B143" s="1604" t="s">
        <v>229</v>
      </c>
      <c r="C143" s="107">
        <f>SUM(C141:C142)</f>
        <v>1772944</v>
      </c>
      <c r="D143" s="107">
        <f>SUM(D141:D142)</f>
        <v>-3968</v>
      </c>
      <c r="E143" s="1399">
        <f>SUM(E141:E142)</f>
        <v>1768976</v>
      </c>
      <c r="F143" s="1032">
        <f>SUM(C143:D143)</f>
        <v>1768976</v>
      </c>
      <c r="G143" s="1032">
        <f>hivatal9!K25</f>
        <v>1768976</v>
      </c>
      <c r="H143" s="1790">
        <f>SUM(H8:H142)</f>
        <v>1241970</v>
      </c>
      <c r="I143" s="1517">
        <f>SUM(I8:I142)</f>
        <v>883055</v>
      </c>
      <c r="J143" s="1468">
        <f>SUM(J8:J142)</f>
        <v>418680</v>
      </c>
      <c r="L143" s="1493"/>
    </row>
    <row r="144" ht="13.5" thickTop="1"/>
    <row r="145" ht="12.75">
      <c r="I145" s="1790"/>
    </row>
    <row r="146" ht="12.75">
      <c r="I146" s="1790"/>
    </row>
  </sheetData>
  <sheetProtection/>
  <mergeCells count="4">
    <mergeCell ref="A3:E3"/>
    <mergeCell ref="A103:A109"/>
    <mergeCell ref="A124:A125"/>
    <mergeCell ref="A40:A49"/>
  </mergeCells>
  <printOptions horizontalCentered="1" verticalCentered="1"/>
  <pageMargins left="0.35433070866141736" right="0.2755905511811024" top="0.4724409448818898" bottom="0.35433070866141736" header="0.1968503937007874" footer="0.15748031496062992"/>
  <pageSetup fitToHeight="2" horizontalDpi="600" verticalDpi="600" orientation="portrait" paperSize="9" scale="65" r:id="rId1"/>
  <headerFooter>
    <oddHeader xml:space="preserve">&amp;R7. melléklet az 1/2020.(II.24.) számú 
Önkormányzati rendelethez
&amp;P. oldal </oddHeader>
    <oddFooter>&amp;L&amp;F&amp;C&amp;D, &amp;T&amp;R&amp;A</oddFooter>
  </headerFooter>
  <rowBreaks count="1" manualBreakCount="1">
    <brk id="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7"/>
  <sheetViews>
    <sheetView showGridLines="0" zoomScale="90" zoomScaleNormal="90" zoomScalePageLayoutView="0" workbookViewId="0" topLeftCell="A1">
      <pane xSplit="2" ySplit="7" topLeftCell="C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5.00390625" style="724" customWidth="1"/>
    <col min="2" max="2" width="109.875" style="1663" customWidth="1"/>
    <col min="3" max="3" width="12.375" style="724" customWidth="1"/>
    <col min="4" max="4" width="12.375" style="1664" customWidth="1"/>
    <col min="5" max="5" width="12.375" style="266" customWidth="1"/>
    <col min="6" max="6" width="12.625" style="726" customWidth="1"/>
    <col min="7" max="7" width="11.375" style="726" bestFit="1" customWidth="1"/>
    <col min="8" max="8" width="11.50390625" style="1790" bestFit="1" customWidth="1"/>
    <col min="9" max="9" width="11.375" style="1517" customWidth="1"/>
    <col min="10" max="10" width="12.375" style="1468" customWidth="1"/>
    <col min="11" max="11" width="7.50390625" style="726" customWidth="1"/>
    <col min="12" max="12" width="11.50390625" style="726" bestFit="1" customWidth="1"/>
    <col min="13" max="13" width="12.375" style="726" customWidth="1"/>
    <col min="14" max="16384" width="9.375" style="726" customWidth="1"/>
  </cols>
  <sheetData>
    <row r="1" ht="12.75">
      <c r="E1" s="1665"/>
    </row>
    <row r="2" ht="12.75">
      <c r="E2" s="1665"/>
    </row>
    <row r="3" spans="1:5" ht="17.25" customHeight="1">
      <c r="A3" s="1998" t="s">
        <v>647</v>
      </c>
      <c r="B3" s="1998"/>
      <c r="C3" s="1998"/>
      <c r="D3" s="1998"/>
      <c r="E3" s="1998"/>
    </row>
    <row r="4" spans="1:5" ht="15.75" customHeight="1">
      <c r="A4" s="1999" t="s">
        <v>571</v>
      </c>
      <c r="B4" s="1999"/>
      <c r="C4" s="1999"/>
      <c r="D4" s="1999"/>
      <c r="E4" s="1999"/>
    </row>
    <row r="5" spans="1:5" ht="22.5" customHeight="1" thickBot="1">
      <c r="A5" s="1666"/>
      <c r="B5" s="1667"/>
      <c r="C5" s="1668"/>
      <c r="D5" s="1669"/>
      <c r="E5" s="1670" t="s">
        <v>134</v>
      </c>
    </row>
    <row r="6" spans="1:10" ht="30" customHeight="1" thickBot="1">
      <c r="A6" s="1671" t="s">
        <v>151</v>
      </c>
      <c r="B6" s="1672"/>
      <c r="C6" s="1673" t="s">
        <v>792</v>
      </c>
      <c r="D6" s="1674" t="s">
        <v>130</v>
      </c>
      <c r="E6" s="1675" t="s">
        <v>658</v>
      </c>
      <c r="H6" s="1793" t="s">
        <v>910</v>
      </c>
      <c r="I6" s="1676" t="s">
        <v>856</v>
      </c>
      <c r="J6" s="1471" t="s">
        <v>793</v>
      </c>
    </row>
    <row r="7" spans="1:5" ht="10.5" customHeight="1" thickBot="1" thickTop="1">
      <c r="A7" s="1677"/>
      <c r="B7" s="1678">
        <v>1</v>
      </c>
      <c r="C7" s="1679">
        <v>2</v>
      </c>
      <c r="D7" s="1680">
        <v>3</v>
      </c>
      <c r="E7" s="1681">
        <v>4</v>
      </c>
    </row>
    <row r="8" spans="1:13" ht="15" customHeight="1">
      <c r="A8" s="985"/>
      <c r="B8" s="1547" t="s">
        <v>595</v>
      </c>
      <c r="C8" s="1323">
        <v>22084</v>
      </c>
      <c r="D8" s="1437">
        <v>-5000</v>
      </c>
      <c r="E8" s="216">
        <f aca="true" t="shared" si="0" ref="E8:E18">SUM(C8:D8)</f>
        <v>17084</v>
      </c>
      <c r="F8" s="1032"/>
      <c r="H8" s="1790">
        <v>1874</v>
      </c>
      <c r="I8" s="1517">
        <v>872</v>
      </c>
      <c r="J8" s="1468">
        <v>821</v>
      </c>
      <c r="L8" s="1032">
        <f>E8-H8</f>
        <v>15210</v>
      </c>
      <c r="M8" s="1032"/>
    </row>
    <row r="9" spans="1:13" ht="15" customHeight="1">
      <c r="A9" s="985"/>
      <c r="B9" s="1547" t="s">
        <v>554</v>
      </c>
      <c r="C9" s="1323">
        <v>1080</v>
      </c>
      <c r="D9" s="1437"/>
      <c r="E9" s="217">
        <f t="shared" si="0"/>
        <v>1080</v>
      </c>
      <c r="F9" s="1032"/>
      <c r="H9" s="1790">
        <v>1080</v>
      </c>
      <c r="I9" s="1517">
        <v>1080</v>
      </c>
      <c r="J9" s="1468">
        <v>1080</v>
      </c>
      <c r="L9" s="1032">
        <f aca="true" t="shared" si="1" ref="L9:L69">E9-H9</f>
        <v>0</v>
      </c>
      <c r="M9" s="1032"/>
    </row>
    <row r="10" spans="1:13" ht="15" customHeight="1">
      <c r="A10" s="985"/>
      <c r="B10" s="1605" t="s">
        <v>596</v>
      </c>
      <c r="C10" s="1323">
        <v>24966</v>
      </c>
      <c r="D10" s="1437"/>
      <c r="E10" s="217">
        <f t="shared" si="0"/>
        <v>24966</v>
      </c>
      <c r="F10" s="1032"/>
      <c r="H10" s="1790">
        <v>14137</v>
      </c>
      <c r="I10" s="1517">
        <v>12420</v>
      </c>
      <c r="J10" s="1468">
        <v>12420</v>
      </c>
      <c r="L10" s="1032">
        <f t="shared" si="1"/>
        <v>10829</v>
      </c>
      <c r="M10" s="1032"/>
    </row>
    <row r="11" spans="1:13" ht="15" customHeight="1">
      <c r="A11" s="985"/>
      <c r="B11" s="1606" t="s">
        <v>622</v>
      </c>
      <c r="C11" s="1526">
        <v>2498</v>
      </c>
      <c r="D11" s="1434"/>
      <c r="E11" s="217">
        <f t="shared" si="0"/>
        <v>2498</v>
      </c>
      <c r="F11" s="1032"/>
      <c r="H11" s="1790">
        <v>2268</v>
      </c>
      <c r="I11" s="1517">
        <v>2268</v>
      </c>
      <c r="L11" s="1032">
        <f t="shared" si="1"/>
        <v>230</v>
      </c>
      <c r="M11" s="1032"/>
    </row>
    <row r="12" spans="1:13" ht="15" customHeight="1">
      <c r="A12" s="985"/>
      <c r="B12" s="1549" t="s">
        <v>621</v>
      </c>
      <c r="C12" s="1526">
        <v>21427</v>
      </c>
      <c r="D12" s="1434"/>
      <c r="E12" s="217">
        <f t="shared" si="0"/>
        <v>21427</v>
      </c>
      <c r="F12" s="1032"/>
      <c r="H12" s="1790">
        <v>21427</v>
      </c>
      <c r="I12" s="1517">
        <v>21427</v>
      </c>
      <c r="L12" s="1032">
        <f t="shared" si="1"/>
        <v>0</v>
      </c>
      <c r="M12" s="1032"/>
    </row>
    <row r="13" spans="1:13" ht="15" customHeight="1">
      <c r="A13" s="985"/>
      <c r="B13" s="1607" t="s">
        <v>540</v>
      </c>
      <c r="C13" s="1682">
        <v>272</v>
      </c>
      <c r="D13" s="1435"/>
      <c r="E13" s="217">
        <f t="shared" si="0"/>
        <v>272</v>
      </c>
      <c r="F13" s="1032"/>
      <c r="L13" s="1032">
        <f t="shared" si="1"/>
        <v>272</v>
      </c>
      <c r="M13" s="1032"/>
    </row>
    <row r="14" spans="1:13" ht="15" customHeight="1">
      <c r="A14" s="985"/>
      <c r="B14" s="1608" t="s">
        <v>597</v>
      </c>
      <c r="C14" s="1682">
        <v>595</v>
      </c>
      <c r="D14" s="1435"/>
      <c r="E14" s="217">
        <f t="shared" si="0"/>
        <v>595</v>
      </c>
      <c r="F14" s="1032"/>
      <c r="H14" s="1790">
        <v>580</v>
      </c>
      <c r="I14" s="1517">
        <v>580</v>
      </c>
      <c r="L14" s="1032">
        <f t="shared" si="1"/>
        <v>15</v>
      </c>
      <c r="M14" s="1032"/>
    </row>
    <row r="15" spans="1:13" ht="15" customHeight="1">
      <c r="A15" s="985"/>
      <c r="B15" s="1549" t="s">
        <v>598</v>
      </c>
      <c r="C15" s="1526">
        <v>31713</v>
      </c>
      <c r="D15" s="1434"/>
      <c r="E15" s="217">
        <f t="shared" si="0"/>
        <v>31713</v>
      </c>
      <c r="F15" s="1032"/>
      <c r="H15" s="1790">
        <v>31708</v>
      </c>
      <c r="I15" s="1517">
        <v>28614</v>
      </c>
      <c r="L15" s="1032">
        <f t="shared" si="1"/>
        <v>5</v>
      </c>
      <c r="M15" s="1032"/>
    </row>
    <row r="16" spans="1:13" ht="15" customHeight="1">
      <c r="A16" s="985"/>
      <c r="B16" s="1549" t="s">
        <v>581</v>
      </c>
      <c r="C16" s="1323">
        <v>30000</v>
      </c>
      <c r="D16" s="1437">
        <v>-29063</v>
      </c>
      <c r="E16" s="217">
        <f t="shared" si="0"/>
        <v>937</v>
      </c>
      <c r="F16" s="1032"/>
      <c r="H16" s="1790">
        <v>915</v>
      </c>
      <c r="I16" s="1517">
        <v>914</v>
      </c>
      <c r="L16" s="1032">
        <f t="shared" si="1"/>
        <v>22</v>
      </c>
      <c r="M16" s="1032"/>
    </row>
    <row r="17" spans="1:13" ht="15" customHeight="1">
      <c r="A17" s="985"/>
      <c r="B17" s="1800" t="s">
        <v>911</v>
      </c>
      <c r="C17" s="1526"/>
      <c r="D17" s="1434">
        <v>30000</v>
      </c>
      <c r="E17" s="217">
        <f t="shared" si="0"/>
        <v>30000</v>
      </c>
      <c r="F17" s="1032"/>
      <c r="L17" s="1032"/>
      <c r="M17" s="1032"/>
    </row>
    <row r="18" spans="1:13" ht="15" customHeight="1" thickBot="1">
      <c r="A18" s="985"/>
      <c r="B18" s="1609" t="s">
        <v>794</v>
      </c>
      <c r="C18" s="1683">
        <v>625</v>
      </c>
      <c r="D18" s="1461">
        <v>905</v>
      </c>
      <c r="E18" s="1221">
        <f t="shared" si="0"/>
        <v>1530</v>
      </c>
      <c r="F18" s="1032"/>
      <c r="H18" s="1790">
        <v>1457</v>
      </c>
      <c r="I18" s="1517">
        <v>66</v>
      </c>
      <c r="J18" s="1468">
        <v>32</v>
      </c>
      <c r="L18" s="1032">
        <f t="shared" si="1"/>
        <v>73</v>
      </c>
      <c r="M18" s="1032"/>
    </row>
    <row r="19" spans="1:13" ht="15" customHeight="1" thickBot="1">
      <c r="A19" s="294">
        <v>1</v>
      </c>
      <c r="B19" s="1610" t="s">
        <v>198</v>
      </c>
      <c r="C19" s="1260">
        <f>SUM(C8:C18)</f>
        <v>135260</v>
      </c>
      <c r="D19" s="1260">
        <f>SUM(D8:D18)</f>
        <v>-3158</v>
      </c>
      <c r="E19" s="1260">
        <f>SUM(E8:E18)</f>
        <v>132102</v>
      </c>
      <c r="F19" s="1032">
        <f>SUM(C19:D19)</f>
        <v>132102</v>
      </c>
      <c r="L19" s="1032">
        <f t="shared" si="1"/>
        <v>132102</v>
      </c>
      <c r="M19" s="1032"/>
    </row>
    <row r="20" spans="1:13" s="724" customFormat="1" ht="15" customHeight="1">
      <c r="A20" s="988"/>
      <c r="B20" s="1611" t="s">
        <v>543</v>
      </c>
      <c r="C20" s="1684">
        <v>17050</v>
      </c>
      <c r="D20" s="1315"/>
      <c r="E20" s="1218">
        <f>SUM(C20:D20)</f>
        <v>17050</v>
      </c>
      <c r="F20" s="725"/>
      <c r="H20" s="1791"/>
      <c r="I20" s="1523"/>
      <c r="J20" s="1470"/>
      <c r="L20" s="1032">
        <f t="shared" si="1"/>
        <v>17050</v>
      </c>
      <c r="M20" s="1032"/>
    </row>
    <row r="21" spans="1:13" s="724" customFormat="1" ht="15" customHeight="1" thickBot="1">
      <c r="A21" s="988"/>
      <c r="B21" s="1612" t="s">
        <v>615</v>
      </c>
      <c r="C21" s="1373">
        <v>18039</v>
      </c>
      <c r="D21" s="1316">
        <v>-3650</v>
      </c>
      <c r="E21" s="1218">
        <f>SUM(C21:D21)</f>
        <v>14389</v>
      </c>
      <c r="F21" s="725"/>
      <c r="H21" s="1791">
        <v>13519</v>
      </c>
      <c r="I21" s="1523"/>
      <c r="J21" s="1470"/>
      <c r="L21" s="1032">
        <f t="shared" si="1"/>
        <v>870</v>
      </c>
      <c r="M21" s="1032"/>
    </row>
    <row r="22" spans="1:13" ht="15" customHeight="1" thickBot="1">
      <c r="A22" s="1685">
        <v>2</v>
      </c>
      <c r="B22" s="1613" t="s">
        <v>542</v>
      </c>
      <c r="C22" s="1686">
        <f>SUM(C20:C21)</f>
        <v>35089</v>
      </c>
      <c r="D22" s="1686">
        <f>SUM(D20:D21)</f>
        <v>-3650</v>
      </c>
      <c r="E22" s="1686">
        <f>SUM(E20:E21)</f>
        <v>31439</v>
      </c>
      <c r="F22" s="1032"/>
      <c r="L22" s="1032">
        <f t="shared" si="1"/>
        <v>31439</v>
      </c>
      <c r="M22" s="1032"/>
    </row>
    <row r="23" spans="1:13" s="724" customFormat="1" ht="15" customHeight="1">
      <c r="A23" s="988"/>
      <c r="B23" s="1614" t="s">
        <v>527</v>
      </c>
      <c r="C23" s="1323">
        <v>633</v>
      </c>
      <c r="D23" s="1317"/>
      <c r="E23" s="219">
        <f>SUM(C23:D23)</f>
        <v>633</v>
      </c>
      <c r="F23" s="725"/>
      <c r="H23" s="1791"/>
      <c r="I23" s="1523"/>
      <c r="J23" s="1470"/>
      <c r="L23" s="1032">
        <f t="shared" si="1"/>
        <v>633</v>
      </c>
      <c r="M23" s="1032"/>
    </row>
    <row r="24" spans="1:13" s="724" customFormat="1" ht="15" customHeight="1" thickBot="1">
      <c r="A24" s="988"/>
      <c r="B24" s="1615" t="s">
        <v>616</v>
      </c>
      <c r="C24" s="1385">
        <v>12836</v>
      </c>
      <c r="D24" s="1316"/>
      <c r="E24" s="219">
        <f>SUM(C24:D24)</f>
        <v>12836</v>
      </c>
      <c r="F24" s="725"/>
      <c r="H24" s="1791"/>
      <c r="I24" s="1523"/>
      <c r="J24" s="1470"/>
      <c r="L24" s="1032">
        <f t="shared" si="1"/>
        <v>12836</v>
      </c>
      <c r="M24" s="1032"/>
    </row>
    <row r="25" spans="1:13" ht="15" customHeight="1" thickBot="1">
      <c r="A25" s="294">
        <v>3</v>
      </c>
      <c r="B25" s="1616" t="s">
        <v>531</v>
      </c>
      <c r="C25" s="214">
        <f>SUM(C23:C24)</f>
        <v>13469</v>
      </c>
      <c r="D25" s="1314">
        <f>SUM(D23:D23)</f>
        <v>0</v>
      </c>
      <c r="E25" s="214">
        <f>SUM(E23:E24)</f>
        <v>13469</v>
      </c>
      <c r="F25" s="1032">
        <f>SUM(C25:D25)</f>
        <v>13469</v>
      </c>
      <c r="L25" s="1032">
        <f t="shared" si="1"/>
        <v>13469</v>
      </c>
      <c r="M25" s="1032"/>
    </row>
    <row r="26" spans="1:13" ht="15" customHeight="1">
      <c r="A26" s="985"/>
      <c r="B26" s="1617" t="s">
        <v>544</v>
      </c>
      <c r="C26" s="1684">
        <v>1771</v>
      </c>
      <c r="D26" s="1315">
        <v>-25</v>
      </c>
      <c r="E26" s="1218">
        <f>SUM(C26:D26)</f>
        <v>1746</v>
      </c>
      <c r="F26" s="1032"/>
      <c r="L26" s="1032">
        <f t="shared" si="1"/>
        <v>1746</v>
      </c>
      <c r="M26" s="1032"/>
    </row>
    <row r="27" spans="1:13" ht="15" customHeight="1">
      <c r="A27" s="985"/>
      <c r="B27" s="1615" t="s">
        <v>887</v>
      </c>
      <c r="C27" s="1526">
        <v>3986</v>
      </c>
      <c r="D27" s="1022"/>
      <c r="E27" s="217">
        <f>SUM(C27:D27)</f>
        <v>3986</v>
      </c>
      <c r="F27" s="1032"/>
      <c r="L27" s="1032">
        <f t="shared" si="1"/>
        <v>3986</v>
      </c>
      <c r="M27" s="1032"/>
    </row>
    <row r="28" spans="1:13" s="1534" customFormat="1" ht="15" customHeight="1" thickBot="1">
      <c r="A28" s="1531"/>
      <c r="B28" s="1662" t="s">
        <v>886</v>
      </c>
      <c r="C28" s="1687">
        <v>3732</v>
      </c>
      <c r="D28" s="1537"/>
      <c r="E28" s="1520">
        <v>3732</v>
      </c>
      <c r="F28" s="1533"/>
      <c r="H28" s="1794">
        <v>3729</v>
      </c>
      <c r="I28" s="1541">
        <v>3729</v>
      </c>
      <c r="J28" s="1485"/>
      <c r="L28" s="1032">
        <f t="shared" si="1"/>
        <v>3</v>
      </c>
      <c r="M28" s="1533"/>
    </row>
    <row r="29" spans="1:13" ht="15" customHeight="1" thickBot="1">
      <c r="A29" s="294">
        <v>4</v>
      </c>
      <c r="B29" s="1618" t="s">
        <v>160</v>
      </c>
      <c r="C29" s="214">
        <f>SUM(C26:C27)</f>
        <v>5757</v>
      </c>
      <c r="D29" s="1314">
        <f>SUM(D26:D27)</f>
        <v>-25</v>
      </c>
      <c r="E29" s="214">
        <f>SUM(E26:E27)</f>
        <v>5732</v>
      </c>
      <c r="F29" s="1032"/>
      <c r="L29" s="1032">
        <f t="shared" si="1"/>
        <v>5732</v>
      </c>
      <c r="M29" s="1032"/>
    </row>
    <row r="30" spans="1:13" ht="15" customHeight="1">
      <c r="A30" s="2000"/>
      <c r="B30" s="1619" t="s">
        <v>465</v>
      </c>
      <c r="C30" s="1684">
        <v>14934</v>
      </c>
      <c r="D30" s="1315"/>
      <c r="E30" s="1066">
        <f>SUM(C30:D30)</f>
        <v>14934</v>
      </c>
      <c r="F30" s="1032"/>
      <c r="H30" s="1790">
        <v>5524</v>
      </c>
      <c r="I30" s="1517">
        <v>241</v>
      </c>
      <c r="L30" s="1032">
        <f t="shared" si="1"/>
        <v>9410</v>
      </c>
      <c r="M30" s="1032"/>
    </row>
    <row r="31" spans="1:13" ht="15" customHeight="1" thickBot="1">
      <c r="A31" s="2001"/>
      <c r="B31" s="1559" t="s">
        <v>716</v>
      </c>
      <c r="C31" s="1385">
        <v>9094</v>
      </c>
      <c r="D31" s="1316"/>
      <c r="E31" s="219">
        <f>SUM(C31:D31)</f>
        <v>9094</v>
      </c>
      <c r="F31" s="1032"/>
      <c r="H31" s="1790">
        <v>9094</v>
      </c>
      <c r="I31" s="1517">
        <v>9094</v>
      </c>
      <c r="J31" s="1468">
        <v>9094</v>
      </c>
      <c r="L31" s="1032">
        <f t="shared" si="1"/>
        <v>0</v>
      </c>
      <c r="M31" s="1032"/>
    </row>
    <row r="32" spans="1:13" ht="15" customHeight="1" thickBot="1">
      <c r="A32" s="294">
        <v>5</v>
      </c>
      <c r="B32" s="1618" t="s">
        <v>336</v>
      </c>
      <c r="C32" s="214">
        <f>SUM(C30:C31)</f>
        <v>24028</v>
      </c>
      <c r="D32" s="214">
        <f>SUM(D30:D31)</f>
        <v>0</v>
      </c>
      <c r="E32" s="214">
        <f>SUM(E30:E31)</f>
        <v>24028</v>
      </c>
      <c r="F32" s="1032">
        <f>SUM(C32:D32)</f>
        <v>24028</v>
      </c>
      <c r="K32" s="1688"/>
      <c r="L32" s="1032">
        <f t="shared" si="1"/>
        <v>24028</v>
      </c>
      <c r="M32" s="1032"/>
    </row>
    <row r="33" spans="1:13" ht="15" customHeight="1">
      <c r="A33" s="988"/>
      <c r="B33" s="1620" t="s">
        <v>466</v>
      </c>
      <c r="C33" s="1438">
        <v>17484</v>
      </c>
      <c r="D33" s="1065">
        <v>164</v>
      </c>
      <c r="E33" s="219">
        <f aca="true" t="shared" si="2" ref="E33:E39">SUM(C33:D33)</f>
        <v>17648</v>
      </c>
      <c r="F33" s="1032"/>
      <c r="H33" s="1790">
        <v>7805</v>
      </c>
      <c r="I33" s="1517">
        <v>6915</v>
      </c>
      <c r="J33" s="1468">
        <v>6165</v>
      </c>
      <c r="K33" s="1688"/>
      <c r="L33" s="1032">
        <f t="shared" si="1"/>
        <v>9843</v>
      </c>
      <c r="M33" s="1032"/>
    </row>
    <row r="34" spans="1:13" ht="15" customHeight="1">
      <c r="A34" s="988"/>
      <c r="B34" s="1611" t="s">
        <v>505</v>
      </c>
      <c r="C34" s="1438"/>
      <c r="D34" s="215">
        <v>2540</v>
      </c>
      <c r="E34" s="213">
        <f t="shared" si="2"/>
        <v>2540</v>
      </c>
      <c r="F34" s="1032"/>
      <c r="K34" s="1688"/>
      <c r="L34" s="1032">
        <f t="shared" si="1"/>
        <v>2540</v>
      </c>
      <c r="M34" s="1032"/>
    </row>
    <row r="35" spans="1:13" ht="15" customHeight="1">
      <c r="A35" s="988"/>
      <c r="B35" s="1615" t="s">
        <v>717</v>
      </c>
      <c r="C35" s="1526">
        <v>63621</v>
      </c>
      <c r="D35" s="1439">
        <v>-4307</v>
      </c>
      <c r="E35" s="213">
        <f t="shared" si="2"/>
        <v>59314</v>
      </c>
      <c r="F35" s="1032"/>
      <c r="H35" s="1790">
        <v>59314</v>
      </c>
      <c r="I35" s="1517">
        <v>59314</v>
      </c>
      <c r="J35" s="1468">
        <v>59314</v>
      </c>
      <c r="L35" s="1032">
        <f t="shared" si="1"/>
        <v>0</v>
      </c>
      <c r="M35" s="1032"/>
    </row>
    <row r="36" spans="1:13" ht="15" customHeight="1">
      <c r="A36" s="988"/>
      <c r="B36" s="1615" t="s">
        <v>718</v>
      </c>
      <c r="C36" s="1526">
        <v>68461</v>
      </c>
      <c r="D36" s="1439">
        <v>-1248</v>
      </c>
      <c r="E36" s="213">
        <f t="shared" si="2"/>
        <v>67213</v>
      </c>
      <c r="F36" s="1032"/>
      <c r="H36" s="1790">
        <v>66990</v>
      </c>
      <c r="I36" s="1517">
        <v>66990</v>
      </c>
      <c r="J36" s="1468">
        <v>66990</v>
      </c>
      <c r="L36" s="1032">
        <f t="shared" si="1"/>
        <v>223</v>
      </c>
      <c r="M36" s="1032"/>
    </row>
    <row r="37" spans="1:13" ht="15" customHeight="1">
      <c r="A37" s="988"/>
      <c r="B37" s="1615" t="s">
        <v>719</v>
      </c>
      <c r="C37" s="1526">
        <v>67783</v>
      </c>
      <c r="D37" s="1439"/>
      <c r="E37" s="213">
        <f t="shared" si="2"/>
        <v>67783</v>
      </c>
      <c r="F37" s="1032"/>
      <c r="H37" s="1790">
        <v>67750</v>
      </c>
      <c r="I37" s="1517">
        <v>67750</v>
      </c>
      <c r="J37" s="1468">
        <v>67750</v>
      </c>
      <c r="L37" s="1032">
        <f t="shared" si="1"/>
        <v>33</v>
      </c>
      <c r="M37" s="1032"/>
    </row>
    <row r="38" spans="1:13" ht="30" customHeight="1">
      <c r="A38" s="988"/>
      <c r="B38" s="1550" t="s">
        <v>840</v>
      </c>
      <c r="C38" s="1526">
        <v>1322969</v>
      </c>
      <c r="D38" s="1439"/>
      <c r="E38" s="213">
        <f t="shared" si="2"/>
        <v>1322969</v>
      </c>
      <c r="F38" s="1032"/>
      <c r="L38" s="1032">
        <f t="shared" si="1"/>
        <v>1322969</v>
      </c>
      <c r="M38" s="1032"/>
    </row>
    <row r="39" spans="1:13" s="1529" customFormat="1" ht="15" customHeight="1">
      <c r="A39" s="1527"/>
      <c r="B39" s="1476" t="s">
        <v>801</v>
      </c>
      <c r="C39" s="1532">
        <v>42373</v>
      </c>
      <c r="D39" s="1519"/>
      <c r="E39" s="1532">
        <f t="shared" si="2"/>
        <v>42373</v>
      </c>
      <c r="F39" s="1528"/>
      <c r="H39" s="1792">
        <v>42373</v>
      </c>
      <c r="I39" s="1689">
        <v>42373</v>
      </c>
      <c r="J39" s="1478"/>
      <c r="L39" s="1032">
        <f t="shared" si="1"/>
        <v>0</v>
      </c>
      <c r="M39" s="1032"/>
    </row>
    <row r="40" spans="1:13" s="1529" customFormat="1" ht="15" customHeight="1">
      <c r="A40" s="1527"/>
      <c r="B40" s="1476" t="s">
        <v>802</v>
      </c>
      <c r="C40" s="1532">
        <v>18118</v>
      </c>
      <c r="D40" s="1519"/>
      <c r="E40" s="1532">
        <f aca="true" t="shared" si="3" ref="E40:E77">SUM(C40:D40)</f>
        <v>18118</v>
      </c>
      <c r="F40" s="1528"/>
      <c r="H40" s="1792">
        <v>18117</v>
      </c>
      <c r="I40" s="1689">
        <v>18117</v>
      </c>
      <c r="J40" s="1478"/>
      <c r="L40" s="1032">
        <f t="shared" si="1"/>
        <v>1</v>
      </c>
      <c r="M40" s="1032"/>
    </row>
    <row r="41" spans="1:13" s="1529" customFormat="1" ht="15" customHeight="1">
      <c r="A41" s="1527"/>
      <c r="B41" s="1476" t="s">
        <v>803</v>
      </c>
      <c r="C41" s="1532">
        <v>34148</v>
      </c>
      <c r="D41" s="1519"/>
      <c r="E41" s="1532">
        <f t="shared" si="3"/>
        <v>34148</v>
      </c>
      <c r="F41" s="1528"/>
      <c r="H41" s="1792">
        <v>34148</v>
      </c>
      <c r="I41" s="1689">
        <v>34148</v>
      </c>
      <c r="J41" s="1478"/>
      <c r="L41" s="1032">
        <f t="shared" si="1"/>
        <v>0</v>
      </c>
      <c r="M41" s="1032"/>
    </row>
    <row r="42" spans="1:13" s="1529" customFormat="1" ht="15" customHeight="1">
      <c r="A42" s="1527"/>
      <c r="B42" s="1476" t="s">
        <v>804</v>
      </c>
      <c r="C42" s="1532">
        <v>29323</v>
      </c>
      <c r="D42" s="1519"/>
      <c r="E42" s="1532">
        <f t="shared" si="3"/>
        <v>29323</v>
      </c>
      <c r="F42" s="1528"/>
      <c r="H42" s="1792">
        <v>29323</v>
      </c>
      <c r="I42" s="1689">
        <v>29323</v>
      </c>
      <c r="J42" s="1478"/>
      <c r="L42" s="1032">
        <f t="shared" si="1"/>
        <v>0</v>
      </c>
      <c r="M42" s="1032"/>
    </row>
    <row r="43" spans="1:13" s="1529" customFormat="1" ht="15" customHeight="1">
      <c r="A43" s="1527"/>
      <c r="B43" s="1476" t="s">
        <v>805</v>
      </c>
      <c r="C43" s="1532">
        <v>37838</v>
      </c>
      <c r="D43" s="1519"/>
      <c r="E43" s="1532">
        <f t="shared" si="3"/>
        <v>37838</v>
      </c>
      <c r="F43" s="1528"/>
      <c r="H43" s="1792">
        <v>37838</v>
      </c>
      <c r="I43" s="1689">
        <v>37838</v>
      </c>
      <c r="J43" s="1478"/>
      <c r="L43" s="1032">
        <f t="shared" si="1"/>
        <v>0</v>
      </c>
      <c r="M43" s="1032"/>
    </row>
    <row r="44" spans="1:13" s="1529" customFormat="1" ht="15" customHeight="1">
      <c r="A44" s="1527"/>
      <c r="B44" s="1476" t="s">
        <v>806</v>
      </c>
      <c r="C44" s="1532">
        <v>24760</v>
      </c>
      <c r="D44" s="1519"/>
      <c r="E44" s="1532">
        <f t="shared" si="3"/>
        <v>24760</v>
      </c>
      <c r="F44" s="1528"/>
      <c r="H44" s="1792">
        <v>24760</v>
      </c>
      <c r="I44" s="1689">
        <v>24760</v>
      </c>
      <c r="J44" s="1478"/>
      <c r="L44" s="1032">
        <f t="shared" si="1"/>
        <v>0</v>
      </c>
      <c r="M44" s="1032"/>
    </row>
    <row r="45" spans="1:13" s="1529" customFormat="1" ht="15" customHeight="1">
      <c r="A45" s="1527"/>
      <c r="B45" s="1476" t="s">
        <v>807</v>
      </c>
      <c r="C45" s="1532">
        <v>55093</v>
      </c>
      <c r="D45" s="1519"/>
      <c r="E45" s="1532">
        <f t="shared" si="3"/>
        <v>55093</v>
      </c>
      <c r="F45" s="1528"/>
      <c r="H45" s="1792">
        <v>55093</v>
      </c>
      <c r="I45" s="1689">
        <v>55093</v>
      </c>
      <c r="J45" s="1478"/>
      <c r="L45" s="1032">
        <f t="shared" si="1"/>
        <v>0</v>
      </c>
      <c r="M45" s="1032"/>
    </row>
    <row r="46" spans="1:13" s="1529" customFormat="1" ht="15" customHeight="1">
      <c r="A46" s="1527"/>
      <c r="B46" s="1476" t="s">
        <v>808</v>
      </c>
      <c r="C46" s="1532">
        <v>14916</v>
      </c>
      <c r="D46" s="1519"/>
      <c r="E46" s="1532">
        <f t="shared" si="3"/>
        <v>14916</v>
      </c>
      <c r="F46" s="1528"/>
      <c r="H46" s="1792">
        <v>14916</v>
      </c>
      <c r="I46" s="1689">
        <v>14916</v>
      </c>
      <c r="J46" s="1478"/>
      <c r="L46" s="1032">
        <f t="shared" si="1"/>
        <v>0</v>
      </c>
      <c r="M46" s="1032"/>
    </row>
    <row r="47" spans="1:13" s="1529" customFormat="1" ht="15" customHeight="1">
      <c r="A47" s="1527"/>
      <c r="B47" s="1476" t="s">
        <v>809</v>
      </c>
      <c r="C47" s="1532">
        <v>27689</v>
      </c>
      <c r="D47" s="1519"/>
      <c r="E47" s="1532">
        <f t="shared" si="3"/>
        <v>27689</v>
      </c>
      <c r="F47" s="1528"/>
      <c r="H47" s="1792">
        <v>27689</v>
      </c>
      <c r="I47" s="1689">
        <v>27689</v>
      </c>
      <c r="J47" s="1478"/>
      <c r="L47" s="1032">
        <f t="shared" si="1"/>
        <v>0</v>
      </c>
      <c r="M47" s="1032"/>
    </row>
    <row r="48" spans="1:13" s="1529" customFormat="1" ht="15" customHeight="1">
      <c r="A48" s="1527"/>
      <c r="B48" s="1476" t="s">
        <v>810</v>
      </c>
      <c r="C48" s="1532">
        <v>27253</v>
      </c>
      <c r="D48" s="1519"/>
      <c r="E48" s="1532">
        <f t="shared" si="3"/>
        <v>27253</v>
      </c>
      <c r="F48" s="1528"/>
      <c r="H48" s="1792">
        <v>27253</v>
      </c>
      <c r="I48" s="1689">
        <v>27253</v>
      </c>
      <c r="J48" s="1478"/>
      <c r="L48" s="1032">
        <f t="shared" si="1"/>
        <v>0</v>
      </c>
      <c r="M48" s="1032"/>
    </row>
    <row r="49" spans="1:13" s="1529" customFormat="1" ht="15" customHeight="1">
      <c r="A49" s="1527"/>
      <c r="B49" s="1476" t="s">
        <v>811</v>
      </c>
      <c r="C49" s="1532">
        <v>29198</v>
      </c>
      <c r="D49" s="1519"/>
      <c r="E49" s="1532">
        <f t="shared" si="3"/>
        <v>29198</v>
      </c>
      <c r="F49" s="1528"/>
      <c r="H49" s="1792">
        <v>27807</v>
      </c>
      <c r="I49" s="1689"/>
      <c r="J49" s="1478"/>
      <c r="L49" s="1032">
        <f t="shared" si="1"/>
        <v>1391</v>
      </c>
      <c r="M49" s="1032"/>
    </row>
    <row r="50" spans="1:13" s="1529" customFormat="1" ht="15" customHeight="1">
      <c r="A50" s="1527"/>
      <c r="B50" s="1476" t="s">
        <v>812</v>
      </c>
      <c r="C50" s="1532">
        <v>29069</v>
      </c>
      <c r="D50" s="1519"/>
      <c r="E50" s="1532">
        <f t="shared" si="3"/>
        <v>29069</v>
      </c>
      <c r="F50" s="1528"/>
      <c r="H50" s="1792">
        <v>27685</v>
      </c>
      <c r="I50" s="1689"/>
      <c r="J50" s="1478"/>
      <c r="L50" s="1032">
        <f t="shared" si="1"/>
        <v>1384</v>
      </c>
      <c r="M50" s="1032"/>
    </row>
    <row r="51" spans="1:13" s="1529" customFormat="1" ht="15" customHeight="1">
      <c r="A51" s="1527"/>
      <c r="B51" s="1476" t="s">
        <v>813</v>
      </c>
      <c r="C51" s="1532">
        <v>40217</v>
      </c>
      <c r="D51" s="1519"/>
      <c r="E51" s="1532">
        <f t="shared" si="3"/>
        <v>40217</v>
      </c>
      <c r="F51" s="1528"/>
      <c r="H51" s="1792">
        <v>40217</v>
      </c>
      <c r="I51" s="1689">
        <v>38302</v>
      </c>
      <c r="J51" s="1478"/>
      <c r="L51" s="1032">
        <f t="shared" si="1"/>
        <v>0</v>
      </c>
      <c r="M51" s="1032"/>
    </row>
    <row r="52" spans="1:13" s="1529" customFormat="1" ht="15" customHeight="1">
      <c r="A52" s="1527"/>
      <c r="B52" s="1476" t="s">
        <v>814</v>
      </c>
      <c r="C52" s="1532">
        <v>21999</v>
      </c>
      <c r="D52" s="1519"/>
      <c r="E52" s="1532">
        <f t="shared" si="3"/>
        <v>21999</v>
      </c>
      <c r="F52" s="1528"/>
      <c r="H52" s="1792">
        <v>21997</v>
      </c>
      <c r="I52" s="1689">
        <v>21997</v>
      </c>
      <c r="J52" s="1478"/>
      <c r="L52" s="1032">
        <f t="shared" si="1"/>
        <v>2</v>
      </c>
      <c r="M52" s="1032"/>
    </row>
    <row r="53" spans="1:13" s="1529" customFormat="1" ht="15" customHeight="1">
      <c r="A53" s="1527"/>
      <c r="B53" s="1476" t="s">
        <v>815</v>
      </c>
      <c r="C53" s="1532">
        <v>18783</v>
      </c>
      <c r="D53" s="1519"/>
      <c r="E53" s="1532">
        <f t="shared" si="3"/>
        <v>18783</v>
      </c>
      <c r="F53" s="1528"/>
      <c r="H53" s="1792">
        <v>18783</v>
      </c>
      <c r="I53" s="1689">
        <v>18783</v>
      </c>
      <c r="J53" s="1478"/>
      <c r="L53" s="1032">
        <f t="shared" si="1"/>
        <v>0</v>
      </c>
      <c r="M53" s="1032"/>
    </row>
    <row r="54" spans="1:13" s="1529" customFormat="1" ht="15" customHeight="1">
      <c r="A54" s="1527"/>
      <c r="B54" s="1476" t="s">
        <v>816</v>
      </c>
      <c r="C54" s="1532">
        <v>12934</v>
      </c>
      <c r="D54" s="1519"/>
      <c r="E54" s="1532">
        <f t="shared" si="3"/>
        <v>12934</v>
      </c>
      <c r="F54" s="1528"/>
      <c r="H54" s="1792">
        <v>12934</v>
      </c>
      <c r="I54" s="1689">
        <v>12287</v>
      </c>
      <c r="J54" s="1478"/>
      <c r="L54" s="1032">
        <f t="shared" si="1"/>
        <v>0</v>
      </c>
      <c r="M54" s="1032"/>
    </row>
    <row r="55" spans="1:13" s="1529" customFormat="1" ht="15" customHeight="1">
      <c r="A55" s="1527"/>
      <c r="B55" s="1476" t="s">
        <v>817</v>
      </c>
      <c r="C55" s="1532">
        <v>33698</v>
      </c>
      <c r="D55" s="1519"/>
      <c r="E55" s="1532">
        <f t="shared" si="3"/>
        <v>33698</v>
      </c>
      <c r="F55" s="1528"/>
      <c r="H55" s="1792">
        <v>33698</v>
      </c>
      <c r="I55" s="1689">
        <v>32013</v>
      </c>
      <c r="J55" s="1478"/>
      <c r="L55" s="1032">
        <f t="shared" si="1"/>
        <v>0</v>
      </c>
      <c r="M55" s="1032"/>
    </row>
    <row r="56" spans="1:13" s="1529" customFormat="1" ht="15" customHeight="1">
      <c r="A56" s="1527"/>
      <c r="B56" s="1476" t="s">
        <v>818</v>
      </c>
      <c r="C56" s="1532">
        <v>49355</v>
      </c>
      <c r="D56" s="1519"/>
      <c r="E56" s="1532">
        <f t="shared" si="3"/>
        <v>49355</v>
      </c>
      <c r="F56" s="1528"/>
      <c r="H56" s="1792">
        <v>49355</v>
      </c>
      <c r="I56" s="1689">
        <v>46888</v>
      </c>
      <c r="J56" s="1478"/>
      <c r="L56" s="1032">
        <f t="shared" si="1"/>
        <v>0</v>
      </c>
      <c r="M56" s="1032"/>
    </row>
    <row r="57" spans="1:13" s="1529" customFormat="1" ht="15" customHeight="1">
      <c r="A57" s="1527"/>
      <c r="B57" s="1476" t="s">
        <v>819</v>
      </c>
      <c r="C57" s="1532">
        <v>20738</v>
      </c>
      <c r="D57" s="1519"/>
      <c r="E57" s="1532">
        <f t="shared" si="3"/>
        <v>20738</v>
      </c>
      <c r="F57" s="1528"/>
      <c r="H57" s="1797">
        <v>29610</v>
      </c>
      <c r="I57" s="1689"/>
      <c r="J57" s="1478"/>
      <c r="L57" s="1032">
        <f>E57+E58-H57</f>
        <v>400</v>
      </c>
      <c r="M57" s="1032"/>
    </row>
    <row r="58" spans="1:13" s="1529" customFormat="1" ht="15" customHeight="1">
      <c r="A58" s="1527"/>
      <c r="B58" s="1476" t="s">
        <v>820</v>
      </c>
      <c r="C58" s="1532">
        <v>9272</v>
      </c>
      <c r="D58" s="1519"/>
      <c r="E58" s="1532">
        <f t="shared" si="3"/>
        <v>9272</v>
      </c>
      <c r="F58" s="1528"/>
      <c r="H58" s="1797"/>
      <c r="I58" s="1689"/>
      <c r="J58" s="1478"/>
      <c r="L58" s="1032"/>
      <c r="M58" s="1032"/>
    </row>
    <row r="59" spans="1:13" s="1529" customFormat="1" ht="15" customHeight="1">
      <c r="A59" s="1527"/>
      <c r="B59" s="1476" t="s">
        <v>821</v>
      </c>
      <c r="C59" s="1532">
        <v>35561</v>
      </c>
      <c r="D59" s="1519"/>
      <c r="E59" s="1532">
        <f t="shared" si="3"/>
        <v>35561</v>
      </c>
      <c r="F59" s="1528"/>
      <c r="H59" s="1792">
        <v>35561</v>
      </c>
      <c r="I59" s="1689"/>
      <c r="J59" s="1478"/>
      <c r="L59" s="1032">
        <f t="shared" si="1"/>
        <v>0</v>
      </c>
      <c r="M59" s="1032"/>
    </row>
    <row r="60" spans="1:13" s="1529" customFormat="1" ht="15" customHeight="1">
      <c r="A60" s="1527"/>
      <c r="B60" s="1476" t="s">
        <v>822</v>
      </c>
      <c r="C60" s="1532">
        <v>25888</v>
      </c>
      <c r="D60" s="1519"/>
      <c r="E60" s="1532">
        <f t="shared" si="3"/>
        <v>25888</v>
      </c>
      <c r="F60" s="1528"/>
      <c r="H60" s="1792">
        <v>25888</v>
      </c>
      <c r="I60" s="1689">
        <v>24593</v>
      </c>
      <c r="J60" s="1478"/>
      <c r="L60" s="1032">
        <f t="shared" si="1"/>
        <v>0</v>
      </c>
      <c r="M60" s="1032"/>
    </row>
    <row r="61" spans="1:13" s="1529" customFormat="1" ht="15" customHeight="1">
      <c r="A61" s="1527"/>
      <c r="B61" s="1476" t="s">
        <v>823</v>
      </c>
      <c r="C61" s="1532">
        <v>18252</v>
      </c>
      <c r="D61" s="1519"/>
      <c r="E61" s="1532">
        <f t="shared" si="3"/>
        <v>18252</v>
      </c>
      <c r="F61" s="1528"/>
      <c r="H61" s="1792">
        <v>18252</v>
      </c>
      <c r="I61" s="1689">
        <v>17340</v>
      </c>
      <c r="J61" s="1478"/>
      <c r="L61" s="1032">
        <f t="shared" si="1"/>
        <v>0</v>
      </c>
      <c r="M61" s="1032"/>
    </row>
    <row r="62" spans="1:13" s="1529" customFormat="1" ht="15" customHeight="1">
      <c r="A62" s="1527"/>
      <c r="B62" s="1476" t="s">
        <v>824</v>
      </c>
      <c r="C62" s="1532">
        <v>30920</v>
      </c>
      <c r="D62" s="1519"/>
      <c r="E62" s="1532">
        <f t="shared" si="3"/>
        <v>30920</v>
      </c>
      <c r="F62" s="1528"/>
      <c r="H62" s="1792">
        <v>29448</v>
      </c>
      <c r="I62" s="1689"/>
      <c r="J62" s="1478"/>
      <c r="L62" s="1032">
        <f t="shared" si="1"/>
        <v>1472</v>
      </c>
      <c r="M62" s="1032"/>
    </row>
    <row r="63" spans="1:13" s="1529" customFormat="1" ht="15" customHeight="1">
      <c r="A63" s="1527"/>
      <c r="B63" s="1476" t="s">
        <v>825</v>
      </c>
      <c r="C63" s="1532">
        <v>28579</v>
      </c>
      <c r="D63" s="1519"/>
      <c r="E63" s="1532">
        <f t="shared" si="3"/>
        <v>28579</v>
      </c>
      <c r="F63" s="1528"/>
      <c r="H63" s="1792">
        <v>28579</v>
      </c>
      <c r="I63" s="1689">
        <v>27151</v>
      </c>
      <c r="J63" s="1478"/>
      <c r="L63" s="1032">
        <f t="shared" si="1"/>
        <v>0</v>
      </c>
      <c r="M63" s="1032"/>
    </row>
    <row r="64" spans="1:13" s="1529" customFormat="1" ht="15" customHeight="1">
      <c r="A64" s="1527"/>
      <c r="B64" s="1476" t="s">
        <v>826</v>
      </c>
      <c r="C64" s="1532">
        <v>11402</v>
      </c>
      <c r="D64" s="1519"/>
      <c r="E64" s="1532">
        <f t="shared" si="3"/>
        <v>11402</v>
      </c>
      <c r="F64" s="1528"/>
      <c r="H64" s="1792">
        <v>11402</v>
      </c>
      <c r="I64" s="1689">
        <v>11402</v>
      </c>
      <c r="J64" s="1478"/>
      <c r="L64" s="1032">
        <f t="shared" si="1"/>
        <v>0</v>
      </c>
      <c r="M64" s="1032"/>
    </row>
    <row r="65" spans="1:13" s="1529" customFormat="1" ht="15" customHeight="1">
      <c r="A65" s="1527"/>
      <c r="B65" s="1476" t="s">
        <v>827</v>
      </c>
      <c r="C65" s="1532">
        <v>8908</v>
      </c>
      <c r="D65" s="1519"/>
      <c r="E65" s="1532">
        <f t="shared" si="3"/>
        <v>8908</v>
      </c>
      <c r="F65" s="1528"/>
      <c r="H65" s="1792">
        <v>8908</v>
      </c>
      <c r="I65" s="1689">
        <v>8908</v>
      </c>
      <c r="J65" s="1478"/>
      <c r="L65" s="1032">
        <f t="shared" si="1"/>
        <v>0</v>
      </c>
      <c r="M65" s="1032"/>
    </row>
    <row r="66" spans="1:13" s="1529" customFormat="1" ht="15" customHeight="1">
      <c r="A66" s="1527"/>
      <c r="B66" s="1476" t="s">
        <v>828</v>
      </c>
      <c r="C66" s="1532">
        <v>9779</v>
      </c>
      <c r="D66" s="1519"/>
      <c r="E66" s="1532">
        <f t="shared" si="3"/>
        <v>9779</v>
      </c>
      <c r="F66" s="1528"/>
      <c r="H66" s="1792">
        <v>9779</v>
      </c>
      <c r="I66" s="1689">
        <v>9290</v>
      </c>
      <c r="J66" s="1478"/>
      <c r="L66" s="1032">
        <f t="shared" si="1"/>
        <v>0</v>
      </c>
      <c r="M66" s="1032"/>
    </row>
    <row r="67" spans="1:13" s="1529" customFormat="1" ht="15" customHeight="1">
      <c r="A67" s="1527"/>
      <c r="B67" s="1476" t="s">
        <v>829</v>
      </c>
      <c r="C67" s="1532">
        <v>53385</v>
      </c>
      <c r="D67" s="1519"/>
      <c r="E67" s="1532">
        <f t="shared" si="3"/>
        <v>53385</v>
      </c>
      <c r="F67" s="1528"/>
      <c r="H67" s="1792">
        <v>51656</v>
      </c>
      <c r="I67" s="1689">
        <v>44661</v>
      </c>
      <c r="J67" s="1478"/>
      <c r="L67" s="1032">
        <f t="shared" si="1"/>
        <v>1729</v>
      </c>
      <c r="M67" s="1032"/>
    </row>
    <row r="68" spans="1:13" s="1529" customFormat="1" ht="15" customHeight="1">
      <c r="A68" s="1527"/>
      <c r="B68" s="1476" t="s">
        <v>830</v>
      </c>
      <c r="C68" s="1532">
        <v>19239</v>
      </c>
      <c r="D68" s="1519"/>
      <c r="E68" s="1532">
        <f t="shared" si="3"/>
        <v>19239</v>
      </c>
      <c r="F68" s="1528"/>
      <c r="H68" s="1792">
        <v>19239</v>
      </c>
      <c r="I68" s="1689">
        <v>18277</v>
      </c>
      <c r="J68" s="1478"/>
      <c r="L68" s="1032">
        <f t="shared" si="1"/>
        <v>0</v>
      </c>
      <c r="M68" s="1032"/>
    </row>
    <row r="69" spans="1:13" s="1529" customFormat="1" ht="15" customHeight="1">
      <c r="A69" s="1527"/>
      <c r="B69" s="1476" t="s">
        <v>831</v>
      </c>
      <c r="C69" s="1532">
        <v>45471</v>
      </c>
      <c r="D69" s="1477"/>
      <c r="E69" s="1532">
        <f t="shared" si="3"/>
        <v>45471</v>
      </c>
      <c r="F69" s="1528"/>
      <c r="H69" s="1801">
        <f>41140+2165</f>
        <v>43305</v>
      </c>
      <c r="I69" s="1689"/>
      <c r="J69" s="1478"/>
      <c r="L69" s="1032">
        <f t="shared" si="1"/>
        <v>2166</v>
      </c>
      <c r="M69" s="1032"/>
    </row>
    <row r="70" spans="1:13" s="1529" customFormat="1" ht="15" customHeight="1">
      <c r="A70" s="1527"/>
      <c r="B70" s="1476" t="s">
        <v>832</v>
      </c>
      <c r="C70" s="1532">
        <v>63128</v>
      </c>
      <c r="D70" s="1477"/>
      <c r="E70" s="1532">
        <f t="shared" si="3"/>
        <v>63128</v>
      </c>
      <c r="F70" s="1528"/>
      <c r="H70" s="1797">
        <v>250530</v>
      </c>
      <c r="I70" s="1689"/>
      <c r="J70" s="1478"/>
      <c r="L70" s="1032">
        <f>E70+E71+E72+E73+E74-H70</f>
        <v>9825</v>
      </c>
      <c r="M70" s="1032"/>
    </row>
    <row r="71" spans="1:13" s="1529" customFormat="1" ht="15" customHeight="1">
      <c r="A71" s="1527"/>
      <c r="B71" s="1658" t="s">
        <v>833</v>
      </c>
      <c r="C71" s="1692">
        <v>35131</v>
      </c>
      <c r="D71" s="1659"/>
      <c r="E71" s="1692">
        <f t="shared" si="3"/>
        <v>35131</v>
      </c>
      <c r="F71" s="1528"/>
      <c r="H71" s="1797"/>
      <c r="I71" s="1689"/>
      <c r="J71" s="1478"/>
      <c r="L71" s="1032"/>
      <c r="M71" s="1032"/>
    </row>
    <row r="72" spans="1:13" s="1529" customFormat="1" ht="15" customHeight="1">
      <c r="A72" s="1527"/>
      <c r="B72" s="1476" t="s">
        <v>834</v>
      </c>
      <c r="C72" s="1532">
        <v>54207</v>
      </c>
      <c r="D72" s="1477"/>
      <c r="E72" s="1532">
        <f t="shared" si="3"/>
        <v>54207</v>
      </c>
      <c r="F72" s="1528"/>
      <c r="H72" s="1797"/>
      <c r="I72" s="1689"/>
      <c r="J72" s="1478"/>
      <c r="L72" s="1032"/>
      <c r="M72" s="1032"/>
    </row>
    <row r="73" spans="1:13" s="1529" customFormat="1" ht="15" customHeight="1">
      <c r="A73" s="1527"/>
      <c r="B73" s="1476" t="s">
        <v>835</v>
      </c>
      <c r="C73" s="1532">
        <v>45532</v>
      </c>
      <c r="D73" s="1477"/>
      <c r="E73" s="1532">
        <f t="shared" si="3"/>
        <v>45532</v>
      </c>
      <c r="F73" s="1528"/>
      <c r="H73" s="1797"/>
      <c r="I73" s="1689"/>
      <c r="J73" s="1478"/>
      <c r="L73" s="1032"/>
      <c r="M73" s="1032"/>
    </row>
    <row r="74" spans="1:13" s="1529" customFormat="1" ht="15" customHeight="1">
      <c r="A74" s="1527"/>
      <c r="B74" s="1658" t="s">
        <v>836</v>
      </c>
      <c r="C74" s="1692">
        <v>62357</v>
      </c>
      <c r="D74" s="1659"/>
      <c r="E74" s="1692">
        <f t="shared" si="3"/>
        <v>62357</v>
      </c>
      <c r="F74" s="1528"/>
      <c r="H74" s="1797"/>
      <c r="I74" s="1689"/>
      <c r="J74" s="1478"/>
      <c r="L74" s="1032"/>
      <c r="M74" s="1032"/>
    </row>
    <row r="75" spans="1:13" s="1529" customFormat="1" ht="15" customHeight="1">
      <c r="A75" s="1527"/>
      <c r="B75" s="1479" t="s">
        <v>837</v>
      </c>
      <c r="C75" s="1532">
        <v>23499</v>
      </c>
      <c r="D75" s="1477"/>
      <c r="E75" s="1532">
        <f t="shared" si="3"/>
        <v>23499</v>
      </c>
      <c r="F75" s="1528"/>
      <c r="H75" s="1792">
        <v>23495</v>
      </c>
      <c r="I75" s="1689">
        <v>23495</v>
      </c>
      <c r="J75" s="1478"/>
      <c r="L75" s="1032">
        <f aca="true" t="shared" si="4" ref="L75:L156">E75-H75</f>
        <v>4</v>
      </c>
      <c r="M75" s="1032"/>
    </row>
    <row r="76" spans="1:13" s="1529" customFormat="1" ht="15" customHeight="1">
      <c r="A76" s="1527"/>
      <c r="B76" s="1479" t="s">
        <v>838</v>
      </c>
      <c r="C76" s="1532">
        <v>143350</v>
      </c>
      <c r="D76" s="1477"/>
      <c r="E76" s="1532">
        <f t="shared" si="3"/>
        <v>143350</v>
      </c>
      <c r="F76" s="1528"/>
      <c r="H76" s="1797">
        <v>167554</v>
      </c>
      <c r="I76" s="1530"/>
      <c r="J76" s="1478"/>
      <c r="L76" s="1032">
        <f>E76+E77-H76</f>
        <v>7403</v>
      </c>
      <c r="M76" s="1032"/>
    </row>
    <row r="77" spans="1:13" s="1529" customFormat="1" ht="15" customHeight="1" thickBot="1">
      <c r="A77" s="1690"/>
      <c r="B77" s="1660" t="s">
        <v>839</v>
      </c>
      <c r="C77" s="1691">
        <v>31607</v>
      </c>
      <c r="D77" s="1661"/>
      <c r="E77" s="1691">
        <f t="shared" si="3"/>
        <v>31607</v>
      </c>
      <c r="F77" s="1528">
        <f>SUM(E39:E77)</f>
        <v>1322969</v>
      </c>
      <c r="H77" s="1797"/>
      <c r="I77" s="1530"/>
      <c r="J77" s="1478"/>
      <c r="L77" s="1032"/>
      <c r="M77" s="1032"/>
    </row>
    <row r="78" spans="1:13" ht="27.75" customHeight="1">
      <c r="A78" s="988"/>
      <c r="B78" s="1803" t="s">
        <v>888</v>
      </c>
      <c r="C78" s="1323">
        <v>1201893</v>
      </c>
      <c r="D78" s="1804"/>
      <c r="E78" s="219">
        <f>SUM(C78:D78)</f>
        <v>1201893</v>
      </c>
      <c r="F78" s="1032"/>
      <c r="L78" s="1032">
        <f t="shared" si="4"/>
        <v>1201893</v>
      </c>
      <c r="M78" s="1032"/>
    </row>
    <row r="79" spans="1:13" s="1534" customFormat="1" ht="15" customHeight="1">
      <c r="A79" s="1531"/>
      <c r="B79" s="1476" t="s">
        <v>867</v>
      </c>
      <c r="C79" s="1532">
        <v>40052</v>
      </c>
      <c r="D79" s="1519"/>
      <c r="E79" s="1532">
        <v>40052</v>
      </c>
      <c r="F79" s="1533"/>
      <c r="H79" s="1792">
        <v>39202</v>
      </c>
      <c r="I79" s="1535"/>
      <c r="J79" s="1536"/>
      <c r="L79" s="1032">
        <f t="shared" si="4"/>
        <v>850</v>
      </c>
      <c r="M79" s="1533"/>
    </row>
    <row r="80" spans="1:13" s="1534" customFormat="1" ht="15" customHeight="1">
      <c r="A80" s="1531"/>
      <c r="B80" s="1476" t="s">
        <v>868</v>
      </c>
      <c r="C80" s="1532">
        <v>54403</v>
      </c>
      <c r="D80" s="1519"/>
      <c r="E80" s="1532">
        <v>54403</v>
      </c>
      <c r="F80" s="1533"/>
      <c r="H80" s="1792">
        <v>53410</v>
      </c>
      <c r="I80" s="1535"/>
      <c r="J80" s="1536"/>
      <c r="L80" s="1032">
        <f t="shared" si="4"/>
        <v>993</v>
      </c>
      <c r="M80" s="1533"/>
    </row>
    <row r="81" spans="1:13" s="1534" customFormat="1" ht="15" customHeight="1">
      <c r="A81" s="1531"/>
      <c r="B81" s="1476" t="s">
        <v>869</v>
      </c>
      <c r="C81" s="1532">
        <v>81509</v>
      </c>
      <c r="D81" s="1519"/>
      <c r="E81" s="1532">
        <v>81509</v>
      </c>
      <c r="F81" s="1533"/>
      <c r="H81" s="1792">
        <v>73715</v>
      </c>
      <c r="I81" s="1535"/>
      <c r="J81" s="1536"/>
      <c r="L81" s="1032">
        <f t="shared" si="4"/>
        <v>7794</v>
      </c>
      <c r="M81" s="1533"/>
    </row>
    <row r="82" spans="1:13" s="1534" customFormat="1" ht="15" customHeight="1">
      <c r="A82" s="1531"/>
      <c r="B82" s="1476" t="s">
        <v>870</v>
      </c>
      <c r="C82" s="1532">
        <v>42178</v>
      </c>
      <c r="D82" s="1519"/>
      <c r="E82" s="1532">
        <v>42178</v>
      </c>
      <c r="F82" s="1533"/>
      <c r="H82" s="1792"/>
      <c r="I82" s="1535"/>
      <c r="J82" s="1536"/>
      <c r="L82" s="1032">
        <f t="shared" si="4"/>
        <v>42178</v>
      </c>
      <c r="M82" s="1533"/>
    </row>
    <row r="83" spans="1:13" s="1534" customFormat="1" ht="15" customHeight="1">
      <c r="A83" s="1531"/>
      <c r="B83" s="1476" t="s">
        <v>871</v>
      </c>
      <c r="C83" s="1532">
        <v>19196</v>
      </c>
      <c r="D83" s="1519"/>
      <c r="E83" s="1532">
        <v>19196</v>
      </c>
      <c r="F83" s="1533"/>
      <c r="H83" s="1792">
        <v>19196</v>
      </c>
      <c r="I83" s="1535"/>
      <c r="J83" s="1536"/>
      <c r="L83" s="1032">
        <f t="shared" si="4"/>
        <v>0</v>
      </c>
      <c r="M83" s="1533"/>
    </row>
    <row r="84" spans="1:13" s="1534" customFormat="1" ht="15" customHeight="1">
      <c r="A84" s="1531"/>
      <c r="B84" s="1476" t="s">
        <v>872</v>
      </c>
      <c r="C84" s="1532">
        <v>41849</v>
      </c>
      <c r="D84" s="1519"/>
      <c r="E84" s="1532">
        <v>41849</v>
      </c>
      <c r="F84" s="1533"/>
      <c r="H84" s="1792"/>
      <c r="I84" s="1535"/>
      <c r="J84" s="1536"/>
      <c r="L84" s="1032">
        <f t="shared" si="4"/>
        <v>41849</v>
      </c>
      <c r="M84" s="1533"/>
    </row>
    <row r="85" spans="1:13" s="1534" customFormat="1" ht="15" customHeight="1">
      <c r="A85" s="1531"/>
      <c r="B85" s="1476" t="s">
        <v>873</v>
      </c>
      <c r="C85" s="1532">
        <v>88945</v>
      </c>
      <c r="D85" s="1519"/>
      <c r="E85" s="1532">
        <v>88945</v>
      </c>
      <c r="F85" s="1533"/>
      <c r="H85" s="1792"/>
      <c r="I85" s="1535"/>
      <c r="J85" s="1536"/>
      <c r="L85" s="1032">
        <f t="shared" si="4"/>
        <v>88945</v>
      </c>
      <c r="M85" s="1533"/>
    </row>
    <row r="86" spans="1:13" s="1534" customFormat="1" ht="15" customHeight="1">
      <c r="A86" s="1531"/>
      <c r="B86" s="1476" t="s">
        <v>874</v>
      </c>
      <c r="C86" s="1532">
        <v>77110</v>
      </c>
      <c r="D86" s="1519"/>
      <c r="E86" s="1532">
        <v>77110</v>
      </c>
      <c r="F86" s="1533"/>
      <c r="H86" s="1792"/>
      <c r="I86" s="1535"/>
      <c r="J86" s="1536"/>
      <c r="L86" s="1032">
        <f t="shared" si="4"/>
        <v>77110</v>
      </c>
      <c r="M86" s="1533"/>
    </row>
    <row r="87" spans="1:13" s="1534" customFormat="1" ht="15" customHeight="1">
      <c r="A87" s="1531"/>
      <c r="B87" s="1476" t="s">
        <v>912</v>
      </c>
      <c r="C87" s="1532"/>
      <c r="D87" s="1519"/>
      <c r="E87" s="1802">
        <v>10738</v>
      </c>
      <c r="F87" s="1533"/>
      <c r="H87" s="1792"/>
      <c r="I87" s="1535"/>
      <c r="J87" s="1536"/>
      <c r="L87" s="1032"/>
      <c r="M87" s="1533"/>
    </row>
    <row r="88" spans="1:13" s="1534" customFormat="1" ht="15" customHeight="1">
      <c r="A88" s="1531"/>
      <c r="B88" s="1476" t="s">
        <v>913</v>
      </c>
      <c r="C88" s="1532"/>
      <c r="D88" s="1519"/>
      <c r="E88" s="1802">
        <v>48004</v>
      </c>
      <c r="F88" s="1533"/>
      <c r="H88" s="1792"/>
      <c r="I88" s="1535"/>
      <c r="J88" s="1536"/>
      <c r="L88" s="1032"/>
      <c r="M88" s="1533"/>
    </row>
    <row r="89" spans="1:13" s="1534" customFormat="1" ht="15" customHeight="1">
      <c r="A89" s="1531"/>
      <c r="B89" s="1476" t="s">
        <v>914</v>
      </c>
      <c r="C89" s="1532"/>
      <c r="D89" s="1519"/>
      <c r="E89" s="1802">
        <v>81723</v>
      </c>
      <c r="F89" s="1533"/>
      <c r="H89" s="1792"/>
      <c r="I89" s="1535"/>
      <c r="J89" s="1536"/>
      <c r="L89" s="1032"/>
      <c r="M89" s="1533"/>
    </row>
    <row r="90" spans="1:13" s="1534" customFormat="1" ht="15" customHeight="1">
      <c r="A90" s="1531"/>
      <c r="B90" s="1476" t="s">
        <v>915</v>
      </c>
      <c r="C90" s="1532"/>
      <c r="D90" s="1519"/>
      <c r="E90" s="1802">
        <v>41067</v>
      </c>
      <c r="F90" s="1533"/>
      <c r="H90" s="1792"/>
      <c r="I90" s="1535"/>
      <c r="J90" s="1536"/>
      <c r="L90" s="1032"/>
      <c r="M90" s="1533"/>
    </row>
    <row r="91" spans="1:13" s="1534" customFormat="1" ht="15" customHeight="1">
      <c r="A91" s="1531"/>
      <c r="B91" s="1476" t="s">
        <v>916</v>
      </c>
      <c r="C91" s="1532"/>
      <c r="D91" s="1519"/>
      <c r="E91" s="1802">
        <v>84429</v>
      </c>
      <c r="F91" s="1533"/>
      <c r="H91" s="1792"/>
      <c r="I91" s="1535"/>
      <c r="J91" s="1536"/>
      <c r="L91" s="1032"/>
      <c r="M91" s="1533"/>
    </row>
    <row r="92" spans="1:13" s="1534" customFormat="1" ht="15" customHeight="1">
      <c r="A92" s="1531"/>
      <c r="B92" s="1476" t="s">
        <v>917</v>
      </c>
      <c r="C92" s="1532"/>
      <c r="D92" s="1519"/>
      <c r="E92" s="1802">
        <v>74604</v>
      </c>
      <c r="F92" s="1533"/>
      <c r="H92" s="1792"/>
      <c r="I92" s="1535"/>
      <c r="J92" s="1536"/>
      <c r="L92" s="1032"/>
      <c r="M92" s="1533"/>
    </row>
    <row r="93" spans="1:13" s="1534" customFormat="1" ht="15" customHeight="1">
      <c r="A93" s="1531"/>
      <c r="B93" s="1476" t="s">
        <v>918</v>
      </c>
      <c r="C93" s="1532"/>
      <c r="D93" s="1519"/>
      <c r="E93" s="1802">
        <v>22143</v>
      </c>
      <c r="F93" s="1533"/>
      <c r="H93" s="1792"/>
      <c r="I93" s="1535"/>
      <c r="J93" s="1536"/>
      <c r="L93" s="1032"/>
      <c r="M93" s="1533"/>
    </row>
    <row r="94" spans="1:13" s="1534" customFormat="1" ht="15" customHeight="1">
      <c r="A94" s="1531"/>
      <c r="B94" s="1476" t="s">
        <v>919</v>
      </c>
      <c r="C94" s="1532"/>
      <c r="D94" s="1519"/>
      <c r="E94" s="1802">
        <v>19596</v>
      </c>
      <c r="F94" s="1533"/>
      <c r="H94" s="1792"/>
      <c r="I94" s="1535"/>
      <c r="J94" s="1536"/>
      <c r="L94" s="1032"/>
      <c r="M94" s="1533"/>
    </row>
    <row r="95" spans="1:13" s="1534" customFormat="1" ht="15" customHeight="1">
      <c r="A95" s="1531"/>
      <c r="B95" s="1476" t="s">
        <v>920</v>
      </c>
      <c r="C95" s="1532"/>
      <c r="D95" s="1519"/>
      <c r="E95" s="1802">
        <v>24493</v>
      </c>
      <c r="F95" s="1533"/>
      <c r="H95" s="1792"/>
      <c r="I95" s="1535"/>
      <c r="J95" s="1536"/>
      <c r="L95" s="1032"/>
      <c r="M95" s="1533"/>
    </row>
    <row r="96" spans="1:13" s="1534" customFormat="1" ht="15" customHeight="1">
      <c r="A96" s="1531"/>
      <c r="B96" s="1476" t="s">
        <v>921</v>
      </c>
      <c r="C96" s="1532"/>
      <c r="D96" s="1519"/>
      <c r="E96" s="1802">
        <v>18743</v>
      </c>
      <c r="F96" s="1533"/>
      <c r="H96" s="1792"/>
      <c r="I96" s="1535"/>
      <c r="J96" s="1536"/>
      <c r="L96" s="1032"/>
      <c r="M96" s="1533"/>
    </row>
    <row r="97" spans="1:13" s="1534" customFormat="1" ht="15" customHeight="1">
      <c r="A97" s="1531"/>
      <c r="B97" s="1476" t="s">
        <v>922</v>
      </c>
      <c r="C97" s="1532"/>
      <c r="D97" s="1519"/>
      <c r="E97" s="1802">
        <v>21107</v>
      </c>
      <c r="F97" s="1533"/>
      <c r="H97" s="1792"/>
      <c r="I97" s="1535"/>
      <c r="J97" s="1536"/>
      <c r="L97" s="1032"/>
      <c r="M97" s="1533"/>
    </row>
    <row r="98" spans="1:13" s="1534" customFormat="1" ht="15" customHeight="1">
      <c r="A98" s="1531"/>
      <c r="B98" s="1476" t="s">
        <v>923</v>
      </c>
      <c r="C98" s="1532"/>
      <c r="D98" s="1519"/>
      <c r="E98" s="1802">
        <v>19487</v>
      </c>
      <c r="F98" s="1533"/>
      <c r="H98" s="1792"/>
      <c r="I98" s="1535"/>
      <c r="J98" s="1536"/>
      <c r="L98" s="1032"/>
      <c r="M98" s="1533"/>
    </row>
    <row r="99" spans="1:13" s="1534" customFormat="1" ht="15" customHeight="1">
      <c r="A99" s="1531"/>
      <c r="B99" s="1476" t="s">
        <v>924</v>
      </c>
      <c r="C99" s="1532"/>
      <c r="D99" s="1519"/>
      <c r="E99" s="1802">
        <v>8755</v>
      </c>
      <c r="F99" s="1533"/>
      <c r="H99" s="1792"/>
      <c r="I99" s="1535"/>
      <c r="J99" s="1536"/>
      <c r="L99" s="1032"/>
      <c r="M99" s="1533"/>
    </row>
    <row r="100" spans="1:13" s="1534" customFormat="1" ht="15" customHeight="1">
      <c r="A100" s="1531"/>
      <c r="B100" s="1476" t="s">
        <v>925</v>
      </c>
      <c r="C100" s="1532"/>
      <c r="D100" s="1519"/>
      <c r="E100" s="1802">
        <v>8750</v>
      </c>
      <c r="F100" s="1533"/>
      <c r="H100" s="1792"/>
      <c r="I100" s="1535"/>
      <c r="J100" s="1536"/>
      <c r="L100" s="1032"/>
      <c r="M100" s="1533"/>
    </row>
    <row r="101" spans="1:13" s="1534" customFormat="1" ht="15" customHeight="1">
      <c r="A101" s="1531"/>
      <c r="B101" s="1476" t="s">
        <v>926</v>
      </c>
      <c r="C101" s="1532"/>
      <c r="D101" s="1519"/>
      <c r="E101" s="1802">
        <v>37734</v>
      </c>
      <c r="F101" s="1533"/>
      <c r="H101" s="1792"/>
      <c r="I101" s="1535"/>
      <c r="J101" s="1536"/>
      <c r="L101" s="1032"/>
      <c r="M101" s="1533"/>
    </row>
    <row r="102" spans="1:13" s="1534" customFormat="1" ht="15" customHeight="1">
      <c r="A102" s="1531"/>
      <c r="B102" s="1476" t="s">
        <v>927</v>
      </c>
      <c r="C102" s="1532"/>
      <c r="D102" s="1519"/>
      <c r="E102" s="1802">
        <v>16176</v>
      </c>
      <c r="F102" s="1533"/>
      <c r="H102" s="1792"/>
      <c r="I102" s="1535"/>
      <c r="J102" s="1536"/>
      <c r="L102" s="1032"/>
      <c r="M102" s="1533"/>
    </row>
    <row r="103" spans="1:13" s="1534" customFormat="1" ht="15" customHeight="1">
      <c r="A103" s="1531"/>
      <c r="B103" s="1476" t="s">
        <v>928</v>
      </c>
      <c r="C103" s="1532"/>
      <c r="D103" s="1519"/>
      <c r="E103" s="1802">
        <v>76109</v>
      </c>
      <c r="F103" s="1533"/>
      <c r="H103" s="1792"/>
      <c r="I103" s="1535"/>
      <c r="J103" s="1536"/>
      <c r="L103" s="1032"/>
      <c r="M103" s="1533"/>
    </row>
    <row r="104" spans="1:13" s="1534" customFormat="1" ht="15" customHeight="1">
      <c r="A104" s="1531"/>
      <c r="B104" s="1476" t="s">
        <v>929</v>
      </c>
      <c r="C104" s="1532"/>
      <c r="D104" s="1519"/>
      <c r="E104" s="1802">
        <v>37489</v>
      </c>
      <c r="F104" s="1533"/>
      <c r="H104" s="1792"/>
      <c r="I104" s="1535"/>
      <c r="J104" s="1536"/>
      <c r="L104" s="1032"/>
      <c r="M104" s="1533"/>
    </row>
    <row r="105" spans="1:13" s="1534" customFormat="1" ht="15" customHeight="1">
      <c r="A105" s="1531"/>
      <c r="B105" s="1476" t="s">
        <v>930</v>
      </c>
      <c r="C105" s="1532"/>
      <c r="D105" s="1519"/>
      <c r="E105" s="1802">
        <v>48759</v>
      </c>
      <c r="F105" s="1533"/>
      <c r="H105" s="1792"/>
      <c r="I105" s="1535"/>
      <c r="J105" s="1536"/>
      <c r="L105" s="1032"/>
      <c r="M105" s="1533"/>
    </row>
    <row r="106" spans="1:13" ht="25.5" customHeight="1" thickBot="1">
      <c r="A106" s="985"/>
      <c r="B106" s="1803" t="s">
        <v>909</v>
      </c>
      <c r="C106" s="1385"/>
      <c r="D106" s="1787">
        <v>70866</v>
      </c>
      <c r="E106" s="213">
        <f>SUM(C106:D106)</f>
        <v>70866</v>
      </c>
      <c r="F106" s="1032"/>
      <c r="I106" s="1788"/>
      <c r="J106" s="1789"/>
      <c r="L106" s="1032">
        <f t="shared" si="4"/>
        <v>70866</v>
      </c>
      <c r="M106" s="1032"/>
    </row>
    <row r="107" spans="1:13" ht="15" customHeight="1" thickBot="1">
      <c r="A107" s="294">
        <v>6</v>
      </c>
      <c r="B107" s="1621" t="s">
        <v>191</v>
      </c>
      <c r="C107" s="214">
        <f>SUM(C33:C38)+C78+C106</f>
        <v>2742211</v>
      </c>
      <c r="D107" s="214">
        <f>SUM(D33:D38)+D78+D106</f>
        <v>68015</v>
      </c>
      <c r="E107" s="214">
        <f>SUM(E33:E38)+E78+E106</f>
        <v>2810226</v>
      </c>
      <c r="F107" s="1032">
        <f>SUM(C107:D107)</f>
        <v>2810226</v>
      </c>
      <c r="K107" s="1688"/>
      <c r="L107" s="1032">
        <f t="shared" si="4"/>
        <v>2810226</v>
      </c>
      <c r="M107" s="1032"/>
    </row>
    <row r="108" spans="1:13" ht="15" customHeight="1">
      <c r="A108" s="1995"/>
      <c r="B108" s="1622" t="s">
        <v>882</v>
      </c>
      <c r="C108" s="1684">
        <v>57802</v>
      </c>
      <c r="D108" s="1436"/>
      <c r="E108" s="1066">
        <f>SUM(C108:D108)</f>
        <v>57802</v>
      </c>
      <c r="F108" s="1032"/>
      <c r="L108" s="1032">
        <f t="shared" si="4"/>
        <v>57802</v>
      </c>
      <c r="M108" s="1032"/>
    </row>
    <row r="109" spans="1:13" s="1534" customFormat="1" ht="15" customHeight="1">
      <c r="A109" s="1997"/>
      <c r="B109" s="1655" t="s">
        <v>883</v>
      </c>
      <c r="C109" s="1532">
        <v>3474</v>
      </c>
      <c r="D109" s="1656"/>
      <c r="E109" s="1657">
        <v>3474</v>
      </c>
      <c r="F109" s="1533"/>
      <c r="H109" s="1794">
        <v>3472</v>
      </c>
      <c r="I109" s="1517">
        <v>3472</v>
      </c>
      <c r="J109" s="1485"/>
      <c r="L109" s="1032">
        <f t="shared" si="4"/>
        <v>2</v>
      </c>
      <c r="M109" s="1533"/>
    </row>
    <row r="110" spans="1:13" s="1534" customFormat="1" ht="15" customHeight="1">
      <c r="A110" s="1997"/>
      <c r="B110" s="1655" t="s">
        <v>884</v>
      </c>
      <c r="C110" s="1532">
        <v>1472</v>
      </c>
      <c r="D110" s="1656"/>
      <c r="E110" s="1657">
        <v>1472</v>
      </c>
      <c r="F110" s="1533"/>
      <c r="H110" s="1794">
        <v>1471</v>
      </c>
      <c r="I110" s="1541"/>
      <c r="J110" s="1485"/>
      <c r="L110" s="1032">
        <f t="shared" si="4"/>
        <v>1</v>
      </c>
      <c r="M110" s="1533"/>
    </row>
    <row r="111" spans="1:13" s="1534" customFormat="1" ht="15" customHeight="1">
      <c r="A111" s="1997"/>
      <c r="B111" s="1655" t="s">
        <v>885</v>
      </c>
      <c r="C111" s="1532">
        <v>21127</v>
      </c>
      <c r="D111" s="1656"/>
      <c r="E111" s="1657">
        <v>21127</v>
      </c>
      <c r="F111" s="1533"/>
      <c r="H111" s="1794">
        <v>21127</v>
      </c>
      <c r="I111" s="1541"/>
      <c r="J111" s="1485"/>
      <c r="L111" s="1032">
        <f t="shared" si="4"/>
        <v>0</v>
      </c>
      <c r="M111" s="1533"/>
    </row>
    <row r="112" spans="1:13" s="1534" customFormat="1" ht="15" customHeight="1">
      <c r="A112" s="1997"/>
      <c r="B112" s="1655" t="s">
        <v>816</v>
      </c>
      <c r="C112" s="1532">
        <v>31729</v>
      </c>
      <c r="D112" s="1656"/>
      <c r="E112" s="1657">
        <v>31729</v>
      </c>
      <c r="F112" s="1533"/>
      <c r="H112" s="1794">
        <v>31729</v>
      </c>
      <c r="I112" s="1541"/>
      <c r="J112" s="1485"/>
      <c r="L112" s="1032">
        <f t="shared" si="4"/>
        <v>0</v>
      </c>
      <c r="M112" s="1533"/>
    </row>
    <row r="113" spans="1:13" ht="15" customHeight="1">
      <c r="A113" s="1997"/>
      <c r="B113" s="1623" t="s">
        <v>720</v>
      </c>
      <c r="C113" s="1526">
        <v>20410</v>
      </c>
      <c r="D113" s="1434">
        <v>-7515</v>
      </c>
      <c r="E113" s="219">
        <f>SUM(C113:D113)</f>
        <v>12895</v>
      </c>
      <c r="F113" s="1032"/>
      <c r="L113" s="1032">
        <f t="shared" si="4"/>
        <v>12895</v>
      </c>
      <c r="M113" s="1032"/>
    </row>
    <row r="114" spans="1:13" s="1534" customFormat="1" ht="15" customHeight="1">
      <c r="A114" s="1997"/>
      <c r="B114" s="1739" t="s">
        <v>889</v>
      </c>
      <c r="C114" s="1692">
        <v>1242</v>
      </c>
      <c r="D114" s="1740"/>
      <c r="E114" s="1657">
        <v>1242</v>
      </c>
      <c r="F114" s="1533"/>
      <c r="H114" s="1794"/>
      <c r="I114" s="1541"/>
      <c r="J114" s="1485"/>
      <c r="L114" s="1032">
        <f t="shared" si="4"/>
        <v>1242</v>
      </c>
      <c r="M114" s="1533"/>
    </row>
    <row r="115" spans="1:13" s="1534" customFormat="1" ht="15" customHeight="1">
      <c r="A115" s="1997"/>
      <c r="B115" s="1739" t="s">
        <v>890</v>
      </c>
      <c r="C115" s="1692">
        <v>11653</v>
      </c>
      <c r="D115" s="1740"/>
      <c r="E115" s="1657">
        <v>11653</v>
      </c>
      <c r="F115" s="1533"/>
      <c r="H115" s="1794">
        <v>11652</v>
      </c>
      <c r="I115" s="1541"/>
      <c r="J115" s="1485"/>
      <c r="L115" s="1032">
        <f t="shared" si="4"/>
        <v>1</v>
      </c>
      <c r="M115" s="1533"/>
    </row>
    <row r="116" spans="1:13" s="1534" customFormat="1" ht="15" customHeight="1" thickBot="1">
      <c r="A116" s="1996"/>
      <c r="B116" s="1739" t="s">
        <v>891</v>
      </c>
      <c r="C116" s="1692">
        <v>7515</v>
      </c>
      <c r="D116" s="1740">
        <v>-7515</v>
      </c>
      <c r="E116" s="1657">
        <f>SUM(C116:D116)</f>
        <v>0</v>
      </c>
      <c r="F116" s="1533"/>
      <c r="H116" s="1794"/>
      <c r="I116" s="1541"/>
      <c r="J116" s="1485"/>
      <c r="L116" s="1032">
        <f t="shared" si="4"/>
        <v>0</v>
      </c>
      <c r="M116" s="1533"/>
    </row>
    <row r="117" spans="1:13" ht="15" customHeight="1" thickBot="1">
      <c r="A117" s="294">
        <v>7</v>
      </c>
      <c r="B117" s="1618" t="s">
        <v>467</v>
      </c>
      <c r="C117" s="214">
        <f>C108+C113</f>
        <v>78212</v>
      </c>
      <c r="D117" s="214">
        <f>D108+D113</f>
        <v>-7515</v>
      </c>
      <c r="E117" s="214">
        <f>E108+E113</f>
        <v>70697</v>
      </c>
      <c r="F117" s="1032">
        <f>SUM(C117:D117)</f>
        <v>70697</v>
      </c>
      <c r="K117" s="1688"/>
      <c r="L117" s="1032">
        <f t="shared" si="4"/>
        <v>70697</v>
      </c>
      <c r="M117" s="1032"/>
    </row>
    <row r="118" spans="1:13" ht="15" customHeight="1" thickBot="1">
      <c r="A118" s="988"/>
      <c r="B118" s="1624" t="s">
        <v>646</v>
      </c>
      <c r="C118" s="1693">
        <v>38865</v>
      </c>
      <c r="D118" s="1440"/>
      <c r="E118" s="218">
        <f>SUM(C118:D118)</f>
        <v>38865</v>
      </c>
      <c r="F118" s="1032"/>
      <c r="H118" s="1790">
        <v>32844</v>
      </c>
      <c r="I118" s="1517">
        <v>32844</v>
      </c>
      <c r="L118" s="1032">
        <f t="shared" si="4"/>
        <v>6021</v>
      </c>
      <c r="M118" s="1032"/>
    </row>
    <row r="119" spans="1:13" ht="15" customHeight="1" thickBot="1">
      <c r="A119" s="1694">
        <v>8</v>
      </c>
      <c r="B119" s="1618" t="s">
        <v>545</v>
      </c>
      <c r="C119" s="214">
        <f>SUM(C118:C118)</f>
        <v>38865</v>
      </c>
      <c r="D119" s="1314">
        <f>SUM(D118:D118)</f>
        <v>0</v>
      </c>
      <c r="E119" s="214">
        <f>SUM(E118:E118)</f>
        <v>38865</v>
      </c>
      <c r="F119" s="1032">
        <f>SUM(C119:D119)</f>
        <v>38865</v>
      </c>
      <c r="K119" s="1688"/>
      <c r="L119" s="1032">
        <f t="shared" si="4"/>
        <v>38865</v>
      </c>
      <c r="M119" s="1032"/>
    </row>
    <row r="120" spans="1:13" ht="15" customHeight="1">
      <c r="A120" s="1995"/>
      <c r="B120" s="1625" t="s">
        <v>599</v>
      </c>
      <c r="C120" s="1065">
        <v>20677</v>
      </c>
      <c r="D120" s="1315">
        <v>-1</v>
      </c>
      <c r="E120" s="1066">
        <f>SUM(C120:D120)</f>
        <v>20676</v>
      </c>
      <c r="F120" s="1032"/>
      <c r="H120" s="1790">
        <v>8568</v>
      </c>
      <c r="I120" s="1517">
        <v>7647</v>
      </c>
      <c r="J120" s="1468">
        <v>7647</v>
      </c>
      <c r="K120" s="1688"/>
      <c r="L120" s="1032">
        <f t="shared" si="4"/>
        <v>12108</v>
      </c>
      <c r="M120" s="1032"/>
    </row>
    <row r="121" spans="1:13" ht="15" customHeight="1">
      <c r="A121" s="1997"/>
      <c r="B121" s="1473" t="s">
        <v>724</v>
      </c>
      <c r="C121" s="211">
        <v>9680</v>
      </c>
      <c r="D121" s="1022"/>
      <c r="E121" s="219">
        <f>SUM(C121:D121)</f>
        <v>9680</v>
      </c>
      <c r="F121" s="1032"/>
      <c r="H121" s="1790">
        <v>8646</v>
      </c>
      <c r="I121" s="1517">
        <v>6582</v>
      </c>
      <c r="J121" s="1468">
        <v>3177</v>
      </c>
      <c r="K121" s="1688"/>
      <c r="L121" s="1032">
        <f t="shared" si="4"/>
        <v>1034</v>
      </c>
      <c r="M121" s="1032"/>
    </row>
    <row r="122" spans="1:13" ht="15" customHeight="1">
      <c r="A122" s="1997"/>
      <c r="B122" s="1473" t="s">
        <v>721</v>
      </c>
      <c r="C122" s="1441"/>
      <c r="D122" s="1441"/>
      <c r="E122" s="1442"/>
      <c r="F122" s="1032"/>
      <c r="K122" s="1688"/>
      <c r="L122" s="1032">
        <f t="shared" si="4"/>
        <v>0</v>
      </c>
      <c r="M122" s="1032"/>
    </row>
    <row r="123" spans="1:13" ht="15" customHeight="1">
      <c r="A123" s="1997"/>
      <c r="B123" s="1473" t="s">
        <v>722</v>
      </c>
      <c r="C123" s="211">
        <v>12000</v>
      </c>
      <c r="D123" s="211">
        <v>-12000</v>
      </c>
      <c r="E123" s="219">
        <f aca="true" t="shared" si="5" ref="E123:E128">SUM(C123:D123)</f>
        <v>0</v>
      </c>
      <c r="F123" s="1032"/>
      <c r="K123" s="1688"/>
      <c r="L123" s="1032">
        <f t="shared" si="4"/>
        <v>0</v>
      </c>
      <c r="M123" s="1032"/>
    </row>
    <row r="124" spans="1:13" ht="15" customHeight="1">
      <c r="A124" s="1997"/>
      <c r="B124" s="1473" t="s">
        <v>723</v>
      </c>
      <c r="C124" s="211">
        <v>3964</v>
      </c>
      <c r="D124" s="211"/>
      <c r="E124" s="219">
        <f t="shared" si="5"/>
        <v>3964</v>
      </c>
      <c r="F124" s="1032"/>
      <c r="H124" s="1790">
        <v>3964</v>
      </c>
      <c r="I124" s="1517">
        <v>3964</v>
      </c>
      <c r="J124" s="1468">
        <v>3964</v>
      </c>
      <c r="K124" s="1688"/>
      <c r="L124" s="1032">
        <f t="shared" si="4"/>
        <v>0</v>
      </c>
      <c r="M124" s="1032"/>
    </row>
    <row r="125" spans="1:13" ht="15" customHeight="1">
      <c r="A125" s="988"/>
      <c r="B125" s="1473" t="s">
        <v>795</v>
      </c>
      <c r="C125" s="211">
        <v>249</v>
      </c>
      <c r="D125" s="211"/>
      <c r="E125" s="219">
        <f t="shared" si="5"/>
        <v>249</v>
      </c>
      <c r="F125" s="1032"/>
      <c r="H125" s="1790">
        <v>249</v>
      </c>
      <c r="I125" s="1517">
        <v>249</v>
      </c>
      <c r="J125" s="1468">
        <v>249</v>
      </c>
      <c r="K125" s="1688"/>
      <c r="L125" s="1032">
        <f t="shared" si="4"/>
        <v>0</v>
      </c>
      <c r="M125" s="1032"/>
    </row>
    <row r="126" spans="1:13" ht="15" customHeight="1">
      <c r="A126" s="988"/>
      <c r="B126" s="1473" t="s">
        <v>860</v>
      </c>
      <c r="C126" s="211">
        <v>699</v>
      </c>
      <c r="D126" s="211"/>
      <c r="E126" s="219">
        <f t="shared" si="5"/>
        <v>699</v>
      </c>
      <c r="F126" s="1032"/>
      <c r="H126" s="1790">
        <v>699</v>
      </c>
      <c r="K126" s="1688"/>
      <c r="L126" s="1032">
        <f t="shared" si="4"/>
        <v>0</v>
      </c>
      <c r="M126" s="1032"/>
    </row>
    <row r="127" spans="1:13" ht="15" customHeight="1">
      <c r="A127" s="988"/>
      <c r="B127" s="1626" t="s">
        <v>796</v>
      </c>
      <c r="C127" s="215">
        <v>14</v>
      </c>
      <c r="D127" s="215"/>
      <c r="E127" s="219">
        <f t="shared" si="5"/>
        <v>14</v>
      </c>
      <c r="F127" s="1032"/>
      <c r="H127" s="1790">
        <v>14</v>
      </c>
      <c r="I127" s="1517">
        <v>14</v>
      </c>
      <c r="J127" s="1468">
        <v>14</v>
      </c>
      <c r="K127" s="1688"/>
      <c r="L127" s="1032">
        <f t="shared" si="4"/>
        <v>0</v>
      </c>
      <c r="M127" s="1032"/>
    </row>
    <row r="128" spans="1:13" ht="15" customHeight="1" thickBot="1">
      <c r="A128" s="988"/>
      <c r="B128" s="1626" t="s">
        <v>861</v>
      </c>
      <c r="C128" s="1373">
        <v>2122</v>
      </c>
      <c r="D128" s="1373">
        <v>3357</v>
      </c>
      <c r="E128" s="219">
        <f t="shared" si="5"/>
        <v>5479</v>
      </c>
      <c r="F128" s="1032"/>
      <c r="H128" s="1790">
        <v>2122</v>
      </c>
      <c r="K128" s="1688"/>
      <c r="L128" s="1032">
        <f t="shared" si="4"/>
        <v>3357</v>
      </c>
      <c r="M128" s="1032"/>
    </row>
    <row r="129" spans="1:13" ht="15" customHeight="1" thickBot="1">
      <c r="A129" s="294">
        <v>9</v>
      </c>
      <c r="B129" s="1618" t="s">
        <v>553</v>
      </c>
      <c r="C129" s="214">
        <f>SUM(C120:C128)</f>
        <v>49405</v>
      </c>
      <c r="D129" s="214">
        <f>SUM(D120:D128)</f>
        <v>-8644</v>
      </c>
      <c r="E129" s="214">
        <f>SUM(E120:E128)</f>
        <v>40761</v>
      </c>
      <c r="F129" s="1032"/>
      <c r="K129" s="1688"/>
      <c r="L129" s="1032">
        <f t="shared" si="4"/>
        <v>40761</v>
      </c>
      <c r="M129" s="1032"/>
    </row>
    <row r="130" spans="1:13" ht="15" customHeight="1">
      <c r="A130" s="309"/>
      <c r="B130" s="1627" t="s">
        <v>617</v>
      </c>
      <c r="C130" s="1526">
        <v>125</v>
      </c>
      <c r="D130" s="1434"/>
      <c r="E130" s="1218">
        <f>SUM(C130:D130)</f>
        <v>125</v>
      </c>
      <c r="F130" s="1032"/>
      <c r="L130" s="1032">
        <f t="shared" si="4"/>
        <v>125</v>
      </c>
      <c r="M130" s="1032"/>
    </row>
    <row r="131" spans="1:13" ht="26.25" customHeight="1">
      <c r="A131" s="309"/>
      <c r="B131" s="1628" t="s">
        <v>725</v>
      </c>
      <c r="C131" s="1385">
        <v>1000</v>
      </c>
      <c r="D131" s="1480">
        <v>-628</v>
      </c>
      <c r="E131" s="1218">
        <f>SUM(C131:D131)</f>
        <v>372</v>
      </c>
      <c r="F131" s="1032"/>
      <c r="L131" s="1032">
        <f t="shared" si="4"/>
        <v>372</v>
      </c>
      <c r="M131" s="1032"/>
    </row>
    <row r="132" spans="1:13" ht="24" customHeight="1" thickBot="1">
      <c r="A132" s="1475"/>
      <c r="B132" s="1563" t="s">
        <v>726</v>
      </c>
      <c r="C132" s="1526">
        <v>1686</v>
      </c>
      <c r="D132" s="1434"/>
      <c r="E132" s="1218">
        <f>SUM(C132:D132)</f>
        <v>1686</v>
      </c>
      <c r="F132" s="1032"/>
      <c r="L132" s="1032">
        <f t="shared" si="4"/>
        <v>1686</v>
      </c>
      <c r="M132" s="1032"/>
    </row>
    <row r="133" spans="1:13" ht="15" customHeight="1" thickBot="1">
      <c r="A133" s="272" t="s">
        <v>98</v>
      </c>
      <c r="B133" s="1629" t="s">
        <v>509</v>
      </c>
      <c r="C133" s="262">
        <f>SUM(C130:C132)</f>
        <v>2811</v>
      </c>
      <c r="D133" s="262">
        <f>SUM(D130:D132)</f>
        <v>-628</v>
      </c>
      <c r="E133" s="262">
        <f>SUM(E130:E132)</f>
        <v>2183</v>
      </c>
      <c r="F133" s="1032"/>
      <c r="L133" s="1032">
        <f t="shared" si="4"/>
        <v>2183</v>
      </c>
      <c r="M133" s="1032"/>
    </row>
    <row r="134" spans="1:13" ht="15" customHeight="1" thickBot="1">
      <c r="A134" s="309"/>
      <c r="B134" s="1630"/>
      <c r="C134" s="1220"/>
      <c r="D134" s="1319"/>
      <c r="E134" s="216">
        <f>SUM(C134:D134)</f>
        <v>0</v>
      </c>
      <c r="F134" s="1032"/>
      <c r="L134" s="1032">
        <f t="shared" si="4"/>
        <v>0</v>
      </c>
      <c r="M134" s="1032"/>
    </row>
    <row r="135" spans="1:13" ht="15" customHeight="1" thickBot="1">
      <c r="A135" s="272" t="s">
        <v>99</v>
      </c>
      <c r="B135" s="1629" t="s">
        <v>508</v>
      </c>
      <c r="C135" s="262">
        <f>SUM(C134:C134)</f>
        <v>0</v>
      </c>
      <c r="D135" s="1318">
        <f>SUM(D134:D134)</f>
        <v>0</v>
      </c>
      <c r="E135" s="262">
        <f>SUM(E134:E134)</f>
        <v>0</v>
      </c>
      <c r="F135" s="1032"/>
      <c r="L135" s="1032">
        <f t="shared" si="4"/>
        <v>0</v>
      </c>
      <c r="M135" s="1032"/>
    </row>
    <row r="136" spans="1:13" ht="15" customHeight="1">
      <c r="A136" s="309"/>
      <c r="B136" s="1580" t="s">
        <v>727</v>
      </c>
      <c r="C136" s="1526">
        <v>0</v>
      </c>
      <c r="D136" s="1439"/>
      <c r="E136" s="219">
        <f aca="true" t="shared" si="6" ref="E136:E143">SUM(C136:D136)</f>
        <v>0</v>
      </c>
      <c r="F136" s="1032"/>
      <c r="H136" s="1791"/>
      <c r="L136" s="1032">
        <f t="shared" si="4"/>
        <v>0</v>
      </c>
      <c r="M136" s="1032"/>
    </row>
    <row r="137" spans="1:13" ht="15" customHeight="1">
      <c r="A137" s="309"/>
      <c r="B137" s="1631" t="s">
        <v>728</v>
      </c>
      <c r="C137" s="1526">
        <v>596</v>
      </c>
      <c r="D137" s="1439"/>
      <c r="E137" s="219">
        <f t="shared" si="6"/>
        <v>596</v>
      </c>
      <c r="F137" s="1032"/>
      <c r="H137" s="1791">
        <v>541</v>
      </c>
      <c r="L137" s="1032">
        <f t="shared" si="4"/>
        <v>55</v>
      </c>
      <c r="M137" s="1032"/>
    </row>
    <row r="138" spans="1:13" ht="15" customHeight="1">
      <c r="A138" s="309"/>
      <c r="B138" s="1632" t="s">
        <v>729</v>
      </c>
      <c r="C138" s="1526">
        <v>865</v>
      </c>
      <c r="D138" s="1439"/>
      <c r="E138" s="219">
        <f t="shared" si="6"/>
        <v>865</v>
      </c>
      <c r="F138" s="1032"/>
      <c r="H138" s="1791">
        <v>559</v>
      </c>
      <c r="L138" s="1032">
        <f t="shared" si="4"/>
        <v>306</v>
      </c>
      <c r="M138" s="1032"/>
    </row>
    <row r="139" spans="1:13" ht="15" customHeight="1">
      <c r="A139" s="309"/>
      <c r="B139" s="1631" t="s">
        <v>730</v>
      </c>
      <c r="C139" s="1526">
        <v>600</v>
      </c>
      <c r="D139" s="1439"/>
      <c r="E139" s="219">
        <f>SUM(C139:D139)</f>
        <v>600</v>
      </c>
      <c r="F139" s="1032"/>
      <c r="H139" s="1791">
        <v>595</v>
      </c>
      <c r="I139" s="1517">
        <v>595</v>
      </c>
      <c r="L139" s="1032">
        <f t="shared" si="4"/>
        <v>5</v>
      </c>
      <c r="M139" s="1032"/>
    </row>
    <row r="140" spans="1:13" ht="15" customHeight="1">
      <c r="A140" s="309"/>
      <c r="B140" s="1632" t="s">
        <v>731</v>
      </c>
      <c r="C140" s="1323">
        <v>925</v>
      </c>
      <c r="D140" s="1437"/>
      <c r="E140" s="219">
        <f>SUM(C140:D140)</f>
        <v>925</v>
      </c>
      <c r="F140" s="1032"/>
      <c r="H140" s="1791">
        <v>841</v>
      </c>
      <c r="L140" s="1032">
        <f t="shared" si="4"/>
        <v>84</v>
      </c>
      <c r="M140" s="1032"/>
    </row>
    <row r="141" spans="1:13" ht="15" customHeight="1">
      <c r="A141" s="309"/>
      <c r="B141" s="1633" t="s">
        <v>732</v>
      </c>
      <c r="C141" s="1526">
        <v>800</v>
      </c>
      <c r="D141" s="1434"/>
      <c r="E141" s="219">
        <f>SUM(C141:D141)</f>
        <v>800</v>
      </c>
      <c r="F141" s="1032"/>
      <c r="H141" s="1791">
        <v>362</v>
      </c>
      <c r="I141" s="1517">
        <v>362</v>
      </c>
      <c r="L141" s="1032">
        <f t="shared" si="4"/>
        <v>438</v>
      </c>
      <c r="M141" s="1032"/>
    </row>
    <row r="142" spans="1:13" ht="15" customHeight="1">
      <c r="A142" s="309"/>
      <c r="B142" s="1628" t="s">
        <v>733</v>
      </c>
      <c r="C142" s="1526">
        <v>1510</v>
      </c>
      <c r="D142" s="1439"/>
      <c r="E142" s="219">
        <f>SUM(C142:D142)</f>
        <v>1510</v>
      </c>
      <c r="F142" s="1032"/>
      <c r="H142" s="1791">
        <v>1370</v>
      </c>
      <c r="L142" s="1032">
        <f t="shared" si="4"/>
        <v>140</v>
      </c>
      <c r="M142" s="1032"/>
    </row>
    <row r="143" spans="1:13" ht="15" customHeight="1">
      <c r="A143" s="309"/>
      <c r="B143" s="1628" t="s">
        <v>734</v>
      </c>
      <c r="C143" s="1526">
        <v>1965</v>
      </c>
      <c r="D143" s="1439"/>
      <c r="E143" s="219">
        <f t="shared" si="6"/>
        <v>1965</v>
      </c>
      <c r="F143" s="1032"/>
      <c r="H143" s="1791">
        <v>1920</v>
      </c>
      <c r="I143" s="1517">
        <v>1920</v>
      </c>
      <c r="L143" s="1032">
        <f t="shared" si="4"/>
        <v>45</v>
      </c>
      <c r="M143" s="1032"/>
    </row>
    <row r="144" spans="1:13" ht="15" customHeight="1">
      <c r="A144" s="309"/>
      <c r="B144" s="1628" t="s">
        <v>735</v>
      </c>
      <c r="C144" s="1526">
        <v>100</v>
      </c>
      <c r="D144" s="1439"/>
      <c r="E144" s="219">
        <f>SUM(C144:D144)</f>
        <v>100</v>
      </c>
      <c r="F144" s="1032"/>
      <c r="H144" s="1791"/>
      <c r="L144" s="1032">
        <f t="shared" si="4"/>
        <v>100</v>
      </c>
      <c r="M144" s="1032"/>
    </row>
    <row r="145" spans="1:13" ht="15" customHeight="1">
      <c r="A145" s="309"/>
      <c r="B145" s="1634" t="s">
        <v>608</v>
      </c>
      <c r="C145" s="1526">
        <v>7450</v>
      </c>
      <c r="D145" s="1439"/>
      <c r="E145" s="219">
        <f>SUM(C145:D145)</f>
        <v>7450</v>
      </c>
      <c r="F145" s="1032"/>
      <c r="H145" s="1791">
        <v>7438</v>
      </c>
      <c r="I145" s="1517">
        <v>7438</v>
      </c>
      <c r="L145" s="1032">
        <f t="shared" si="4"/>
        <v>12</v>
      </c>
      <c r="M145" s="1032"/>
    </row>
    <row r="146" spans="1:13" ht="15" customHeight="1" thickBot="1">
      <c r="A146" s="309"/>
      <c r="B146" s="1628" t="s">
        <v>736</v>
      </c>
      <c r="C146" s="1526">
        <v>2000</v>
      </c>
      <c r="D146" s="1440"/>
      <c r="E146" s="219">
        <f>SUM(C146:D146)</f>
        <v>2000</v>
      </c>
      <c r="F146" s="1032"/>
      <c r="H146" s="1791">
        <v>921</v>
      </c>
      <c r="L146" s="1032">
        <f t="shared" si="4"/>
        <v>1079</v>
      </c>
      <c r="M146" s="1032"/>
    </row>
    <row r="147" spans="1:13" ht="15" customHeight="1" thickBot="1">
      <c r="A147" s="272" t="s">
        <v>100</v>
      </c>
      <c r="B147" s="1629" t="s">
        <v>510</v>
      </c>
      <c r="C147" s="262">
        <f>SUM(C136:C146)</f>
        <v>16811</v>
      </c>
      <c r="D147" s="262">
        <f>SUM(D136:D146)</f>
        <v>0</v>
      </c>
      <c r="E147" s="262">
        <f>SUM(E136:E146)</f>
        <v>16811</v>
      </c>
      <c r="F147" s="1032"/>
      <c r="H147" s="1791"/>
      <c r="L147" s="1032">
        <f t="shared" si="4"/>
        <v>16811</v>
      </c>
      <c r="M147" s="1032"/>
    </row>
    <row r="148" spans="1:13" ht="15" customHeight="1" thickBot="1">
      <c r="A148" s="309"/>
      <c r="B148" s="1628" t="s">
        <v>737</v>
      </c>
      <c r="C148" s="1036">
        <v>2000</v>
      </c>
      <c r="D148" s="1320"/>
      <c r="E148" s="219">
        <f>SUM(C148:D148)</f>
        <v>2000</v>
      </c>
      <c r="F148" s="1032"/>
      <c r="L148" s="1032">
        <f t="shared" si="4"/>
        <v>2000</v>
      </c>
      <c r="M148" s="1032"/>
    </row>
    <row r="149" spans="1:13" ht="15" customHeight="1" thickBot="1">
      <c r="A149" s="272" t="s">
        <v>101</v>
      </c>
      <c r="B149" s="1629" t="s">
        <v>511</v>
      </c>
      <c r="C149" s="262">
        <f>SUM(C148:C148)</f>
        <v>2000</v>
      </c>
      <c r="D149" s="262">
        <f>SUM(D148:D148)</f>
        <v>0</v>
      </c>
      <c r="E149" s="262">
        <f>SUM(E148:E148)</f>
        <v>2000</v>
      </c>
      <c r="F149" s="1032"/>
      <c r="L149" s="1032">
        <f t="shared" si="4"/>
        <v>2000</v>
      </c>
      <c r="M149" s="1032"/>
    </row>
    <row r="150" spans="1:13" ht="15" customHeight="1">
      <c r="A150" s="309"/>
      <c r="B150" s="1573" t="s">
        <v>739</v>
      </c>
      <c r="C150" s="1369">
        <v>0</v>
      </c>
      <c r="D150" s="1436"/>
      <c r="E150" s="1066">
        <f aca="true" t="shared" si="7" ref="E150:E157">SUM(C150:D150)</f>
        <v>0</v>
      </c>
      <c r="F150" s="1032"/>
      <c r="L150" s="1032">
        <f t="shared" si="4"/>
        <v>0</v>
      </c>
      <c r="M150" s="1032"/>
    </row>
    <row r="151" spans="1:13" ht="15" customHeight="1">
      <c r="A151" s="309"/>
      <c r="B151" s="1635" t="s">
        <v>743</v>
      </c>
      <c r="C151" s="1036">
        <v>400</v>
      </c>
      <c r="D151" s="1437"/>
      <c r="E151" s="216">
        <f>SUM(C151:D151)</f>
        <v>400</v>
      </c>
      <c r="F151" s="1032"/>
      <c r="L151" s="1032">
        <f t="shared" si="4"/>
        <v>400</v>
      </c>
      <c r="M151" s="1032"/>
    </row>
    <row r="152" spans="1:13" ht="15" customHeight="1">
      <c r="A152" s="309"/>
      <c r="B152" s="1628" t="s">
        <v>740</v>
      </c>
      <c r="C152" s="993">
        <v>3000</v>
      </c>
      <c r="D152" s="1434"/>
      <c r="E152" s="217">
        <f>SUM(C152:D152)</f>
        <v>3000</v>
      </c>
      <c r="F152" s="1032"/>
      <c r="L152" s="1032">
        <f t="shared" si="4"/>
        <v>3000</v>
      </c>
      <c r="M152" s="1032"/>
    </row>
    <row r="153" spans="1:13" ht="15" customHeight="1">
      <c r="A153" s="309"/>
      <c r="B153" s="1628" t="s">
        <v>741</v>
      </c>
      <c r="C153" s="993">
        <v>0</v>
      </c>
      <c r="D153" s="1434"/>
      <c r="E153" s="217">
        <f t="shared" si="7"/>
        <v>0</v>
      </c>
      <c r="F153" s="1032"/>
      <c r="L153" s="1032">
        <f t="shared" si="4"/>
        <v>0</v>
      </c>
      <c r="M153" s="1032"/>
    </row>
    <row r="154" spans="1:13" ht="15" customHeight="1">
      <c r="A154" s="309"/>
      <c r="B154" s="1628" t="s">
        <v>742</v>
      </c>
      <c r="C154" s="993">
        <v>0</v>
      </c>
      <c r="D154" s="1434"/>
      <c r="E154" s="217">
        <f t="shared" si="7"/>
        <v>0</v>
      </c>
      <c r="F154" s="1032"/>
      <c r="L154" s="1032">
        <f t="shared" si="4"/>
        <v>0</v>
      </c>
      <c r="M154" s="1032"/>
    </row>
    <row r="155" spans="1:13" ht="15" customHeight="1" thickBot="1">
      <c r="A155" s="309"/>
      <c r="B155" s="1636" t="s">
        <v>738</v>
      </c>
      <c r="C155" s="1219">
        <v>100</v>
      </c>
      <c r="D155" s="1461"/>
      <c r="E155" s="1221">
        <f t="shared" si="7"/>
        <v>100</v>
      </c>
      <c r="F155" s="1032"/>
      <c r="L155" s="1032">
        <f t="shared" si="4"/>
        <v>100</v>
      </c>
      <c r="M155" s="1032"/>
    </row>
    <row r="156" spans="1:13" ht="15" customHeight="1" thickBot="1">
      <c r="A156" s="272" t="s">
        <v>192</v>
      </c>
      <c r="B156" s="1637" t="s">
        <v>512</v>
      </c>
      <c r="C156" s="262">
        <f>SUM(C150:C155)</f>
        <v>3500</v>
      </c>
      <c r="D156" s="262">
        <f>SUM(D150:D155)</f>
        <v>0</v>
      </c>
      <c r="E156" s="262">
        <f>SUM(E150:E155)</f>
        <v>3500</v>
      </c>
      <c r="F156" s="1032"/>
      <c r="L156" s="1032">
        <f t="shared" si="4"/>
        <v>3500</v>
      </c>
      <c r="M156" s="1032"/>
    </row>
    <row r="157" spans="1:13" ht="15" customHeight="1" thickBot="1">
      <c r="A157" s="309"/>
      <c r="B157" s="1628"/>
      <c r="C157" s="1682"/>
      <c r="D157" s="1437"/>
      <c r="E157" s="219">
        <f t="shared" si="7"/>
        <v>0</v>
      </c>
      <c r="F157" s="1032"/>
      <c r="L157" s="1032">
        <f aca="true" t="shared" si="8" ref="L157:L213">E157-H157</f>
        <v>0</v>
      </c>
      <c r="M157" s="1032"/>
    </row>
    <row r="158" spans="1:13" ht="15" customHeight="1" thickBot="1">
      <c r="A158" s="272" t="s">
        <v>339</v>
      </c>
      <c r="B158" s="1629" t="s">
        <v>513</v>
      </c>
      <c r="C158" s="262">
        <f>SUM(C157)</f>
        <v>0</v>
      </c>
      <c r="D158" s="1318">
        <f>SUM(D157)</f>
        <v>0</v>
      </c>
      <c r="E158" s="262">
        <f>SUM(E157)</f>
        <v>0</v>
      </c>
      <c r="F158" s="1032"/>
      <c r="L158" s="1032">
        <f t="shared" si="8"/>
        <v>0</v>
      </c>
      <c r="M158" s="1032"/>
    </row>
    <row r="159" spans="1:13" ht="15" customHeight="1" thickBot="1">
      <c r="A159" s="309"/>
      <c r="B159" s="1579" t="s">
        <v>712</v>
      </c>
      <c r="C159" s="993"/>
      <c r="D159" s="1434">
        <v>813</v>
      </c>
      <c r="E159" s="1066">
        <f>SUM(C159:D159)</f>
        <v>813</v>
      </c>
      <c r="F159" s="1032"/>
      <c r="H159" s="1790">
        <v>813</v>
      </c>
      <c r="L159" s="1032">
        <f t="shared" si="8"/>
        <v>0</v>
      </c>
      <c r="M159" s="1032"/>
    </row>
    <row r="160" spans="1:13" ht="15" customHeight="1" thickBot="1">
      <c r="A160" s="272" t="s">
        <v>340</v>
      </c>
      <c r="B160" s="1629" t="s">
        <v>514</v>
      </c>
      <c r="C160" s="262">
        <f>SUM(C159:C159)</f>
        <v>0</v>
      </c>
      <c r="D160" s="1318">
        <f>SUM(D159:D159)</f>
        <v>813</v>
      </c>
      <c r="E160" s="262">
        <f>SUM(E159:E159)</f>
        <v>813</v>
      </c>
      <c r="F160" s="1032"/>
      <c r="L160" s="1032">
        <f t="shared" si="8"/>
        <v>813</v>
      </c>
      <c r="M160" s="1032"/>
    </row>
    <row r="161" spans="1:13" ht="15" customHeight="1">
      <c r="A161" s="309"/>
      <c r="B161" s="1639" t="s">
        <v>744</v>
      </c>
      <c r="C161" s="1695">
        <v>800</v>
      </c>
      <c r="D161" s="1696"/>
      <c r="E161" s="1066">
        <f>SUM(C161:D161)</f>
        <v>800</v>
      </c>
      <c r="F161" s="1032"/>
      <c r="H161" s="1798"/>
      <c r="L161" s="1032">
        <f t="shared" si="8"/>
        <v>800</v>
      </c>
      <c r="M161" s="1032"/>
    </row>
    <row r="162" spans="1:13" ht="15" customHeight="1">
      <c r="A162" s="309"/>
      <c r="B162" s="1639" t="s">
        <v>745</v>
      </c>
      <c r="C162" s="1697">
        <v>1200</v>
      </c>
      <c r="D162" s="1698">
        <v>-698</v>
      </c>
      <c r="E162" s="217">
        <f>SUM(C162:D162)</f>
        <v>502</v>
      </c>
      <c r="F162" s="1032"/>
      <c r="L162" s="1032">
        <f t="shared" si="8"/>
        <v>502</v>
      </c>
      <c r="M162" s="1032"/>
    </row>
    <row r="163" spans="1:13" ht="15" customHeight="1">
      <c r="A163" s="309"/>
      <c r="B163" s="1631" t="s">
        <v>746</v>
      </c>
      <c r="C163" s="1697">
        <v>100</v>
      </c>
      <c r="D163" s="1698"/>
      <c r="E163" s="217">
        <f>SUM(C163:D163)</f>
        <v>100</v>
      </c>
      <c r="F163" s="1032"/>
      <c r="L163" s="1032">
        <f t="shared" si="8"/>
        <v>100</v>
      </c>
      <c r="M163" s="1032"/>
    </row>
    <row r="164" spans="1:13" ht="15" customHeight="1">
      <c r="A164" s="309"/>
      <c r="B164" s="1628" t="s">
        <v>747</v>
      </c>
      <c r="C164" s="1697">
        <v>100</v>
      </c>
      <c r="D164" s="1698"/>
      <c r="E164" s="217">
        <f>SUM(C164:D164)</f>
        <v>100</v>
      </c>
      <c r="F164" s="1032"/>
      <c r="L164" s="1032">
        <f t="shared" si="8"/>
        <v>100</v>
      </c>
      <c r="M164" s="1032"/>
    </row>
    <row r="165" spans="1:13" ht="15" customHeight="1" thickBot="1">
      <c r="A165" s="309"/>
      <c r="B165" s="1640" t="s">
        <v>769</v>
      </c>
      <c r="C165" s="1699">
        <v>1581</v>
      </c>
      <c r="D165" s="1700"/>
      <c r="E165" s="217">
        <f>SUM(C165:D165)</f>
        <v>1581</v>
      </c>
      <c r="F165" s="1032"/>
      <c r="H165" s="1790">
        <v>1437</v>
      </c>
      <c r="I165" s="1517">
        <v>1437</v>
      </c>
      <c r="J165" s="1468">
        <v>1437</v>
      </c>
      <c r="L165" s="1032">
        <f t="shared" si="8"/>
        <v>144</v>
      </c>
      <c r="M165" s="1032"/>
    </row>
    <row r="166" spans="1:13" ht="15" customHeight="1" thickBot="1">
      <c r="A166" s="272" t="s">
        <v>69</v>
      </c>
      <c r="B166" s="1629" t="s">
        <v>518</v>
      </c>
      <c r="C166" s="262">
        <f>SUM(C161:C165)</f>
        <v>3781</v>
      </c>
      <c r="D166" s="262">
        <f>SUM(D161:D165)</f>
        <v>-698</v>
      </c>
      <c r="E166" s="262">
        <f>SUM(E161:E165)</f>
        <v>3083</v>
      </c>
      <c r="F166" s="1032"/>
      <c r="L166" s="1032">
        <f t="shared" si="8"/>
        <v>3083</v>
      </c>
      <c r="M166" s="1032"/>
    </row>
    <row r="167" spans="1:13" ht="15" customHeight="1" thickBot="1">
      <c r="A167" s="309"/>
      <c r="B167" s="1638"/>
      <c r="C167" s="993"/>
      <c r="D167" s="1313"/>
      <c r="E167" s="216"/>
      <c r="F167" s="1032"/>
      <c r="L167" s="1032">
        <f t="shared" si="8"/>
        <v>0</v>
      </c>
      <c r="M167" s="1032"/>
    </row>
    <row r="168" spans="1:13" ht="15" customHeight="1" thickBot="1">
      <c r="A168" s="272" t="s">
        <v>517</v>
      </c>
      <c r="B168" s="1629" t="s">
        <v>515</v>
      </c>
      <c r="C168" s="262">
        <f>SUM(C167)</f>
        <v>0</v>
      </c>
      <c r="D168" s="1318">
        <f>SUM(D167)</f>
        <v>0</v>
      </c>
      <c r="E168" s="262">
        <f>SUM(E167)</f>
        <v>0</v>
      </c>
      <c r="F168" s="1032"/>
      <c r="L168" s="1032">
        <f t="shared" si="8"/>
        <v>0</v>
      </c>
      <c r="M168" s="1032"/>
    </row>
    <row r="169" spans="1:13" ht="15" customHeight="1">
      <c r="A169" s="988"/>
      <c r="B169" s="1639" t="s">
        <v>748</v>
      </c>
      <c r="C169" s="1526">
        <v>1000</v>
      </c>
      <c r="D169" s="1434"/>
      <c r="E169" s="217">
        <f aca="true" t="shared" si="9" ref="E169:E189">SUM(C169:D169)</f>
        <v>1000</v>
      </c>
      <c r="F169" s="1032"/>
      <c r="L169" s="1032">
        <f t="shared" si="8"/>
        <v>1000</v>
      </c>
      <c r="M169" s="1032"/>
    </row>
    <row r="170" spans="1:13" ht="15" customHeight="1">
      <c r="A170" s="988"/>
      <c r="B170" s="1631" t="s">
        <v>749</v>
      </c>
      <c r="C170" s="1526">
        <v>0</v>
      </c>
      <c r="D170" s="1434"/>
      <c r="E170" s="217">
        <f>SUM(C170:D170)</f>
        <v>0</v>
      </c>
      <c r="F170" s="1032"/>
      <c r="L170" s="1032">
        <f t="shared" si="8"/>
        <v>0</v>
      </c>
      <c r="M170" s="1032"/>
    </row>
    <row r="171" spans="1:13" ht="24" customHeight="1">
      <c r="A171" s="988"/>
      <c r="B171" s="1632" t="s">
        <v>750</v>
      </c>
      <c r="C171" s="1526">
        <v>200</v>
      </c>
      <c r="D171" s="1434"/>
      <c r="E171" s="217">
        <f>SUM(C171:D171)</f>
        <v>200</v>
      </c>
      <c r="F171" s="1032"/>
      <c r="L171" s="1032">
        <f t="shared" si="8"/>
        <v>200</v>
      </c>
      <c r="M171" s="1032"/>
    </row>
    <row r="172" spans="1:13" ht="15" customHeight="1">
      <c r="A172" s="988"/>
      <c r="B172" s="1580" t="s">
        <v>751</v>
      </c>
      <c r="C172" s="1682">
        <v>5000</v>
      </c>
      <c r="D172" s="1435">
        <v>-210</v>
      </c>
      <c r="E172" s="1218">
        <f>SUM(C172:D172)</f>
        <v>4790</v>
      </c>
      <c r="F172" s="1032"/>
      <c r="H172" s="1790">
        <v>2146</v>
      </c>
      <c r="I172" s="1517">
        <v>2146</v>
      </c>
      <c r="L172" s="1032">
        <f t="shared" si="8"/>
        <v>2644</v>
      </c>
      <c r="M172" s="1032"/>
    </row>
    <row r="173" spans="1:13" ht="15" customHeight="1">
      <c r="A173" s="988"/>
      <c r="B173" s="1628" t="s">
        <v>752</v>
      </c>
      <c r="C173" s="1682">
        <v>5527</v>
      </c>
      <c r="D173" s="1435"/>
      <c r="E173" s="1218">
        <f>SUM(C173:D173)</f>
        <v>5527</v>
      </c>
      <c r="F173" s="1032"/>
      <c r="H173" s="1790">
        <v>3874</v>
      </c>
      <c r="I173" s="1517">
        <v>3874</v>
      </c>
      <c r="L173" s="1032">
        <f t="shared" si="8"/>
        <v>1653</v>
      </c>
      <c r="M173" s="1032"/>
    </row>
    <row r="174" spans="1:13" ht="15" customHeight="1">
      <c r="A174" s="988"/>
      <c r="B174" s="1628" t="s">
        <v>753</v>
      </c>
      <c r="C174" s="1682">
        <v>5000</v>
      </c>
      <c r="D174" s="1435"/>
      <c r="E174" s="1218">
        <f>SUM(C174:D174)</f>
        <v>5000</v>
      </c>
      <c r="F174" s="1032"/>
      <c r="H174" s="1790">
        <v>2146</v>
      </c>
      <c r="I174" s="1517">
        <v>2146</v>
      </c>
      <c r="L174" s="1032">
        <f t="shared" si="8"/>
        <v>2854</v>
      </c>
      <c r="M174" s="1032"/>
    </row>
    <row r="175" spans="1:13" ht="15" customHeight="1">
      <c r="A175" s="988"/>
      <c r="B175" s="1631" t="s">
        <v>754</v>
      </c>
      <c r="C175" s="1526">
        <v>500</v>
      </c>
      <c r="D175" s="1434"/>
      <c r="E175" s="217">
        <f t="shared" si="9"/>
        <v>500</v>
      </c>
      <c r="F175" s="1032"/>
      <c r="L175" s="1032">
        <f t="shared" si="8"/>
        <v>500</v>
      </c>
      <c r="M175" s="1032"/>
    </row>
    <row r="176" spans="1:13" ht="15" customHeight="1">
      <c r="A176" s="988"/>
      <c r="B176" s="1641" t="s">
        <v>857</v>
      </c>
      <c r="C176" s="1682">
        <v>2800</v>
      </c>
      <c r="D176" s="1435"/>
      <c r="E176" s="1218">
        <f t="shared" si="9"/>
        <v>2800</v>
      </c>
      <c r="F176" s="1032"/>
      <c r="H176" s="1790">
        <v>1568</v>
      </c>
      <c r="I176" s="1517">
        <v>1568</v>
      </c>
      <c r="J176" s="263"/>
      <c r="L176" s="1032">
        <f t="shared" si="8"/>
        <v>1232</v>
      </c>
      <c r="M176" s="1032"/>
    </row>
    <row r="177" spans="1:13" ht="15" customHeight="1">
      <c r="A177" s="988"/>
      <c r="B177" s="1641" t="s">
        <v>858</v>
      </c>
      <c r="C177" s="1682">
        <v>0</v>
      </c>
      <c r="D177" s="1435"/>
      <c r="E177" s="1218">
        <f t="shared" si="9"/>
        <v>0</v>
      </c>
      <c r="F177" s="1032"/>
      <c r="I177" s="263"/>
      <c r="J177" s="263"/>
      <c r="L177" s="1032">
        <f t="shared" si="8"/>
        <v>0</v>
      </c>
      <c r="M177" s="1032"/>
    </row>
    <row r="178" spans="1:13" ht="15" customHeight="1">
      <c r="A178" s="988"/>
      <c r="B178" s="1628" t="s">
        <v>755</v>
      </c>
      <c r="C178" s="1682">
        <v>100</v>
      </c>
      <c r="D178" s="1435">
        <v>698</v>
      </c>
      <c r="E178" s="1218">
        <f t="shared" si="9"/>
        <v>798</v>
      </c>
      <c r="F178" s="1032"/>
      <c r="L178" s="1032">
        <f t="shared" si="8"/>
        <v>798</v>
      </c>
      <c r="M178" s="1032"/>
    </row>
    <row r="179" spans="1:13" ht="15" customHeight="1">
      <c r="A179" s="988"/>
      <c r="B179" s="1628" t="s">
        <v>756</v>
      </c>
      <c r="C179" s="1682">
        <v>6973</v>
      </c>
      <c r="D179" s="1435"/>
      <c r="E179" s="1218">
        <f t="shared" si="9"/>
        <v>6973</v>
      </c>
      <c r="F179" s="1032"/>
      <c r="H179" s="1790">
        <v>6972</v>
      </c>
      <c r="L179" s="1032">
        <f t="shared" si="8"/>
        <v>1</v>
      </c>
      <c r="M179" s="1032"/>
    </row>
    <row r="180" spans="1:13" ht="15" customHeight="1" thickBot="1">
      <c r="A180" s="988"/>
      <c r="B180" s="1628" t="s">
        <v>757</v>
      </c>
      <c r="C180" s="1682">
        <v>3892</v>
      </c>
      <c r="D180" s="1435"/>
      <c r="E180" s="1218">
        <f t="shared" si="9"/>
        <v>3892</v>
      </c>
      <c r="F180" s="1032"/>
      <c r="H180" s="1790">
        <v>3891</v>
      </c>
      <c r="L180" s="1032">
        <f t="shared" si="8"/>
        <v>1</v>
      </c>
      <c r="M180" s="1032"/>
    </row>
    <row r="181" spans="1:13" ht="15" customHeight="1" thickBot="1">
      <c r="A181" s="1701" t="s">
        <v>432</v>
      </c>
      <c r="B181" s="1629" t="s">
        <v>516</v>
      </c>
      <c r="C181" s="262">
        <f>SUM(C169:C180)</f>
        <v>30992</v>
      </c>
      <c r="D181" s="262">
        <f>SUM(D169:D180)</f>
        <v>488</v>
      </c>
      <c r="E181" s="262">
        <f>SUM(E169:E180)</f>
        <v>31480</v>
      </c>
      <c r="F181" s="1032"/>
      <c r="L181" s="1032">
        <f t="shared" si="8"/>
        <v>31480</v>
      </c>
      <c r="M181" s="1032"/>
    </row>
    <row r="182" spans="1:13" ht="15" customHeight="1" thickBot="1">
      <c r="A182" s="235" t="s">
        <v>490</v>
      </c>
      <c r="B182" s="1642" t="s">
        <v>507</v>
      </c>
      <c r="C182" s="262">
        <v>2950</v>
      </c>
      <c r="D182" s="1446"/>
      <c r="E182" s="262">
        <f>SUM(C182:D182)</f>
        <v>2950</v>
      </c>
      <c r="F182" s="1032"/>
      <c r="H182" s="1790">
        <v>2474</v>
      </c>
      <c r="I182" s="1517">
        <v>950</v>
      </c>
      <c r="J182" s="1468">
        <v>950</v>
      </c>
      <c r="L182" s="1032">
        <f t="shared" si="8"/>
        <v>476</v>
      </c>
      <c r="M182" s="1032"/>
    </row>
    <row r="183" spans="1:13" s="264" customFormat="1" ht="15" customHeight="1">
      <c r="A183" s="1995"/>
      <c r="B183" s="1643" t="s">
        <v>600</v>
      </c>
      <c r="C183" s="1370">
        <v>11439</v>
      </c>
      <c r="D183" s="1449">
        <v>-6000</v>
      </c>
      <c r="E183" s="216">
        <f t="shared" si="9"/>
        <v>5439</v>
      </c>
      <c r="F183" s="263"/>
      <c r="H183" s="1798">
        <f>450+1366</f>
        <v>1816</v>
      </c>
      <c r="I183" s="1517"/>
      <c r="J183" s="1468"/>
      <c r="L183" s="1032">
        <f t="shared" si="8"/>
        <v>3623</v>
      </c>
      <c r="M183" s="1032"/>
    </row>
    <row r="184" spans="1:13" s="264" customFormat="1" ht="15" customHeight="1">
      <c r="A184" s="1997"/>
      <c r="B184" s="1644" t="s">
        <v>768</v>
      </c>
      <c r="C184" s="1448">
        <v>9281</v>
      </c>
      <c r="D184" s="1453">
        <v>-736</v>
      </c>
      <c r="E184" s="217">
        <f t="shared" si="9"/>
        <v>8545</v>
      </c>
      <c r="F184" s="263"/>
      <c r="H184" s="1790"/>
      <c r="I184" s="1517"/>
      <c r="J184" s="1468"/>
      <c r="L184" s="1032">
        <f t="shared" si="8"/>
        <v>8545</v>
      </c>
      <c r="M184" s="1032"/>
    </row>
    <row r="185" spans="1:13" s="1703" customFormat="1" ht="15" customHeight="1">
      <c r="A185" s="1997"/>
      <c r="B185" s="1481" t="s">
        <v>779</v>
      </c>
      <c r="C185" s="1482">
        <v>633</v>
      </c>
      <c r="D185" s="1483"/>
      <c r="E185" s="1484">
        <f t="shared" si="9"/>
        <v>633</v>
      </c>
      <c r="F185" s="1702"/>
      <c r="H185" s="1794">
        <v>633</v>
      </c>
      <c r="I185" s="1541">
        <v>633</v>
      </c>
      <c r="J185" s="1485">
        <v>633</v>
      </c>
      <c r="L185" s="1032">
        <f t="shared" si="8"/>
        <v>0</v>
      </c>
      <c r="M185" s="1032"/>
    </row>
    <row r="186" spans="1:13" s="1703" customFormat="1" ht="15" customHeight="1">
      <c r="A186" s="1997"/>
      <c r="B186" s="1481" t="s">
        <v>780</v>
      </c>
      <c r="C186" s="1482">
        <v>432</v>
      </c>
      <c r="D186" s="1483"/>
      <c r="E186" s="1484">
        <f t="shared" si="9"/>
        <v>432</v>
      </c>
      <c r="F186" s="1702"/>
      <c r="H186" s="1794">
        <v>432</v>
      </c>
      <c r="I186" s="1541">
        <v>432</v>
      </c>
      <c r="J186" s="1485">
        <v>432</v>
      </c>
      <c r="L186" s="1032">
        <f t="shared" si="8"/>
        <v>0</v>
      </c>
      <c r="M186" s="1032"/>
    </row>
    <row r="187" spans="1:13" s="1703" customFormat="1" ht="15" customHeight="1">
      <c r="A187" s="1997"/>
      <c r="B187" s="1481" t="s">
        <v>781</v>
      </c>
      <c r="C187" s="1486">
        <v>122</v>
      </c>
      <c r="D187" s="1487"/>
      <c r="E187" s="1484">
        <f t="shared" si="9"/>
        <v>122</v>
      </c>
      <c r="F187" s="1702"/>
      <c r="H187" s="1794">
        <v>122</v>
      </c>
      <c r="I187" s="1541">
        <v>122</v>
      </c>
      <c r="J187" s="1485">
        <v>122</v>
      </c>
      <c r="L187" s="1032">
        <f t="shared" si="8"/>
        <v>0</v>
      </c>
      <c r="M187" s="1032"/>
    </row>
    <row r="188" spans="1:13" s="264" customFormat="1" ht="15" customHeight="1">
      <c r="A188" s="1997"/>
      <c r="B188" s="1644" t="s">
        <v>601</v>
      </c>
      <c r="C188" s="1447">
        <v>4089</v>
      </c>
      <c r="D188" s="1447"/>
      <c r="E188" s="1447">
        <f>SUM(C188:D188)</f>
        <v>4089</v>
      </c>
      <c r="F188" s="263"/>
      <c r="H188" s="1790"/>
      <c r="I188" s="1517"/>
      <c r="J188" s="1468"/>
      <c r="L188" s="1032">
        <f t="shared" si="8"/>
        <v>4089</v>
      </c>
      <c r="M188" s="1032"/>
    </row>
    <row r="189" spans="1:13" s="1534" customFormat="1" ht="15" customHeight="1">
      <c r="A189" s="1997"/>
      <c r="B189" s="1481" t="s">
        <v>771</v>
      </c>
      <c r="C189" s="1488">
        <v>2978</v>
      </c>
      <c r="D189" s="1489"/>
      <c r="E189" s="1484">
        <f t="shared" si="9"/>
        <v>2978</v>
      </c>
      <c r="F189" s="1533"/>
      <c r="H189" s="1794">
        <v>2978</v>
      </c>
      <c r="I189" s="1541">
        <v>2978</v>
      </c>
      <c r="J189" s="1485">
        <v>2978</v>
      </c>
      <c r="L189" s="1032">
        <f t="shared" si="8"/>
        <v>0</v>
      </c>
      <c r="M189" s="1032"/>
    </row>
    <row r="190" spans="1:13" s="1534" customFormat="1" ht="15" customHeight="1">
      <c r="A190" s="1997"/>
      <c r="B190" s="1481" t="s">
        <v>862</v>
      </c>
      <c r="C190" s="1488"/>
      <c r="D190" s="1489"/>
      <c r="E190" s="1484">
        <v>1111</v>
      </c>
      <c r="F190" s="1533"/>
      <c r="H190" s="1794">
        <v>1010</v>
      </c>
      <c r="I190" s="1541"/>
      <c r="J190" s="1485"/>
      <c r="L190" s="1032">
        <f t="shared" si="8"/>
        <v>101</v>
      </c>
      <c r="M190" s="1032"/>
    </row>
    <row r="191" spans="1:13" s="264" customFormat="1" ht="15" customHeight="1">
      <c r="A191" s="1997"/>
      <c r="B191" s="1450" t="s">
        <v>766</v>
      </c>
      <c r="C191" s="1448">
        <v>5187</v>
      </c>
      <c r="D191" s="1448"/>
      <c r="E191" s="1448">
        <f>SUM(C191:D191)</f>
        <v>5187</v>
      </c>
      <c r="F191" s="263"/>
      <c r="H191" s="1790"/>
      <c r="I191" s="1517"/>
      <c r="J191" s="1468"/>
      <c r="L191" s="1032">
        <f t="shared" si="8"/>
        <v>5187</v>
      </c>
      <c r="M191" s="1032"/>
    </row>
    <row r="192" spans="1:13" s="1534" customFormat="1" ht="15" customHeight="1">
      <c r="A192" s="1997"/>
      <c r="B192" s="1481" t="s">
        <v>772</v>
      </c>
      <c r="C192" s="1490">
        <v>3747</v>
      </c>
      <c r="D192" s="1491"/>
      <c r="E192" s="1492">
        <f>SUM(C192:D192)</f>
        <v>3747</v>
      </c>
      <c r="F192" s="1533"/>
      <c r="H192" s="1794">
        <v>3747</v>
      </c>
      <c r="I192" s="1541">
        <v>3747</v>
      </c>
      <c r="J192" s="1485">
        <v>3747</v>
      </c>
      <c r="L192" s="1032">
        <f t="shared" si="8"/>
        <v>0</v>
      </c>
      <c r="M192" s="1032"/>
    </row>
    <row r="193" spans="1:13" s="1534" customFormat="1" ht="15" customHeight="1">
      <c r="A193" s="1997"/>
      <c r="B193" s="1481" t="s">
        <v>797</v>
      </c>
      <c r="C193" s="1490">
        <v>268</v>
      </c>
      <c r="D193" s="1491"/>
      <c r="E193" s="1492">
        <f>SUM(C193:D193)</f>
        <v>268</v>
      </c>
      <c r="F193" s="1533"/>
      <c r="H193" s="1794">
        <v>223</v>
      </c>
      <c r="I193" s="1541">
        <v>223</v>
      </c>
      <c r="J193" s="1485">
        <v>223</v>
      </c>
      <c r="L193" s="1032">
        <f t="shared" si="8"/>
        <v>45</v>
      </c>
      <c r="M193" s="1032"/>
    </row>
    <row r="194" spans="1:13" s="1534" customFormat="1" ht="15" customHeight="1">
      <c r="A194" s="1997"/>
      <c r="B194" s="1481" t="s">
        <v>798</v>
      </c>
      <c r="C194" s="1490">
        <v>474</v>
      </c>
      <c r="D194" s="1491"/>
      <c r="E194" s="1492">
        <f>SUM(C194:D194)</f>
        <v>474</v>
      </c>
      <c r="F194" s="1533"/>
      <c r="H194" s="1794">
        <v>431</v>
      </c>
      <c r="I194" s="1541"/>
      <c r="J194" s="1485"/>
      <c r="L194" s="1032">
        <f t="shared" si="8"/>
        <v>43</v>
      </c>
      <c r="M194" s="1032"/>
    </row>
    <row r="195" spans="1:13" s="1534" customFormat="1" ht="15" customHeight="1" thickBot="1">
      <c r="A195" s="1996"/>
      <c r="B195" s="1481" t="s">
        <v>863</v>
      </c>
      <c r="C195" s="1516">
        <v>698</v>
      </c>
      <c r="D195" s="1487"/>
      <c r="E195" s="1520">
        <v>698</v>
      </c>
      <c r="F195" s="1533"/>
      <c r="H195" s="1794"/>
      <c r="I195" s="1541"/>
      <c r="J195" s="1485"/>
      <c r="L195" s="1032">
        <f t="shared" si="8"/>
        <v>698</v>
      </c>
      <c r="M195" s="1032"/>
    </row>
    <row r="196" spans="1:13" ht="15" customHeight="1" thickBot="1">
      <c r="A196" s="1264" t="s">
        <v>328</v>
      </c>
      <c r="B196" s="1645" t="s">
        <v>208</v>
      </c>
      <c r="C196" s="1263">
        <f>C183+C184+C188+C191</f>
        <v>29996</v>
      </c>
      <c r="D196" s="1263">
        <f>D183+D184+D188+D191</f>
        <v>-6736</v>
      </c>
      <c r="E196" s="1263">
        <f>E183+E184+E188+E191</f>
        <v>23260</v>
      </c>
      <c r="F196" s="1032"/>
      <c r="K196" s="1688"/>
      <c r="L196" s="1032">
        <f t="shared" si="8"/>
        <v>23260</v>
      </c>
      <c r="M196" s="1032"/>
    </row>
    <row r="197" spans="1:13" ht="15" customHeight="1" thickBot="1">
      <c r="A197" s="294">
        <v>10</v>
      </c>
      <c r="B197" s="1621" t="s">
        <v>767</v>
      </c>
      <c r="C197" s="214">
        <f>C133+C135+C147+C149+C156+C158+C160+C166+C168+C181+C196+C182</f>
        <v>92841</v>
      </c>
      <c r="D197" s="214">
        <f>D133+D135+D147+D149+D156+D158+D160+D166+D168+D181+D196+D182</f>
        <v>-6761</v>
      </c>
      <c r="E197" s="214">
        <f>E133+E135+E147+E149+E156+E158+E160+E166+E168+E181+E196+E182</f>
        <v>86080</v>
      </c>
      <c r="F197" s="1032">
        <f>SUM(C197:D197)</f>
        <v>86080</v>
      </c>
      <c r="K197" s="1688"/>
      <c r="L197" s="1032">
        <f t="shared" si="8"/>
        <v>86080</v>
      </c>
      <c r="M197" s="1032"/>
    </row>
    <row r="198" spans="1:13" ht="15" customHeight="1" thickBot="1">
      <c r="A198" s="1704" t="s">
        <v>95</v>
      </c>
      <c r="B198" s="1646" t="s">
        <v>777</v>
      </c>
      <c r="C198" s="220">
        <f>C197+C119+C117+C107+C32+C29+C25+C19+C22+C129</f>
        <v>3215137</v>
      </c>
      <c r="D198" s="1321">
        <f>D197+D119+D117+D107+D32+D29+D25+D19+D22+D129</f>
        <v>38262</v>
      </c>
      <c r="E198" s="220">
        <f>E197+E119+E117+E107+E32+E29+E25+E19+E22+E129</f>
        <v>3253399</v>
      </c>
      <c r="F198" s="1705">
        <f>C198+D198</f>
        <v>3253399</v>
      </c>
      <c r="G198" s="1032">
        <f>'hivatal5 '!E24</f>
        <v>3253399</v>
      </c>
      <c r="K198" s="1706"/>
      <c r="L198" s="1032">
        <f t="shared" si="8"/>
        <v>3253399</v>
      </c>
      <c r="M198" s="1032"/>
    </row>
    <row r="199" spans="1:13" s="724" customFormat="1" ht="15" customHeight="1">
      <c r="A199" s="1707" t="s">
        <v>102</v>
      </c>
      <c r="B199" s="1647" t="s">
        <v>758</v>
      </c>
      <c r="C199" s="1065">
        <f>hivatal1!C24</f>
        <v>200</v>
      </c>
      <c r="D199" s="1065">
        <f>hivatal1!D24</f>
        <v>2568</v>
      </c>
      <c r="E199" s="1066">
        <f aca="true" t="shared" si="10" ref="E199:E212">SUM(C199:D199)</f>
        <v>2768</v>
      </c>
      <c r="F199" s="1705"/>
      <c r="G199" s="725"/>
      <c r="H199" s="1791">
        <v>267</v>
      </c>
      <c r="I199" s="1523">
        <v>166</v>
      </c>
      <c r="J199" s="1470">
        <v>166</v>
      </c>
      <c r="K199" s="1706"/>
      <c r="L199" s="1032">
        <f t="shared" si="8"/>
        <v>2501</v>
      </c>
      <c r="M199" s="1032"/>
    </row>
    <row r="200" spans="1:13" ht="15" customHeight="1">
      <c r="A200" s="1708" t="s">
        <v>105</v>
      </c>
      <c r="B200" s="1648" t="s">
        <v>673</v>
      </c>
      <c r="C200" s="211">
        <f>+hivatal1!I24</f>
        <v>43345</v>
      </c>
      <c r="D200" s="211">
        <f>+hivatal1!J24</f>
        <v>-18095</v>
      </c>
      <c r="E200" s="217">
        <f t="shared" si="10"/>
        <v>25250</v>
      </c>
      <c r="H200" s="1790">
        <v>770</v>
      </c>
      <c r="I200" s="1517">
        <v>770</v>
      </c>
      <c r="K200" s="1688"/>
      <c r="L200" s="1032">
        <f t="shared" si="8"/>
        <v>24480</v>
      </c>
      <c r="M200" s="1032"/>
    </row>
    <row r="201" spans="1:13" ht="15" customHeight="1">
      <c r="A201" s="1709" t="s">
        <v>106</v>
      </c>
      <c r="B201" s="1649" t="s">
        <v>773</v>
      </c>
      <c r="C201" s="1378">
        <f>+hivatal1!L24</f>
        <v>3500</v>
      </c>
      <c r="D201" s="1378">
        <f>+hivatal1!M24</f>
        <v>-2000</v>
      </c>
      <c r="E201" s="217">
        <f t="shared" si="10"/>
        <v>1500</v>
      </c>
      <c r="H201" s="1790">
        <v>950</v>
      </c>
      <c r="K201" s="1688"/>
      <c r="L201" s="1032">
        <f t="shared" si="8"/>
        <v>550</v>
      </c>
      <c r="M201" s="1032"/>
    </row>
    <row r="202" spans="1:13" ht="15" customHeight="1">
      <c r="A202" s="1709" t="s">
        <v>107</v>
      </c>
      <c r="B202" s="1650" t="s">
        <v>774</v>
      </c>
      <c r="C202" s="1379">
        <f>+hivatal2!F24</f>
        <v>9727</v>
      </c>
      <c r="D202" s="1379">
        <f>+hivatal2!G24</f>
        <v>0</v>
      </c>
      <c r="E202" s="216">
        <f t="shared" si="10"/>
        <v>9727</v>
      </c>
      <c r="K202" s="1688"/>
      <c r="L202" s="1032">
        <f t="shared" si="8"/>
        <v>9727</v>
      </c>
      <c r="M202" s="1032"/>
    </row>
    <row r="203" spans="1:13" ht="15" customHeight="1">
      <c r="A203" s="1708" t="s">
        <v>326</v>
      </c>
      <c r="B203" s="1648" t="s">
        <v>520</v>
      </c>
      <c r="C203" s="215">
        <f>hivatal2!O24</f>
        <v>2000</v>
      </c>
      <c r="D203" s="215">
        <f>hivatal2!P24</f>
        <v>-2000</v>
      </c>
      <c r="E203" s="216">
        <f t="shared" si="10"/>
        <v>0</v>
      </c>
      <c r="K203" s="1688"/>
      <c r="L203" s="1032">
        <f t="shared" si="8"/>
        <v>0</v>
      </c>
      <c r="M203" s="1032"/>
    </row>
    <row r="204" spans="1:13" ht="15" customHeight="1">
      <c r="A204" s="1708" t="s">
        <v>327</v>
      </c>
      <c r="B204" s="1649" t="s">
        <v>442</v>
      </c>
      <c r="C204" s="1378">
        <f>+hivatal4!C24</f>
        <v>2884</v>
      </c>
      <c r="D204" s="1378">
        <f>+hivatal4!D24</f>
        <v>0</v>
      </c>
      <c r="E204" s="217">
        <f t="shared" si="10"/>
        <v>2884</v>
      </c>
      <c r="K204" s="1688"/>
      <c r="L204" s="1032">
        <f t="shared" si="8"/>
        <v>2884</v>
      </c>
      <c r="M204" s="1032"/>
    </row>
    <row r="205" spans="1:13" ht="15" customHeight="1">
      <c r="A205" s="1709" t="s">
        <v>110</v>
      </c>
      <c r="B205" s="1651" t="s">
        <v>325</v>
      </c>
      <c r="C205" s="211">
        <f>hivatal4!F24</f>
        <v>26576</v>
      </c>
      <c r="D205" s="211">
        <f>hivatal4!G24</f>
        <v>-50</v>
      </c>
      <c r="E205" s="217">
        <f t="shared" si="10"/>
        <v>26526</v>
      </c>
      <c r="H205" s="1790">
        <v>191</v>
      </c>
      <c r="I205" s="1517">
        <v>191</v>
      </c>
      <c r="K205" s="1688"/>
      <c r="L205" s="1032">
        <f t="shared" si="8"/>
        <v>26335</v>
      </c>
      <c r="M205" s="1032"/>
    </row>
    <row r="206" spans="1:13" ht="16.5" customHeight="1">
      <c r="A206" s="1709" t="s">
        <v>122</v>
      </c>
      <c r="B206" s="1648" t="s">
        <v>521</v>
      </c>
      <c r="C206" s="211">
        <f>hivatal4!I24</f>
        <v>159769</v>
      </c>
      <c r="D206" s="211">
        <f>hivatal4!J24</f>
        <v>-223</v>
      </c>
      <c r="E206" s="217">
        <f t="shared" si="10"/>
        <v>159546</v>
      </c>
      <c r="H206" s="1790">
        <v>45172</v>
      </c>
      <c r="I206" s="1517">
        <v>38192</v>
      </c>
      <c r="J206" s="1468">
        <v>14546</v>
      </c>
      <c r="K206" s="1688"/>
      <c r="L206" s="1032">
        <f t="shared" si="8"/>
        <v>114374</v>
      </c>
      <c r="M206" s="1032"/>
    </row>
    <row r="207" spans="1:13" ht="15" customHeight="1">
      <c r="A207" s="1708" t="s">
        <v>334</v>
      </c>
      <c r="B207" s="1651" t="s">
        <v>519</v>
      </c>
      <c r="C207" s="211">
        <f>hivatal4!L24</f>
        <v>170191</v>
      </c>
      <c r="D207" s="211">
        <f>hivatal4!M24</f>
        <v>-25292</v>
      </c>
      <c r="E207" s="217">
        <f t="shared" si="10"/>
        <v>144899</v>
      </c>
      <c r="H207" s="1790">
        <v>114090</v>
      </c>
      <c r="I207" s="1517">
        <v>65313</v>
      </c>
      <c r="J207" s="1468">
        <v>37788</v>
      </c>
      <c r="K207" s="1688"/>
      <c r="L207" s="1032">
        <f t="shared" si="8"/>
        <v>30809</v>
      </c>
      <c r="M207" s="1032"/>
    </row>
    <row r="208" spans="1:13" ht="15" customHeight="1">
      <c r="A208" s="1708" t="s">
        <v>618</v>
      </c>
      <c r="B208" s="1648" t="s">
        <v>775</v>
      </c>
      <c r="C208" s="211">
        <f>'hivatal5 '!I24</f>
        <v>311376</v>
      </c>
      <c r="D208" s="211">
        <f>'hivatal5 '!J24</f>
        <v>41249</v>
      </c>
      <c r="E208" s="217">
        <f t="shared" si="10"/>
        <v>352625</v>
      </c>
      <c r="H208" s="1790">
        <v>270016</v>
      </c>
      <c r="I208" s="1517">
        <v>217816</v>
      </c>
      <c r="J208" s="1468">
        <v>916</v>
      </c>
      <c r="K208" s="1688"/>
      <c r="L208" s="1032">
        <f t="shared" si="8"/>
        <v>82609</v>
      </c>
      <c r="M208" s="1032"/>
    </row>
    <row r="209" spans="1:13" ht="15" customHeight="1">
      <c r="A209" s="1709" t="s">
        <v>759</v>
      </c>
      <c r="B209" s="1648" t="s">
        <v>546</v>
      </c>
      <c r="C209" s="211">
        <f>'hivatal5 '!O24</f>
        <v>2432</v>
      </c>
      <c r="D209" s="211">
        <f>'hivatal5 '!P24</f>
        <v>1772</v>
      </c>
      <c r="E209" s="217">
        <f t="shared" si="10"/>
        <v>4204</v>
      </c>
      <c r="H209" s="1790">
        <v>4203</v>
      </c>
      <c r="I209" s="1517">
        <v>2432</v>
      </c>
      <c r="J209" s="1468">
        <v>2432</v>
      </c>
      <c r="K209" s="1688"/>
      <c r="L209" s="1032">
        <f t="shared" si="8"/>
        <v>1</v>
      </c>
      <c r="M209" s="1032"/>
    </row>
    <row r="210" spans="1:15" ht="13.5" customHeight="1">
      <c r="A210" s="1709" t="s">
        <v>761</v>
      </c>
      <c r="B210" s="1651" t="s">
        <v>760</v>
      </c>
      <c r="C210" s="211">
        <f>hivatal6!C24</f>
        <v>12</v>
      </c>
      <c r="D210" s="211">
        <f>hivatal6!D24</f>
        <v>0</v>
      </c>
      <c r="E210" s="1218">
        <f t="shared" si="10"/>
        <v>12</v>
      </c>
      <c r="K210" s="1710"/>
      <c r="L210" s="1032">
        <f t="shared" si="8"/>
        <v>12</v>
      </c>
      <c r="M210" s="1032"/>
      <c r="O210" s="1032"/>
    </row>
    <row r="211" spans="1:15" ht="13.5" customHeight="1">
      <c r="A211" s="1709" t="s">
        <v>764</v>
      </c>
      <c r="B211" s="1651" t="s">
        <v>762</v>
      </c>
      <c r="C211" s="211">
        <f>hivatal6!F24</f>
        <v>475991</v>
      </c>
      <c r="D211" s="211">
        <f>hivatal6!G24</f>
        <v>-25584</v>
      </c>
      <c r="E211" s="217">
        <f t="shared" si="10"/>
        <v>450407</v>
      </c>
      <c r="H211" s="1790">
        <v>449034</v>
      </c>
      <c r="I211" s="1517">
        <v>448633</v>
      </c>
      <c r="J211" s="1468">
        <v>346705</v>
      </c>
      <c r="K211" s="1710"/>
      <c r="L211" s="1032">
        <f t="shared" si="8"/>
        <v>1373</v>
      </c>
      <c r="M211" s="1032"/>
      <c r="O211" s="1032"/>
    </row>
    <row r="212" spans="1:13" ht="12.75">
      <c r="A212" s="1780" t="s">
        <v>765</v>
      </c>
      <c r="B212" s="1752" t="s">
        <v>763</v>
      </c>
      <c r="C212" s="1753">
        <f>hivatal6!L24</f>
        <v>41561</v>
      </c>
      <c r="D212" s="1753">
        <f>hivatal6!M24</f>
        <v>0</v>
      </c>
      <c r="E212" s="1754">
        <f t="shared" si="10"/>
        <v>41561</v>
      </c>
      <c r="H212" s="1790">
        <v>41447</v>
      </c>
      <c r="I212" s="1517">
        <v>41162</v>
      </c>
      <c r="J212" s="1468">
        <v>33284</v>
      </c>
      <c r="L212" s="1032">
        <f t="shared" si="8"/>
        <v>114</v>
      </c>
      <c r="M212" s="1032"/>
    </row>
    <row r="213" spans="1:13" ht="13.5" thickBot="1">
      <c r="A213" s="1781" t="s">
        <v>897</v>
      </c>
      <c r="B213" s="1751" t="s">
        <v>674</v>
      </c>
      <c r="C213" s="1514">
        <f>hivatal6!O24</f>
        <v>314531</v>
      </c>
      <c r="D213" s="1514">
        <f>hivatal6!P24</f>
        <v>3000</v>
      </c>
      <c r="E213" s="1515">
        <f>SUM(C213:D213)</f>
        <v>317531</v>
      </c>
      <c r="H213" s="1790">
        <v>75711</v>
      </c>
      <c r="L213" s="1032">
        <f t="shared" si="8"/>
        <v>241820</v>
      </c>
      <c r="M213" s="1032"/>
    </row>
    <row r="214" spans="1:13" ht="15" customHeight="1" thickBot="1" thickTop="1">
      <c r="A214" s="1711" t="s">
        <v>120</v>
      </c>
      <c r="B214" s="1652" t="s">
        <v>904</v>
      </c>
      <c r="C214" s="1189">
        <f>SUM(C198:C213)</f>
        <v>4779232</v>
      </c>
      <c r="D214" s="1189">
        <f>SUM(D198:D213)</f>
        <v>13607</v>
      </c>
      <c r="E214" s="1189">
        <f>SUM(E198:E213)</f>
        <v>4792839</v>
      </c>
      <c r="F214" s="1528">
        <f>SUM(C214:D214)</f>
        <v>4792839</v>
      </c>
      <c r="G214" s="1529"/>
      <c r="H214" s="1792"/>
      <c r="I214" s="1530"/>
      <c r="K214" s="1688"/>
      <c r="M214" s="1032"/>
    </row>
    <row r="215" spans="1:13" ht="15" customHeight="1" thickBot="1" thickTop="1">
      <c r="A215" s="1712" t="s">
        <v>121</v>
      </c>
      <c r="B215" s="1653" t="s">
        <v>199</v>
      </c>
      <c r="C215" s="222">
        <f>hivatal9!F24</f>
        <v>121486</v>
      </c>
      <c r="D215" s="223">
        <f>hivatal9!G24</f>
        <v>7231</v>
      </c>
      <c r="E215" s="223">
        <f>SUM(C215:D215)</f>
        <v>128717</v>
      </c>
      <c r="F215" s="1528">
        <f>SUM(C215:D215)</f>
        <v>128717</v>
      </c>
      <c r="G215" s="1529"/>
      <c r="H215" s="1792"/>
      <c r="I215" s="1530"/>
      <c r="K215" s="1688"/>
      <c r="M215" s="1032"/>
    </row>
    <row r="216" spans="1:13" ht="15" customHeight="1" thickBot="1" thickTop="1">
      <c r="A216" s="1713"/>
      <c r="B216" s="1654" t="s">
        <v>776</v>
      </c>
      <c r="C216" s="224">
        <f>SUM(C214:C215)</f>
        <v>4900718</v>
      </c>
      <c r="D216" s="1322">
        <f>SUM(D214:D215)</f>
        <v>20838</v>
      </c>
      <c r="E216" s="224">
        <f>SUM(E214:E215)</f>
        <v>4921556</v>
      </c>
      <c r="F216" s="1528">
        <f>SUM(C216:D216)</f>
        <v>4921556</v>
      </c>
      <c r="G216" s="1528">
        <f>hivatal9!K24</f>
        <v>4921556</v>
      </c>
      <c r="H216" s="1792">
        <f>SUM(H8:H215)</f>
        <v>2971554</v>
      </c>
      <c r="I216" s="1530">
        <f>SUM(I8:I215)</f>
        <v>1849189</v>
      </c>
      <c r="J216" s="1468">
        <f>SUM(J8:J215)</f>
        <v>685076</v>
      </c>
      <c r="M216" s="1032"/>
    </row>
    <row r="217" spans="1:5" ht="10.5" customHeight="1">
      <c r="A217" s="1714"/>
      <c r="B217" s="1715"/>
      <c r="C217" s="1716"/>
      <c r="D217" s="1717"/>
      <c r="E217" s="1718"/>
    </row>
    <row r="218" spans="1:5" ht="10.5" customHeight="1">
      <c r="A218" s="1714"/>
      <c r="B218" s="1715"/>
      <c r="C218" s="1716"/>
      <c r="D218" s="1717"/>
      <c r="E218" s="1718"/>
    </row>
    <row r="219" spans="1:5" ht="10.5" customHeight="1">
      <c r="A219" s="1714"/>
      <c r="B219" s="1719"/>
      <c r="C219" s="1720"/>
      <c r="D219" s="1717"/>
      <c r="E219" s="1718"/>
    </row>
    <row r="220" spans="1:5" ht="12.75">
      <c r="A220" s="1714"/>
      <c r="B220" s="1719"/>
      <c r="C220" s="1720"/>
      <c r="D220" s="1717"/>
      <c r="E220" s="1718"/>
    </row>
    <row r="221" spans="1:5" ht="12.75">
      <c r="A221" s="1721"/>
      <c r="B221" s="1722"/>
      <c r="C221" s="1721"/>
      <c r="D221" s="1723"/>
      <c r="E221" s="1724"/>
    </row>
    <row r="222" spans="1:5" ht="15">
      <c r="A222" s="1725"/>
      <c r="B222" s="1726"/>
      <c r="C222" s="1721"/>
      <c r="D222" s="1727"/>
      <c r="E222" s="1721"/>
    </row>
    <row r="223" spans="1:5" ht="12" customHeight="1">
      <c r="A223" s="1728"/>
      <c r="B223" s="1729"/>
      <c r="C223" s="1730"/>
      <c r="D223" s="1730"/>
      <c r="E223" s="1730"/>
    </row>
    <row r="224" spans="1:5" ht="12" customHeight="1">
      <c r="A224" s="1728"/>
      <c r="B224" s="1729"/>
      <c r="C224" s="1730"/>
      <c r="D224" s="1730"/>
      <c r="E224" s="1730"/>
    </row>
    <row r="225" spans="1:10" s="1733" customFormat="1" ht="10.5" customHeight="1">
      <c r="A225" s="1731"/>
      <c r="B225" s="1726"/>
      <c r="C225" s="1732"/>
      <c r="D225" s="1732"/>
      <c r="E225" s="1732"/>
      <c r="H225" s="1795"/>
      <c r="I225" s="1538"/>
      <c r="J225" s="1472"/>
    </row>
    <row r="226" spans="1:5" ht="12" customHeight="1">
      <c r="A226" s="1714"/>
      <c r="B226" s="1719"/>
      <c r="C226" s="1734"/>
      <c r="D226" s="1734"/>
      <c r="E226" s="1732"/>
    </row>
    <row r="227" spans="1:5" ht="12" customHeight="1">
      <c r="A227" s="1728"/>
      <c r="B227" s="1726"/>
      <c r="C227" s="1732"/>
      <c r="D227" s="1732"/>
      <c r="E227" s="1732"/>
    </row>
    <row r="228" spans="1:5" ht="12" customHeight="1">
      <c r="A228" s="1728"/>
      <c r="B228" s="1719"/>
      <c r="C228" s="1732"/>
      <c r="D228" s="1732"/>
      <c r="E228" s="1732"/>
    </row>
    <row r="229" spans="1:5" ht="12" customHeight="1">
      <c r="A229" s="1728"/>
      <c r="B229" s="1729"/>
      <c r="C229" s="1732"/>
      <c r="D229" s="1732"/>
      <c r="E229" s="1732"/>
    </row>
    <row r="230" spans="1:5" ht="12" customHeight="1">
      <c r="A230" s="1728"/>
      <c r="B230" s="1719"/>
      <c r="C230" s="1732"/>
      <c r="D230" s="1732"/>
      <c r="E230" s="1732"/>
    </row>
    <row r="231" spans="1:5" ht="12" customHeight="1">
      <c r="A231" s="1728"/>
      <c r="B231" s="1719"/>
      <c r="C231" s="1732"/>
      <c r="D231" s="1732"/>
      <c r="E231" s="1732"/>
    </row>
    <row r="232" spans="1:5" ht="12" customHeight="1">
      <c r="A232" s="1728"/>
      <c r="B232" s="1729"/>
      <c r="C232" s="1732"/>
      <c r="D232" s="1732"/>
      <c r="E232" s="1732"/>
    </row>
    <row r="233" spans="1:6" ht="12" customHeight="1">
      <c r="A233" s="1728"/>
      <c r="B233" s="1729"/>
      <c r="C233" s="1732"/>
      <c r="D233" s="1732"/>
      <c r="E233" s="1732"/>
      <c r="F233" s="1032"/>
    </row>
    <row r="234" spans="1:6" ht="12" customHeight="1">
      <c r="A234" s="1714"/>
      <c r="B234" s="1719"/>
      <c r="C234" s="1734"/>
      <c r="D234" s="1734"/>
      <c r="E234" s="1732"/>
      <c r="F234" s="1032"/>
    </row>
    <row r="235" spans="1:6" ht="12" customHeight="1">
      <c r="A235" s="1714"/>
      <c r="B235" s="1719"/>
      <c r="C235" s="1734"/>
      <c r="D235" s="1734"/>
      <c r="E235" s="1732"/>
      <c r="F235" s="1032"/>
    </row>
    <row r="236" spans="1:6" ht="12" customHeight="1">
      <c r="A236" s="1714"/>
      <c r="B236" s="1719"/>
      <c r="C236" s="1734"/>
      <c r="D236" s="1734"/>
      <c r="E236" s="1732"/>
      <c r="F236" s="1032"/>
    </row>
    <row r="237" spans="1:6" ht="12" customHeight="1">
      <c r="A237" s="1714"/>
      <c r="B237" s="1719"/>
      <c r="C237" s="1734"/>
      <c r="D237" s="1734"/>
      <c r="E237" s="1732"/>
      <c r="F237" s="1032"/>
    </row>
    <row r="238" spans="1:6" ht="12" customHeight="1">
      <c r="A238" s="1714"/>
      <c r="B238" s="1719"/>
      <c r="C238" s="1734"/>
      <c r="D238" s="1734"/>
      <c r="E238" s="1732"/>
      <c r="F238" s="1032"/>
    </row>
    <row r="239" spans="1:6" ht="12" customHeight="1">
      <c r="A239" s="1714"/>
      <c r="B239" s="1719"/>
      <c r="C239" s="1734"/>
      <c r="D239" s="1734"/>
      <c r="E239" s="1732"/>
      <c r="F239" s="1032"/>
    </row>
    <row r="240" spans="1:6" ht="12" customHeight="1">
      <c r="A240" s="1714"/>
      <c r="B240" s="1719"/>
      <c r="C240" s="1734"/>
      <c r="D240" s="1734"/>
      <c r="E240" s="1732"/>
      <c r="F240" s="1032"/>
    </row>
    <row r="241" spans="1:6" ht="12" customHeight="1">
      <c r="A241" s="1714"/>
      <c r="B241" s="1719"/>
      <c r="C241" s="1734"/>
      <c r="D241" s="1734"/>
      <c r="E241" s="1732"/>
      <c r="F241" s="1032"/>
    </row>
    <row r="242" spans="1:6" ht="12" customHeight="1">
      <c r="A242" s="1714"/>
      <c r="B242" s="1719"/>
      <c r="C242" s="1734"/>
      <c r="D242" s="1734"/>
      <c r="E242" s="1732"/>
      <c r="F242" s="1032"/>
    </row>
    <row r="243" spans="1:6" ht="12" customHeight="1">
      <c r="A243" s="1728"/>
      <c r="B243" s="1729"/>
      <c r="C243" s="1732"/>
      <c r="D243" s="1732"/>
      <c r="E243" s="1732"/>
      <c r="F243" s="1032"/>
    </row>
    <row r="244" spans="1:6" ht="12" customHeight="1">
      <c r="A244" s="1714"/>
      <c r="B244" s="1719"/>
      <c r="C244" s="1735"/>
      <c r="D244" s="1734"/>
      <c r="E244" s="1736"/>
      <c r="F244" s="1032"/>
    </row>
    <row r="245" spans="1:5" ht="12" customHeight="1">
      <c r="A245" s="1728"/>
      <c r="B245" s="1729"/>
      <c r="C245" s="1732"/>
      <c r="D245" s="1732"/>
      <c r="E245" s="1732"/>
    </row>
    <row r="246" spans="1:5" ht="12.75">
      <c r="A246" s="1525"/>
      <c r="B246" s="1737"/>
      <c r="C246" s="1525"/>
      <c r="D246" s="1705"/>
      <c r="E246" s="1738"/>
    </row>
    <row r="247" spans="1:5" ht="12.75">
      <c r="A247" s="1525"/>
      <c r="B247" s="1737"/>
      <c r="C247" s="1525"/>
      <c r="D247" s="1705"/>
      <c r="E247" s="1738"/>
    </row>
  </sheetData>
  <sheetProtection/>
  <mergeCells count="6">
    <mergeCell ref="A3:E3"/>
    <mergeCell ref="A4:E4"/>
    <mergeCell ref="A30:A31"/>
    <mergeCell ref="A120:A124"/>
    <mergeCell ref="A183:A195"/>
    <mergeCell ref="A108:A116"/>
  </mergeCells>
  <printOptions horizontalCentered="1" verticalCentered="1"/>
  <pageMargins left="0.5118110236220472" right="0.35433070866141736" top="0.15748031496062992" bottom="0.31496062992125984" header="0.1968503937007874" footer="0.15748031496062992"/>
  <pageSetup fitToHeight="2" horizontalDpi="600" verticalDpi="600" orientation="portrait" paperSize="9" scale="61" r:id="rId1"/>
  <headerFooter alignWithMargins="0">
    <oddHeader>&amp;R8. melléklet  az 1/2020.(II.24.) számú
Önkormányzati rendelethez
&amp;P. oldal</oddHeader>
    <oddFooter>&amp;L&amp;F&amp;C&amp;D, &amp;T&amp;R&amp;A</oddFooter>
  </headerFooter>
  <rowBreaks count="2" manualBreakCount="2">
    <brk id="77" max="4" man="1"/>
    <brk id="14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A41"/>
  <sheetViews>
    <sheetView showGridLines="0" zoomScale="80" zoomScaleNormal="80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108.375" style="0" bestFit="1" customWidth="1"/>
    <col min="4" max="4" width="14.625" style="0" customWidth="1"/>
    <col min="5" max="5" width="15.50390625" style="18" customWidth="1"/>
    <col min="6" max="6" width="16.5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03" t="s">
        <v>950</v>
      </c>
    </row>
    <row r="2" spans="1:6" ht="12.75">
      <c r="A2" s="1"/>
      <c r="E2" s="27"/>
      <c r="F2" s="103" t="s">
        <v>93</v>
      </c>
    </row>
    <row r="3" spans="1:4" ht="12" customHeight="1">
      <c r="A3" s="1"/>
      <c r="D3" s="17"/>
    </row>
    <row r="4" spans="1:6" ht="45.75" customHeight="1">
      <c r="A4" s="19" t="s">
        <v>648</v>
      </c>
      <c r="B4" s="19"/>
      <c r="C4" s="6"/>
      <c r="D4" s="19"/>
      <c r="E4" s="49"/>
      <c r="F4" s="50"/>
    </row>
    <row r="5" spans="1:6" ht="15.75">
      <c r="A5" s="19" t="s">
        <v>572</v>
      </c>
      <c r="B5" s="19"/>
      <c r="C5" s="12"/>
      <c r="D5" s="19"/>
      <c r="E5" s="49"/>
      <c r="F5" s="50"/>
    </row>
    <row r="6" spans="1:6" ht="56.25" customHeight="1" thickBot="1">
      <c r="A6" s="1"/>
      <c r="D6" s="17"/>
      <c r="F6" s="13" t="s">
        <v>134</v>
      </c>
    </row>
    <row r="7" spans="1:6" s="88" customFormat="1" ht="33" customHeight="1" thickBot="1">
      <c r="A7" s="20" t="s">
        <v>185</v>
      </c>
      <c r="B7" s="21"/>
      <c r="C7" s="64" t="s">
        <v>186</v>
      </c>
      <c r="D7" s="1467" t="s">
        <v>792</v>
      </c>
      <c r="E7" s="1741" t="s">
        <v>130</v>
      </c>
      <c r="F7" s="126" t="s">
        <v>658</v>
      </c>
    </row>
    <row r="8" spans="1:6" ht="13.5" thickBot="1">
      <c r="A8" s="43">
        <v>1</v>
      </c>
      <c r="B8" s="44">
        <v>2</v>
      </c>
      <c r="C8" s="45"/>
      <c r="D8" s="1324">
        <v>3</v>
      </c>
      <c r="E8" s="1325">
        <v>4</v>
      </c>
      <c r="F8" s="1326">
        <v>5</v>
      </c>
    </row>
    <row r="9" spans="1:11" s="540" customFormat="1" ht="24.75" customHeight="1" thickBot="1">
      <c r="A9" s="310" t="s">
        <v>95</v>
      </c>
      <c r="B9" s="2002" t="s">
        <v>187</v>
      </c>
      <c r="C9" s="2003"/>
      <c r="D9" s="572">
        <v>151893</v>
      </c>
      <c r="E9" s="573">
        <f>F9-D9</f>
        <v>20177</v>
      </c>
      <c r="F9" s="574">
        <v>172070</v>
      </c>
      <c r="G9" s="541" t="s">
        <v>490</v>
      </c>
      <c r="I9" s="687"/>
      <c r="K9" s="541"/>
    </row>
    <row r="10" spans="1:11" s="545" customFormat="1" ht="18.75" customHeight="1">
      <c r="A10" s="542"/>
      <c r="B10" s="543" t="s">
        <v>188</v>
      </c>
      <c r="C10" s="544"/>
      <c r="D10" s="1191"/>
      <c r="E10" s="1192"/>
      <c r="F10" s="1193"/>
      <c r="I10" s="88"/>
      <c r="J10" s="546"/>
      <c r="K10" s="547"/>
    </row>
    <row r="11" spans="1:11" s="545" customFormat="1" ht="18.75" customHeight="1">
      <c r="A11" s="542"/>
      <c r="B11" s="550"/>
      <c r="C11" s="132" t="s">
        <v>66</v>
      </c>
      <c r="D11" s="1406">
        <v>30069</v>
      </c>
      <c r="E11" s="551">
        <f>-29563-506</f>
        <v>-30069</v>
      </c>
      <c r="F11" s="548">
        <f aca="true" t="shared" si="0" ref="F11:F16">SUM(D11:E11)</f>
        <v>0</v>
      </c>
      <c r="G11" s="549" t="s">
        <v>490</v>
      </c>
      <c r="I11" s="88"/>
      <c r="J11" s="546"/>
      <c r="K11" s="547"/>
    </row>
    <row r="12" spans="1:11" s="545" customFormat="1" ht="18.75" customHeight="1">
      <c r="A12" s="542"/>
      <c r="B12" s="550"/>
      <c r="C12" s="552" t="s">
        <v>141</v>
      </c>
      <c r="D12" s="1402">
        <v>10006</v>
      </c>
      <c r="E12" s="551">
        <f>-300-100-279-120-20</f>
        <v>-819</v>
      </c>
      <c r="F12" s="548">
        <f t="shared" si="0"/>
        <v>9187</v>
      </c>
      <c r="G12" s="549"/>
      <c r="I12" s="88"/>
      <c r="K12" s="547"/>
    </row>
    <row r="13" spans="1:11" s="568" customFormat="1" ht="18.75" customHeight="1">
      <c r="A13" s="542"/>
      <c r="B13" s="1166"/>
      <c r="C13" s="1167" t="s">
        <v>164</v>
      </c>
      <c r="D13" s="1402">
        <v>181144</v>
      </c>
      <c r="E13" s="1168">
        <f>-5000+1+23855</f>
        <v>18856</v>
      </c>
      <c r="F13" s="1169">
        <f t="shared" si="0"/>
        <v>200000</v>
      </c>
      <c r="G13" s="1020"/>
      <c r="I13" s="200"/>
      <c r="K13" s="1021"/>
    </row>
    <row r="14" spans="1:7" s="545" customFormat="1" ht="18.75" customHeight="1">
      <c r="A14" s="542"/>
      <c r="B14" s="550"/>
      <c r="C14" s="132" t="s">
        <v>150</v>
      </c>
      <c r="D14" s="1402">
        <v>77633</v>
      </c>
      <c r="E14" s="551">
        <f>122+115+270+30-9205</f>
        <v>-8668</v>
      </c>
      <c r="F14" s="548">
        <f t="shared" si="0"/>
        <v>68965</v>
      </c>
      <c r="G14" s="549" t="s">
        <v>490</v>
      </c>
    </row>
    <row r="15" spans="1:7" s="545" customFormat="1" ht="18.75" customHeight="1">
      <c r="A15" s="542"/>
      <c r="B15" s="550"/>
      <c r="C15" s="132" t="s">
        <v>329</v>
      </c>
      <c r="D15" s="1407">
        <v>9</v>
      </c>
      <c r="E15" s="551">
        <v>-9</v>
      </c>
      <c r="F15" s="548">
        <f t="shared" si="0"/>
        <v>0</v>
      </c>
      <c r="G15" s="549"/>
    </row>
    <row r="16" spans="1:7" s="545" customFormat="1" ht="18.75" customHeight="1">
      <c r="A16" s="542"/>
      <c r="B16" s="550"/>
      <c r="C16" s="1367" t="s">
        <v>577</v>
      </c>
      <c r="D16" s="1407">
        <v>4781</v>
      </c>
      <c r="E16" s="551"/>
      <c r="F16" s="548">
        <f t="shared" si="0"/>
        <v>4781</v>
      </c>
      <c r="G16" s="549"/>
    </row>
    <row r="17" spans="1:7" s="545" customFormat="1" ht="18.75" customHeight="1">
      <c r="A17" s="542"/>
      <c r="B17" s="550"/>
      <c r="C17" s="1403" t="s">
        <v>663</v>
      </c>
      <c r="D17" s="1407">
        <v>7473</v>
      </c>
      <c r="E17" s="551">
        <v>-1242</v>
      </c>
      <c r="F17" s="548">
        <f aca="true" t="shared" si="1" ref="F17:F25">SUM(D17:E17)</f>
        <v>6231</v>
      </c>
      <c r="G17" s="549"/>
    </row>
    <row r="18" spans="1:7" s="545" customFormat="1" ht="18.75" customHeight="1">
      <c r="A18" s="542"/>
      <c r="B18" s="550"/>
      <c r="C18" s="1404" t="s">
        <v>664</v>
      </c>
      <c r="D18" s="1407">
        <v>2000</v>
      </c>
      <c r="E18" s="551"/>
      <c r="F18" s="548">
        <f t="shared" si="1"/>
        <v>2000</v>
      </c>
      <c r="G18" s="549"/>
    </row>
    <row r="19" spans="1:7" s="545" customFormat="1" ht="18.75" customHeight="1">
      <c r="A19" s="542"/>
      <c r="B19" s="550"/>
      <c r="C19" s="1405" t="s">
        <v>665</v>
      </c>
      <c r="D19" s="1407">
        <v>3328</v>
      </c>
      <c r="E19" s="551"/>
      <c r="F19" s="548">
        <f t="shared" si="1"/>
        <v>3328</v>
      </c>
      <c r="G19" s="549"/>
    </row>
    <row r="20" spans="1:7" s="545" customFormat="1" ht="18.75" customHeight="1">
      <c r="A20" s="542"/>
      <c r="B20" s="550"/>
      <c r="C20" s="132" t="s">
        <v>666</v>
      </c>
      <c r="D20" s="1407">
        <v>8940</v>
      </c>
      <c r="E20" s="551">
        <v>-8940</v>
      </c>
      <c r="F20" s="548">
        <f t="shared" si="1"/>
        <v>0</v>
      </c>
      <c r="G20" s="549"/>
    </row>
    <row r="21" spans="1:7" s="545" customFormat="1" ht="18.75" customHeight="1">
      <c r="A21" s="542"/>
      <c r="B21" s="550"/>
      <c r="C21" s="132" t="s">
        <v>667</v>
      </c>
      <c r="D21" s="1407">
        <v>181</v>
      </c>
      <c r="E21" s="551">
        <v>-181</v>
      </c>
      <c r="F21" s="548">
        <f t="shared" si="1"/>
        <v>0</v>
      </c>
      <c r="G21" s="549"/>
    </row>
    <row r="22" spans="1:7" s="545" customFormat="1" ht="18.75" customHeight="1">
      <c r="A22" s="542"/>
      <c r="B22" s="550"/>
      <c r="C22" s="132" t="s">
        <v>78</v>
      </c>
      <c r="D22" s="1407">
        <v>600</v>
      </c>
      <c r="E22" s="551"/>
      <c r="F22" s="548">
        <f t="shared" si="1"/>
        <v>600</v>
      </c>
      <c r="G22" s="549"/>
    </row>
    <row r="23" spans="1:7" s="545" customFormat="1" ht="18.75" customHeight="1">
      <c r="A23" s="542"/>
      <c r="B23" s="550"/>
      <c r="C23" s="132" t="s">
        <v>65</v>
      </c>
      <c r="D23" s="1407">
        <v>6500</v>
      </c>
      <c r="E23" s="551"/>
      <c r="F23" s="1460">
        <f t="shared" si="1"/>
        <v>6500</v>
      </c>
      <c r="G23" s="549"/>
    </row>
    <row r="24" spans="1:7" s="545" customFormat="1" ht="18.75" customHeight="1">
      <c r="A24" s="542"/>
      <c r="B24" s="550"/>
      <c r="C24" s="132" t="s">
        <v>785</v>
      </c>
      <c r="D24" s="1407">
        <v>16000</v>
      </c>
      <c r="E24" s="551">
        <f>-4965+88965</f>
        <v>84000</v>
      </c>
      <c r="F24" s="1460">
        <f t="shared" si="1"/>
        <v>100000</v>
      </c>
      <c r="G24" s="549"/>
    </row>
    <row r="25" spans="1:7" s="545" customFormat="1" ht="18.75" customHeight="1" thickBot="1">
      <c r="A25" s="542"/>
      <c r="B25" s="550"/>
      <c r="C25" s="132" t="s">
        <v>892</v>
      </c>
      <c r="D25" s="1458">
        <v>49662</v>
      </c>
      <c r="E25" s="1459">
        <v>-49662</v>
      </c>
      <c r="F25" s="1742">
        <f t="shared" si="1"/>
        <v>0</v>
      </c>
      <c r="G25" s="549"/>
    </row>
    <row r="26" spans="1:7" s="568" customFormat="1" ht="18.75" customHeight="1" thickBot="1">
      <c r="A26" s="569" t="s">
        <v>57</v>
      </c>
      <c r="B26" s="2004" t="s">
        <v>330</v>
      </c>
      <c r="C26" s="2005"/>
      <c r="D26" s="1190">
        <f>SUM(D11:D25)</f>
        <v>398326</v>
      </c>
      <c r="E26" s="1409">
        <f>SUM(E11:E25)</f>
        <v>3266</v>
      </c>
      <c r="F26" s="1408">
        <f>SUM(F11:F25)</f>
        <v>401592</v>
      </c>
      <c r="G26" s="571">
        <f>SUM(D26:E26)</f>
        <v>401592</v>
      </c>
    </row>
    <row r="27" spans="1:11" s="545" customFormat="1" ht="18.75" customHeight="1">
      <c r="A27" s="542"/>
      <c r="B27" s="550"/>
      <c r="C27" s="552" t="s">
        <v>578</v>
      </c>
      <c r="D27" s="1170">
        <v>60000</v>
      </c>
      <c r="E27" s="1018">
        <f>-30000+95000</f>
        <v>65000</v>
      </c>
      <c r="F27" s="1019">
        <f aca="true" t="shared" si="2" ref="F27:F33">SUM(D27:E27)</f>
        <v>125000</v>
      </c>
      <c r="G27" s="549"/>
      <c r="I27" s="88"/>
      <c r="K27" s="547"/>
    </row>
    <row r="28" spans="1:11" s="545" customFormat="1" ht="18.75" customHeight="1">
      <c r="A28" s="542"/>
      <c r="B28" s="550"/>
      <c r="C28" s="552" t="s">
        <v>784</v>
      </c>
      <c r="D28" s="1402">
        <v>2000</v>
      </c>
      <c r="E28" s="551">
        <v>-2000</v>
      </c>
      <c r="F28" s="548">
        <f t="shared" si="2"/>
        <v>0</v>
      </c>
      <c r="G28" s="549"/>
      <c r="I28" s="88"/>
      <c r="K28" s="547"/>
    </row>
    <row r="29" spans="1:11" s="545" customFormat="1" ht="18.75" customHeight="1">
      <c r="A29" s="542"/>
      <c r="B29" s="550"/>
      <c r="C29" s="552" t="s">
        <v>788</v>
      </c>
      <c r="D29" s="1402">
        <v>4341</v>
      </c>
      <c r="E29" s="551">
        <v>95659</v>
      </c>
      <c r="F29" s="548">
        <f t="shared" si="2"/>
        <v>100000</v>
      </c>
      <c r="G29" s="549"/>
      <c r="I29" s="88"/>
      <c r="K29" s="547"/>
    </row>
    <row r="30" spans="1:11" s="545" customFormat="1" ht="18.75" customHeight="1">
      <c r="A30" s="542"/>
      <c r="B30" s="550"/>
      <c r="C30" s="552" t="s">
        <v>446</v>
      </c>
      <c r="D30" s="1402"/>
      <c r="E30" s="551">
        <v>150000</v>
      </c>
      <c r="F30" s="548">
        <f t="shared" si="2"/>
        <v>150000</v>
      </c>
      <c r="G30" s="549"/>
      <c r="I30" s="88"/>
      <c r="K30" s="547"/>
    </row>
    <row r="31" spans="1:11" s="545" customFormat="1" ht="18.75" customHeight="1">
      <c r="A31" s="542"/>
      <c r="B31" s="550"/>
      <c r="C31" s="552" t="s">
        <v>522</v>
      </c>
      <c r="D31" s="1402">
        <v>15700</v>
      </c>
      <c r="E31" s="551"/>
      <c r="F31" s="548">
        <f t="shared" si="2"/>
        <v>15700</v>
      </c>
      <c r="G31" s="549"/>
      <c r="I31" s="88"/>
      <c r="K31" s="547"/>
    </row>
    <row r="32" spans="1:11" s="545" customFormat="1" ht="18.75" customHeight="1">
      <c r="A32" s="542"/>
      <c r="B32" s="550"/>
      <c r="C32" s="1403" t="s">
        <v>936</v>
      </c>
      <c r="D32" s="1402">
        <v>0</v>
      </c>
      <c r="E32" s="551">
        <v>2000</v>
      </c>
      <c r="F32" s="548">
        <f t="shared" si="2"/>
        <v>2000</v>
      </c>
      <c r="G32" s="549"/>
      <c r="I32" s="88"/>
      <c r="K32" s="547"/>
    </row>
    <row r="33" spans="1:11" s="545" customFormat="1" ht="18.75" customHeight="1" thickBot="1">
      <c r="A33" s="542"/>
      <c r="B33" s="550"/>
      <c r="C33" s="552" t="s">
        <v>668</v>
      </c>
      <c r="D33" s="1402">
        <v>3000</v>
      </c>
      <c r="E33" s="551"/>
      <c r="F33" s="548">
        <f t="shared" si="2"/>
        <v>3000</v>
      </c>
      <c r="G33" s="549"/>
      <c r="I33" s="88"/>
      <c r="K33" s="547"/>
    </row>
    <row r="34" spans="1:7" s="545" customFormat="1" ht="18.75" customHeight="1" thickBot="1">
      <c r="A34" s="569" t="s">
        <v>58</v>
      </c>
      <c r="B34" s="2006" t="s">
        <v>331</v>
      </c>
      <c r="C34" s="2007"/>
      <c r="D34" s="1194">
        <f>SUM(D27:D33)</f>
        <v>85041</v>
      </c>
      <c r="E34" s="1172">
        <f>SUM(E27:E33)</f>
        <v>310659</v>
      </c>
      <c r="F34" s="570">
        <f>SUM(F27:F33)</f>
        <v>395700</v>
      </c>
      <c r="G34" s="571">
        <f>SUM(D34:E34)</f>
        <v>395700</v>
      </c>
    </row>
    <row r="35" spans="1:11" s="88" customFormat="1" ht="24.75" customHeight="1" thickBot="1" thickTop="1">
      <c r="A35" s="553" t="s">
        <v>102</v>
      </c>
      <c r="B35" s="2008" t="s">
        <v>189</v>
      </c>
      <c r="C35" s="2009"/>
      <c r="D35" s="1171">
        <f>D26+D34</f>
        <v>483367</v>
      </c>
      <c r="E35" s="951">
        <f>E26+E34</f>
        <v>313925</v>
      </c>
      <c r="F35" s="950">
        <f>F26+F34</f>
        <v>797292</v>
      </c>
      <c r="G35" s="105">
        <f>SUM(D35:E35)</f>
        <v>797292</v>
      </c>
      <c r="I35" s="545"/>
      <c r="J35" s="545"/>
      <c r="K35" s="545"/>
    </row>
    <row r="36" spans="1:157" s="88" customFormat="1" ht="23.25" customHeight="1" thickBot="1" thickTop="1">
      <c r="A36" s="554" t="s">
        <v>190</v>
      </c>
      <c r="B36" s="555"/>
      <c r="C36" s="555"/>
      <c r="D36" s="556">
        <f>SUM(D9+D35)</f>
        <v>635260</v>
      </c>
      <c r="E36" s="557">
        <f>SUM(E9,E35)</f>
        <v>334102</v>
      </c>
      <c r="F36" s="558">
        <f>SUM(F9,F35)</f>
        <v>969362</v>
      </c>
      <c r="G36" s="964">
        <f>+hivatal9!K22-tartalék!F36</f>
        <v>0</v>
      </c>
      <c r="H36" s="234"/>
      <c r="I36" s="545"/>
      <c r="J36" s="545"/>
      <c r="K36" s="545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</row>
    <row r="37" spans="9:11" ht="15">
      <c r="I37" s="65"/>
      <c r="J37" s="65"/>
      <c r="K37" s="65"/>
    </row>
    <row r="38" spans="9:11" ht="15">
      <c r="I38" s="65"/>
      <c r="J38" s="65"/>
      <c r="K38" s="65"/>
    </row>
    <row r="39" spans="6:11" ht="15">
      <c r="F39" s="18"/>
      <c r="I39" s="108"/>
      <c r="J39" s="65"/>
      <c r="K39" s="65"/>
    </row>
    <row r="40" spans="9:11" ht="12.75">
      <c r="I40" s="18"/>
      <c r="K40" s="18"/>
    </row>
    <row r="41" spans="9:11" ht="12.75">
      <c r="I41" s="29"/>
      <c r="J41" s="29"/>
      <c r="K41" s="29"/>
    </row>
  </sheetData>
  <sheetProtection/>
  <mergeCells count="4">
    <mergeCell ref="B9:C9"/>
    <mergeCell ref="B26:C26"/>
    <mergeCell ref="B34:C34"/>
    <mergeCell ref="B35:C35"/>
  </mergeCells>
  <printOptions horizontalCentered="1" verticalCentered="1"/>
  <pageMargins left="0.43" right="0.42" top="0.5905511811023623" bottom="3.582677165354331" header="0.5118110236220472" footer="0.5118110236220472"/>
  <pageSetup fitToHeight="1" fitToWidth="1" horizontalDpi="600" verticalDpi="600" orientation="portrait" paperSize="9" scale="64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10.625" defaultRowHeight="12.75"/>
  <cols>
    <col min="1" max="1" width="6.50390625" style="178" customWidth="1"/>
    <col min="2" max="2" width="41.375" style="191" customWidth="1"/>
    <col min="3" max="3" width="37.625" style="179" customWidth="1"/>
    <col min="4" max="5" width="14.125" style="179" customWidth="1"/>
    <col min="6" max="6" width="12.625" style="179" customWidth="1"/>
    <col min="7" max="7" width="15.00390625" style="178" customWidth="1"/>
    <col min="8" max="8" width="12.875" style="178" customWidth="1"/>
    <col min="9" max="9" width="13.875" style="178" customWidth="1"/>
    <col min="10" max="10" width="12.875" style="178" customWidth="1"/>
    <col min="11" max="11" width="12.00390625" style="178" customWidth="1"/>
    <col min="12" max="12" width="13.00390625" style="178" customWidth="1"/>
    <col min="13" max="16384" width="10.625" style="178" customWidth="1"/>
  </cols>
  <sheetData>
    <row r="1" spans="2:12" s="133" customFormat="1" ht="15.75">
      <c r="B1" s="180"/>
      <c r="C1" s="181"/>
      <c r="D1" s="182"/>
      <c r="E1" s="183"/>
      <c r="F1" s="184"/>
      <c r="H1" s="184"/>
      <c r="I1" s="185"/>
      <c r="K1" s="184"/>
      <c r="L1" s="185" t="s">
        <v>951</v>
      </c>
    </row>
    <row r="2" spans="2:12" s="133" customFormat="1" ht="12.75">
      <c r="B2" s="180"/>
      <c r="C2" s="181"/>
      <c r="D2" s="182"/>
      <c r="E2" s="183"/>
      <c r="F2" s="192"/>
      <c r="G2" s="192"/>
      <c r="H2" s="192"/>
      <c r="I2" s="192"/>
      <c r="K2" s="192"/>
      <c r="L2" s="192" t="s">
        <v>93</v>
      </c>
    </row>
    <row r="3" spans="2:7" s="133" customFormat="1" ht="12.75">
      <c r="B3" s="180"/>
      <c r="C3" s="186"/>
      <c r="D3" s="187"/>
      <c r="E3" s="188"/>
      <c r="F3" s="189"/>
      <c r="G3" s="134"/>
    </row>
    <row r="4" spans="1:12" s="133" customFormat="1" ht="20.25">
      <c r="A4" s="2016" t="s">
        <v>649</v>
      </c>
      <c r="B4" s="2016"/>
      <c r="C4" s="2016"/>
      <c r="D4" s="2016"/>
      <c r="E4" s="2016"/>
      <c r="F4" s="2016"/>
      <c r="G4" s="2016"/>
      <c r="H4" s="2016"/>
      <c r="I4" s="2016"/>
      <c r="J4" s="2016"/>
      <c r="K4" s="2016"/>
      <c r="L4" s="2016"/>
    </row>
    <row r="5" spans="1:12" s="136" customFormat="1" ht="23.25" customHeight="1">
      <c r="A5" s="2017" t="s">
        <v>574</v>
      </c>
      <c r="B5" s="2017"/>
      <c r="C5" s="2017"/>
      <c r="D5" s="2017"/>
      <c r="E5" s="2017"/>
      <c r="F5" s="2017"/>
      <c r="G5" s="2017"/>
      <c r="H5" s="2017"/>
      <c r="I5" s="2017"/>
      <c r="J5" s="2017"/>
      <c r="K5" s="2017"/>
      <c r="L5" s="2017"/>
    </row>
    <row r="6" spans="2:12" s="136" customFormat="1" ht="25.5" customHeight="1" thickBot="1">
      <c r="B6" s="190"/>
      <c r="C6" s="1225"/>
      <c r="D6" s="1225"/>
      <c r="E6" s="1225"/>
      <c r="F6" s="1225"/>
      <c r="G6" s="135"/>
      <c r="L6" s="123" t="s">
        <v>134</v>
      </c>
    </row>
    <row r="7" spans="1:12" s="202" customFormat="1" ht="26.25" customHeight="1" thickBot="1">
      <c r="A7" s="2018" t="s">
        <v>185</v>
      </c>
      <c r="B7" s="2020" t="s">
        <v>342</v>
      </c>
      <c r="C7" s="2022" t="s">
        <v>343</v>
      </c>
      <c r="D7" s="2010" t="s">
        <v>447</v>
      </c>
      <c r="E7" s="2011"/>
      <c r="F7" s="2012"/>
      <c r="G7" s="2013" t="s">
        <v>547</v>
      </c>
      <c r="H7" s="2014"/>
      <c r="I7" s="2015"/>
      <c r="J7" s="2013" t="s">
        <v>573</v>
      </c>
      <c r="K7" s="2014"/>
      <c r="L7" s="2015"/>
    </row>
    <row r="8" spans="1:12" s="202" customFormat="1" ht="39" thickBot="1">
      <c r="A8" s="2019"/>
      <c r="B8" s="2021"/>
      <c r="C8" s="2023"/>
      <c r="D8" s="1023" t="s">
        <v>448</v>
      </c>
      <c r="E8" s="1024" t="s">
        <v>344</v>
      </c>
      <c r="F8" s="1025" t="s">
        <v>345</v>
      </c>
      <c r="G8" s="1327" t="s">
        <v>346</v>
      </c>
      <c r="H8" s="1334" t="s">
        <v>345</v>
      </c>
      <c r="I8" s="1026" t="s">
        <v>347</v>
      </c>
      <c r="J8" s="1335" t="s">
        <v>346</v>
      </c>
      <c r="K8" s="1339" t="s">
        <v>345</v>
      </c>
      <c r="L8" s="1026" t="s">
        <v>347</v>
      </c>
    </row>
    <row r="9" spans="1:12" s="203" customFormat="1" ht="13.5" thickBot="1">
      <c r="A9" s="1027" t="s">
        <v>112</v>
      </c>
      <c r="B9" s="1028" t="s">
        <v>114</v>
      </c>
      <c r="C9" s="1029" t="s">
        <v>115</v>
      </c>
      <c r="D9" s="1027" t="s">
        <v>117</v>
      </c>
      <c r="E9" s="1028" t="s">
        <v>53</v>
      </c>
      <c r="F9" s="1029" t="s">
        <v>54</v>
      </c>
      <c r="G9" s="1328" t="s">
        <v>118</v>
      </c>
      <c r="H9" s="1336" t="s">
        <v>119</v>
      </c>
      <c r="I9" s="1027" t="s">
        <v>56</v>
      </c>
      <c r="J9" s="1030" t="s">
        <v>449</v>
      </c>
      <c r="K9" s="1029" t="s">
        <v>450</v>
      </c>
      <c r="L9" s="1027" t="s">
        <v>451</v>
      </c>
    </row>
    <row r="10" spans="1:12" s="203" customFormat="1" ht="19.5" customHeight="1">
      <c r="A10" s="1401">
        <v>1</v>
      </c>
      <c r="B10" s="295" t="s">
        <v>536</v>
      </c>
      <c r="C10" s="728" t="s">
        <v>537</v>
      </c>
      <c r="D10" s="205">
        <f>SUM(E10:F10)</f>
        <v>142981</v>
      </c>
      <c r="E10" s="296">
        <v>135038</v>
      </c>
      <c r="F10" s="732">
        <v>7943</v>
      </c>
      <c r="G10" s="1329">
        <v>70592</v>
      </c>
      <c r="H10" s="733">
        <v>3715</v>
      </c>
      <c r="I10" s="205">
        <f>SUM(G10:H10)</f>
        <v>74307</v>
      </c>
      <c r="J10" s="729"/>
      <c r="K10" s="1340"/>
      <c r="L10" s="205">
        <f>SUM(J10:K10)</f>
        <v>0</v>
      </c>
    </row>
    <row r="11" spans="1:12" s="203" customFormat="1" ht="51.75" customHeight="1">
      <c r="A11" s="204">
        <f>A10+1</f>
        <v>2</v>
      </c>
      <c r="B11" s="1226" t="s">
        <v>650</v>
      </c>
      <c r="C11" s="1227" t="s">
        <v>548</v>
      </c>
      <c r="D11" s="205">
        <f>SUM(E11:F11)</f>
        <v>6202</v>
      </c>
      <c r="E11" s="296">
        <v>6202</v>
      </c>
      <c r="F11" s="298">
        <v>0</v>
      </c>
      <c r="G11" s="1330">
        <v>3768</v>
      </c>
      <c r="H11" s="298">
        <v>0</v>
      </c>
      <c r="I11" s="205">
        <f>SUM(G11:H11)</f>
        <v>3768</v>
      </c>
      <c r="J11" s="297"/>
      <c r="K11" s="1341"/>
      <c r="L11" s="205">
        <f>SUM(J11:K11)</f>
        <v>0</v>
      </c>
    </row>
    <row r="12" spans="1:12" s="203" customFormat="1" ht="51.75" customHeight="1">
      <c r="A12" s="273">
        <v>3</v>
      </c>
      <c r="B12" s="1252" t="s">
        <v>549</v>
      </c>
      <c r="C12" s="1253" t="s">
        <v>550</v>
      </c>
      <c r="D12" s="1771">
        <f>SUM(E12:F12)</f>
        <v>259817</v>
      </c>
      <c r="E12" s="1818">
        <v>108384</v>
      </c>
      <c r="F12" s="732">
        <v>151433</v>
      </c>
      <c r="G12" s="1774">
        <v>108384</v>
      </c>
      <c r="H12" s="1775">
        <v>151433</v>
      </c>
      <c r="I12" s="1771">
        <f>SUM(G12:H12)</f>
        <v>259817</v>
      </c>
      <c r="J12" s="1772"/>
      <c r="K12" s="1773"/>
      <c r="L12" s="1771">
        <f>SUM(J12:K12)</f>
        <v>0</v>
      </c>
    </row>
    <row r="13" spans="1:12" s="203" customFormat="1" ht="51.75" customHeight="1">
      <c r="A13" s="273">
        <v>4</v>
      </c>
      <c r="B13" s="1812" t="s">
        <v>899</v>
      </c>
      <c r="C13" s="1253" t="s">
        <v>900</v>
      </c>
      <c r="D13" s="1771">
        <f>SUM(E13:F13)</f>
        <v>16000</v>
      </c>
      <c r="E13" s="1772">
        <v>11200</v>
      </c>
      <c r="F13" s="1773">
        <v>4800</v>
      </c>
      <c r="G13" s="1774">
        <v>11200</v>
      </c>
      <c r="H13" s="1775">
        <v>4800</v>
      </c>
      <c r="I13" s="1771">
        <f>SUM(G13:H13)</f>
        <v>16000</v>
      </c>
      <c r="J13" s="1772"/>
      <c r="K13" s="1773"/>
      <c r="L13" s="1771">
        <f>SUM(J13:K13)</f>
        <v>0</v>
      </c>
    </row>
    <row r="14" spans="1:12" s="203" customFormat="1" ht="51.75" customHeight="1" thickBot="1">
      <c r="A14" s="1462">
        <v>5</v>
      </c>
      <c r="B14" s="1813" t="s">
        <v>938</v>
      </c>
      <c r="C14" s="1814" t="s">
        <v>939</v>
      </c>
      <c r="D14" s="1771">
        <f>SUM(E14:F14)</f>
        <v>5338</v>
      </c>
      <c r="E14" s="1816">
        <v>4954</v>
      </c>
      <c r="F14" s="1817">
        <v>384</v>
      </c>
      <c r="G14" s="1815">
        <v>4954</v>
      </c>
      <c r="H14" s="1380">
        <v>384</v>
      </c>
      <c r="I14" s="1463">
        <f>SUM(G14:H14)</f>
        <v>5338</v>
      </c>
      <c r="J14" s="1381"/>
      <c r="K14" s="1380"/>
      <c r="L14" s="1463"/>
    </row>
    <row r="15" spans="1:12" s="202" customFormat="1" ht="21" customHeight="1" thickBot="1">
      <c r="A15" s="207" t="s">
        <v>95</v>
      </c>
      <c r="B15" s="208" t="s">
        <v>348</v>
      </c>
      <c r="C15" s="208"/>
      <c r="D15" s="209">
        <f>SUM(D10:D14)</f>
        <v>430338</v>
      </c>
      <c r="E15" s="209">
        <f aca="true" t="shared" si="0" ref="E15:L15">SUM(E10:E14)</f>
        <v>265778</v>
      </c>
      <c r="F15" s="209">
        <f t="shared" si="0"/>
        <v>164560</v>
      </c>
      <c r="G15" s="209">
        <f t="shared" si="0"/>
        <v>198898</v>
      </c>
      <c r="H15" s="209">
        <f t="shared" si="0"/>
        <v>160332</v>
      </c>
      <c r="I15" s="209">
        <f t="shared" si="0"/>
        <v>359230</v>
      </c>
      <c r="J15" s="276">
        <f t="shared" si="0"/>
        <v>0</v>
      </c>
      <c r="K15" s="274">
        <f t="shared" si="0"/>
        <v>0</v>
      </c>
      <c r="L15" s="209">
        <f t="shared" si="0"/>
        <v>0</v>
      </c>
    </row>
    <row r="16" spans="1:12" s="202" customFormat="1" ht="20.25" customHeight="1" thickBot="1">
      <c r="A16" s="207" t="s">
        <v>102</v>
      </c>
      <c r="B16" s="208" t="s">
        <v>349</v>
      </c>
      <c r="C16" s="208"/>
      <c r="D16" s="209">
        <v>0</v>
      </c>
      <c r="E16" s="209">
        <v>0</v>
      </c>
      <c r="F16" s="209">
        <v>0</v>
      </c>
      <c r="G16" s="1331">
        <v>0</v>
      </c>
      <c r="H16" s="1337">
        <v>0</v>
      </c>
      <c r="I16" s="209">
        <v>0</v>
      </c>
      <c r="J16" s="276">
        <v>0</v>
      </c>
      <c r="K16" s="274">
        <v>0</v>
      </c>
      <c r="L16" s="209">
        <v>0</v>
      </c>
    </row>
    <row r="17" spans="1:12" s="203" customFormat="1" ht="63.75" customHeight="1">
      <c r="A17" s="204">
        <v>1</v>
      </c>
      <c r="B17" s="1251" t="s">
        <v>602</v>
      </c>
      <c r="C17" s="1382" t="s">
        <v>603</v>
      </c>
      <c r="D17" s="205">
        <f aca="true" t="shared" si="1" ref="D17:D23">SUM(E17:F17)</f>
        <v>574735</v>
      </c>
      <c r="E17" s="212">
        <v>200000</v>
      </c>
      <c r="F17" s="730">
        <v>374735</v>
      </c>
      <c r="G17" s="1332">
        <v>200000</v>
      </c>
      <c r="H17" s="731">
        <v>374735</v>
      </c>
      <c r="I17" s="205">
        <f aca="true" t="shared" si="2" ref="I17:I23">SUM(G17:H17)</f>
        <v>574735</v>
      </c>
      <c r="J17" s="206"/>
      <c r="K17" s="1265"/>
      <c r="L17" s="205">
        <f aca="true" t="shared" si="3" ref="L17:L23">SUM(J17:K17)</f>
        <v>0</v>
      </c>
    </row>
    <row r="18" spans="1:12" s="202" customFormat="1" ht="63.75" customHeight="1">
      <c r="A18" s="204">
        <v>2</v>
      </c>
      <c r="B18" s="1383" t="s">
        <v>604</v>
      </c>
      <c r="C18" s="1384" t="s">
        <v>605</v>
      </c>
      <c r="D18" s="205">
        <f t="shared" si="1"/>
        <v>128000</v>
      </c>
      <c r="E18" s="212">
        <v>128000</v>
      </c>
      <c r="F18" s="730">
        <v>0</v>
      </c>
      <c r="G18" s="1332">
        <v>52427</v>
      </c>
      <c r="H18" s="731">
        <v>0</v>
      </c>
      <c r="I18" s="205">
        <f t="shared" si="2"/>
        <v>52427</v>
      </c>
      <c r="J18" s="206"/>
      <c r="K18" s="1265"/>
      <c r="L18" s="205">
        <f t="shared" si="3"/>
        <v>0</v>
      </c>
    </row>
    <row r="19" spans="1:12" s="203" customFormat="1" ht="63.75" customHeight="1">
      <c r="A19" s="204">
        <v>3</v>
      </c>
      <c r="B19" s="1252" t="s">
        <v>651</v>
      </c>
      <c r="C19" s="1253" t="s">
        <v>606</v>
      </c>
      <c r="D19" s="205">
        <f t="shared" si="1"/>
        <v>402455</v>
      </c>
      <c r="E19" s="212">
        <v>200000</v>
      </c>
      <c r="F19" s="730">
        <f>199454+3001</f>
        <v>202455</v>
      </c>
      <c r="G19" s="1332">
        <v>200000</v>
      </c>
      <c r="H19" s="731">
        <f>199454+3001</f>
        <v>202455</v>
      </c>
      <c r="I19" s="205">
        <f t="shared" si="2"/>
        <v>402455</v>
      </c>
      <c r="J19" s="206"/>
      <c r="K19" s="1265"/>
      <c r="L19" s="205">
        <f t="shared" si="3"/>
        <v>0</v>
      </c>
    </row>
    <row r="20" spans="1:12" s="202" customFormat="1" ht="38.25">
      <c r="A20" s="273">
        <v>4</v>
      </c>
      <c r="B20" s="1252" t="s">
        <v>551</v>
      </c>
      <c r="C20" s="1253" t="s">
        <v>552</v>
      </c>
      <c r="D20" s="205">
        <f t="shared" si="1"/>
        <v>50099</v>
      </c>
      <c r="E20" s="212">
        <v>10000</v>
      </c>
      <c r="F20" s="730">
        <v>40099</v>
      </c>
      <c r="G20" s="1332">
        <v>10000</v>
      </c>
      <c r="H20" s="731">
        <v>40099</v>
      </c>
      <c r="I20" s="205">
        <f t="shared" si="2"/>
        <v>50099</v>
      </c>
      <c r="J20" s="206"/>
      <c r="K20" s="1265"/>
      <c r="L20" s="205">
        <f t="shared" si="3"/>
        <v>0</v>
      </c>
    </row>
    <row r="21" spans="1:12" s="202" customFormat="1" ht="38.25">
      <c r="A21" s="273">
        <v>5</v>
      </c>
      <c r="B21" s="1251" t="s">
        <v>787</v>
      </c>
      <c r="C21" s="1382" t="s">
        <v>603</v>
      </c>
      <c r="D21" s="1464">
        <f t="shared" si="1"/>
        <v>191127</v>
      </c>
      <c r="E21" s="1465">
        <v>60000</v>
      </c>
      <c r="F21" s="1466">
        <v>131127</v>
      </c>
      <c r="G21" s="1465">
        <v>0</v>
      </c>
      <c r="H21" s="1778">
        <v>3211</v>
      </c>
      <c r="I21" s="1771">
        <f t="shared" si="2"/>
        <v>3211</v>
      </c>
      <c r="J21" s="206"/>
      <c r="K21" s="1332"/>
      <c r="L21" s="1771">
        <f t="shared" si="3"/>
        <v>0</v>
      </c>
    </row>
    <row r="22" spans="1:12" s="202" customFormat="1" ht="38.25">
      <c r="A22" s="273">
        <v>6</v>
      </c>
      <c r="B22" s="1779" t="s">
        <v>901</v>
      </c>
      <c r="C22" s="1253" t="s">
        <v>902</v>
      </c>
      <c r="D22" s="1464">
        <f t="shared" si="1"/>
        <v>1707509</v>
      </c>
      <c r="E22" s="1465">
        <v>1136400</v>
      </c>
      <c r="F22" s="1466">
        <v>571109</v>
      </c>
      <c r="G22" s="1776">
        <v>1136400</v>
      </c>
      <c r="H22" s="731">
        <v>543771</v>
      </c>
      <c r="I22" s="205">
        <f t="shared" si="2"/>
        <v>1680171</v>
      </c>
      <c r="J22" s="1777"/>
      <c r="K22" s="1265"/>
      <c r="L22" s="205">
        <f t="shared" si="3"/>
        <v>0</v>
      </c>
    </row>
    <row r="23" spans="1:12" s="202" customFormat="1" ht="38.25">
      <c r="A23" s="273">
        <v>7</v>
      </c>
      <c r="B23" s="1779" t="s">
        <v>903</v>
      </c>
      <c r="C23" s="1253" t="s">
        <v>902</v>
      </c>
      <c r="D23" s="1810">
        <f t="shared" si="1"/>
        <v>1526405</v>
      </c>
      <c r="E23" s="1465">
        <v>930200</v>
      </c>
      <c r="F23" s="1811">
        <v>596205</v>
      </c>
      <c r="G23" s="1332">
        <v>930200</v>
      </c>
      <c r="H23" s="1778">
        <v>596205</v>
      </c>
      <c r="I23" s="1771">
        <f t="shared" si="2"/>
        <v>1526405</v>
      </c>
      <c r="J23" s="206"/>
      <c r="K23" s="1332"/>
      <c r="L23" s="1771">
        <f t="shared" si="3"/>
        <v>0</v>
      </c>
    </row>
    <row r="24" spans="1:12" s="202" customFormat="1" ht="38.25">
      <c r="A24" s="273">
        <v>8</v>
      </c>
      <c r="B24" s="1779" t="s">
        <v>937</v>
      </c>
      <c r="C24" s="1253" t="s">
        <v>902</v>
      </c>
      <c r="D24" s="1810">
        <f>SUM(E24:F24)</f>
        <v>90000</v>
      </c>
      <c r="E24" s="1465">
        <v>39500</v>
      </c>
      <c r="F24" s="1811">
        <v>50500</v>
      </c>
      <c r="G24" s="1332">
        <v>39500</v>
      </c>
      <c r="H24" s="1778">
        <v>50500</v>
      </c>
      <c r="I24" s="1771">
        <f>SUM(G24:H24)</f>
        <v>90000</v>
      </c>
      <c r="J24" s="206"/>
      <c r="K24" s="1332"/>
      <c r="L24" s="1771">
        <f>SUM(J24:K24)</f>
        <v>0</v>
      </c>
    </row>
    <row r="25" spans="1:12" s="202" customFormat="1" ht="51">
      <c r="A25" s="273">
        <v>9</v>
      </c>
      <c r="B25" s="1779" t="s">
        <v>943</v>
      </c>
      <c r="C25" s="1253" t="s">
        <v>940</v>
      </c>
      <c r="D25" s="1810">
        <f>SUM(E25:F25)</f>
        <v>3112</v>
      </c>
      <c r="E25" s="1465">
        <v>1112</v>
      </c>
      <c r="F25" s="1811">
        <v>2000</v>
      </c>
      <c r="G25" s="1332">
        <v>1112</v>
      </c>
      <c r="H25" s="1778">
        <v>2000</v>
      </c>
      <c r="I25" s="1771">
        <f>SUM(G25:H25)</f>
        <v>3112</v>
      </c>
      <c r="J25" s="206"/>
      <c r="K25" s="1332"/>
      <c r="L25" s="1771">
        <f>SUM(J25:K25)</f>
        <v>0</v>
      </c>
    </row>
    <row r="26" spans="1:12" s="202" customFormat="1" ht="39" thickBot="1">
      <c r="A26" s="273">
        <v>10</v>
      </c>
      <c r="B26" s="1779" t="s">
        <v>942</v>
      </c>
      <c r="C26" s="1253" t="s">
        <v>941</v>
      </c>
      <c r="D26" s="1810">
        <f>SUM(E26:F26)</f>
        <v>2000</v>
      </c>
      <c r="E26" s="1465">
        <v>2000</v>
      </c>
      <c r="F26" s="1811">
        <v>0</v>
      </c>
      <c r="G26" s="1332">
        <v>2000</v>
      </c>
      <c r="H26" s="1778">
        <v>0</v>
      </c>
      <c r="I26" s="1771">
        <f>SUM(G26:H26)</f>
        <v>2000</v>
      </c>
      <c r="J26" s="206"/>
      <c r="K26" s="1332"/>
      <c r="L26" s="1771">
        <f>SUM(J26:K26)</f>
        <v>0</v>
      </c>
    </row>
    <row r="27" spans="1:12" ht="20.25" customHeight="1" thickBot="1">
      <c r="A27" s="207" t="s">
        <v>105</v>
      </c>
      <c r="B27" s="208" t="s">
        <v>227</v>
      </c>
      <c r="C27" s="208"/>
      <c r="D27" s="209">
        <f>SUM(D17:D26)</f>
        <v>4675442</v>
      </c>
      <c r="E27" s="276">
        <f aca="true" t="shared" si="4" ref="E27:L27">SUM(E17:E26)</f>
        <v>2707212</v>
      </c>
      <c r="F27" s="274">
        <f t="shared" si="4"/>
        <v>1968230</v>
      </c>
      <c r="G27" s="1331">
        <f t="shared" si="4"/>
        <v>2571639</v>
      </c>
      <c r="H27" s="1337">
        <f t="shared" si="4"/>
        <v>1812976</v>
      </c>
      <c r="I27" s="209">
        <f t="shared" si="4"/>
        <v>4384615</v>
      </c>
      <c r="J27" s="276">
        <f t="shared" si="4"/>
        <v>0</v>
      </c>
      <c r="K27" s="274">
        <f t="shared" si="4"/>
        <v>0</v>
      </c>
      <c r="L27" s="209">
        <f t="shared" si="4"/>
        <v>0</v>
      </c>
    </row>
    <row r="28" spans="1:12" ht="20.25" customHeight="1" thickBot="1">
      <c r="A28" s="1274" t="s">
        <v>350</v>
      </c>
      <c r="B28" s="1223"/>
      <c r="C28" s="1224"/>
      <c r="D28" s="210">
        <f aca="true" t="shared" si="5" ref="D28:L28">D27+D16+D15</f>
        <v>5105780</v>
      </c>
      <c r="E28" s="277">
        <f t="shared" si="5"/>
        <v>2972990</v>
      </c>
      <c r="F28" s="275">
        <f t="shared" si="5"/>
        <v>2132790</v>
      </c>
      <c r="G28" s="1333">
        <f t="shared" si="5"/>
        <v>2770537</v>
      </c>
      <c r="H28" s="1338">
        <f t="shared" si="5"/>
        <v>1973308</v>
      </c>
      <c r="I28" s="275">
        <f t="shared" si="5"/>
        <v>4743845</v>
      </c>
      <c r="J28" s="1342">
        <f t="shared" si="5"/>
        <v>0</v>
      </c>
      <c r="K28" s="275">
        <f t="shared" si="5"/>
        <v>0</v>
      </c>
      <c r="L28" s="275">
        <f t="shared" si="5"/>
        <v>0</v>
      </c>
    </row>
  </sheetData>
  <sheetProtection/>
  <mergeCells count="8">
    <mergeCell ref="D7:F7"/>
    <mergeCell ref="G7:I7"/>
    <mergeCell ref="J7:L7"/>
    <mergeCell ref="A4:L4"/>
    <mergeCell ref="A5:L5"/>
    <mergeCell ref="A7:A8"/>
    <mergeCell ref="B7:B8"/>
    <mergeCell ref="C7:C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2"/>
  <sheetViews>
    <sheetView showGridLines="0" zoomScale="90" zoomScaleNormal="90" zoomScalePageLayoutView="0" workbookViewId="0" topLeftCell="A1">
      <pane xSplit="5" ySplit="8" topLeftCell="F6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H1" sqref="H1"/>
    </sheetView>
  </sheetViews>
  <sheetFormatPr defaultColWidth="9.00390625" defaultRowHeight="12.75"/>
  <cols>
    <col min="1" max="1" width="7.625" style="29" customWidth="1"/>
    <col min="2" max="2" width="7.875" style="29" customWidth="1"/>
    <col min="3" max="3" width="11.50390625" style="29" customWidth="1"/>
    <col min="4" max="4" width="86.875" style="0" customWidth="1"/>
    <col min="5" max="5" width="8.875" style="0" customWidth="1"/>
    <col min="6" max="6" width="16.375" style="721" customWidth="1"/>
    <col min="7" max="7" width="17.375" style="721" customWidth="1"/>
    <col min="8" max="8" width="16.125" style="721" customWidth="1"/>
    <col min="9" max="9" width="13.625" style="1454" customWidth="1"/>
  </cols>
  <sheetData>
    <row r="1" spans="1:8" ht="15.75">
      <c r="A1" s="46"/>
      <c r="B1" s="46"/>
      <c r="H1" s="719" t="s">
        <v>945</v>
      </c>
    </row>
    <row r="2" spans="1:8" ht="15.75">
      <c r="A2" s="46"/>
      <c r="B2" s="46"/>
      <c r="H2" s="719" t="s">
        <v>93</v>
      </c>
    </row>
    <row r="3" spans="1:3" ht="21.75" customHeight="1">
      <c r="A3" s="46"/>
      <c r="B3" s="46"/>
      <c r="C3" s="47"/>
    </row>
    <row r="4" spans="1:9" ht="20.25">
      <c r="A4" s="1863" t="s">
        <v>653</v>
      </c>
      <c r="B4" s="1863"/>
      <c r="C4" s="1863"/>
      <c r="D4" s="1863"/>
      <c r="E4" s="1863"/>
      <c r="F4" s="1863"/>
      <c r="G4" s="1863"/>
      <c r="H4" s="1863"/>
      <c r="I4" s="1455"/>
    </row>
    <row r="5" spans="1:9" ht="18">
      <c r="A5" s="1850" t="s">
        <v>560</v>
      </c>
      <c r="B5" s="1850"/>
      <c r="C5" s="1850"/>
      <c r="D5" s="1850"/>
      <c r="E5" s="1850"/>
      <c r="F5" s="1850"/>
      <c r="G5" s="1850"/>
      <c r="H5" s="1850"/>
      <c r="I5" s="1456"/>
    </row>
    <row r="6" spans="1:8" ht="21" customHeight="1" thickBot="1">
      <c r="A6" s="48"/>
      <c r="B6" s="48"/>
      <c r="H6" s="720" t="s">
        <v>134</v>
      </c>
    </row>
    <row r="7" spans="1:8" ht="62.25" customHeight="1" thickBot="1">
      <c r="A7" s="593" t="s">
        <v>317</v>
      </c>
      <c r="B7" s="1889" t="s">
        <v>318</v>
      </c>
      <c r="C7" s="1890"/>
      <c r="D7" s="1891"/>
      <c r="E7" s="621" t="s">
        <v>231</v>
      </c>
      <c r="F7" s="1006" t="s">
        <v>790</v>
      </c>
      <c r="G7" s="1007" t="s">
        <v>438</v>
      </c>
      <c r="H7" s="616" t="s">
        <v>658</v>
      </c>
    </row>
    <row r="8" spans="1:9" s="1001" customFormat="1" ht="12" customHeight="1" thickBot="1">
      <c r="A8" s="995">
        <v>1</v>
      </c>
      <c r="B8" s="1896">
        <v>2</v>
      </c>
      <c r="C8" s="1897"/>
      <c r="D8" s="1898"/>
      <c r="E8" s="996">
        <v>3</v>
      </c>
      <c r="F8" s="1000">
        <v>4</v>
      </c>
      <c r="G8" s="998">
        <v>5</v>
      </c>
      <c r="H8" s="999">
        <v>6</v>
      </c>
      <c r="I8" s="1177"/>
    </row>
    <row r="9" spans="1:9" s="200" customFormat="1" ht="16.5" customHeight="1" thickBot="1">
      <c r="A9" s="744" t="s">
        <v>95</v>
      </c>
      <c r="B9" s="1849" t="s">
        <v>113</v>
      </c>
      <c r="C9" s="1823"/>
      <c r="D9" s="1892"/>
      <c r="E9" s="745" t="s">
        <v>355</v>
      </c>
      <c r="F9" s="860">
        <f>hivatal9!I11</f>
        <v>3566390</v>
      </c>
      <c r="G9" s="881">
        <f>hivatal9!J11</f>
        <v>29512</v>
      </c>
      <c r="H9" s="881">
        <f>hivatal9!K11</f>
        <v>3595902</v>
      </c>
      <c r="I9" s="1457">
        <f>hivatal9!K11</f>
        <v>3595902</v>
      </c>
    </row>
    <row r="10" spans="1:9" s="200" customFormat="1" ht="16.5" customHeight="1" thickBot="1">
      <c r="A10" s="746" t="s">
        <v>102</v>
      </c>
      <c r="B10" s="1849" t="s">
        <v>356</v>
      </c>
      <c r="C10" s="1823"/>
      <c r="D10" s="1892"/>
      <c r="E10" s="747" t="s">
        <v>357</v>
      </c>
      <c r="F10" s="860">
        <f>hivatal9!I12</f>
        <v>815346</v>
      </c>
      <c r="G10" s="881">
        <f>hivatal9!J12</f>
        <v>-348</v>
      </c>
      <c r="H10" s="881">
        <f>hivatal9!K12</f>
        <v>814998</v>
      </c>
      <c r="I10" s="1457">
        <f>hivatal9!K12</f>
        <v>814998</v>
      </c>
    </row>
    <row r="11" spans="1:9" s="200" customFormat="1" ht="16.5" customHeight="1" thickBot="1">
      <c r="A11" s="744" t="s">
        <v>105</v>
      </c>
      <c r="B11" s="1849" t="s">
        <v>116</v>
      </c>
      <c r="C11" s="1823"/>
      <c r="D11" s="1892"/>
      <c r="E11" s="745" t="s">
        <v>358</v>
      </c>
      <c r="F11" s="860">
        <f>hivatal9!I13</f>
        <v>5662396</v>
      </c>
      <c r="G11" s="881">
        <f>hivatal9!J13</f>
        <v>-40731</v>
      </c>
      <c r="H11" s="881">
        <f>hivatal9!K13</f>
        <v>5621665</v>
      </c>
      <c r="I11" s="1457">
        <f>hivatal9!K13</f>
        <v>5621665</v>
      </c>
    </row>
    <row r="12" spans="1:9" s="278" customFormat="1" ht="16.5" customHeight="1" thickBot="1">
      <c r="A12" s="744" t="s">
        <v>106</v>
      </c>
      <c r="B12" s="1849" t="s">
        <v>172</v>
      </c>
      <c r="C12" s="1823"/>
      <c r="D12" s="1892"/>
      <c r="E12" s="745" t="s">
        <v>359</v>
      </c>
      <c r="F12" s="860">
        <f>hivatal9!I14</f>
        <v>124423</v>
      </c>
      <c r="G12" s="881">
        <f>hivatal9!J14</f>
        <v>-1556</v>
      </c>
      <c r="H12" s="881">
        <f>hivatal9!K14</f>
        <v>122867</v>
      </c>
      <c r="I12" s="1457">
        <f>hivatal9!K14</f>
        <v>122867</v>
      </c>
    </row>
    <row r="13" spans="1:9" s="200" customFormat="1" ht="16.5" customHeight="1">
      <c r="A13" s="1924"/>
      <c r="B13" s="672">
        <v>1</v>
      </c>
      <c r="C13" s="1831" t="s">
        <v>361</v>
      </c>
      <c r="D13" s="1887"/>
      <c r="E13" s="794" t="s">
        <v>362</v>
      </c>
      <c r="F13" s="861">
        <f>hivatal9!I15</f>
        <v>157855</v>
      </c>
      <c r="G13" s="969">
        <f>hivatal9!J15</f>
        <v>0</v>
      </c>
      <c r="H13" s="1015">
        <f>hivatal9!K15</f>
        <v>157855</v>
      </c>
      <c r="I13" s="1457">
        <f>hivatal9!K15</f>
        <v>157855</v>
      </c>
    </row>
    <row r="14" spans="1:9" s="200" customFormat="1" ht="16.5" customHeight="1">
      <c r="A14" s="1925"/>
      <c r="B14" s="676">
        <v>2</v>
      </c>
      <c r="C14" s="1819" t="s">
        <v>0</v>
      </c>
      <c r="D14" s="1888"/>
      <c r="E14" s="790" t="s">
        <v>1</v>
      </c>
      <c r="F14" s="861">
        <f>hivatal9!I16</f>
        <v>0</v>
      </c>
      <c r="G14" s="674">
        <f>hivatal9!J16</f>
        <v>0</v>
      </c>
      <c r="H14" s="1016">
        <f>hivatal9!K16</f>
        <v>0</v>
      </c>
      <c r="I14" s="764"/>
    </row>
    <row r="15" spans="1:9" s="200" customFormat="1" ht="16.5" customHeight="1">
      <c r="A15" s="1925"/>
      <c r="B15" s="676">
        <v>3</v>
      </c>
      <c r="C15" s="1819" t="s">
        <v>2</v>
      </c>
      <c r="D15" s="1888"/>
      <c r="E15" s="790" t="s">
        <v>3</v>
      </c>
      <c r="F15" s="861">
        <f>hivatal9!I17</f>
        <v>0</v>
      </c>
      <c r="G15" s="674">
        <f>hivatal9!J17</f>
        <v>0</v>
      </c>
      <c r="H15" s="1016">
        <f>hivatal9!K17</f>
        <v>0</v>
      </c>
      <c r="I15" s="764"/>
    </row>
    <row r="16" spans="1:9" s="200" customFormat="1" ht="16.5" customHeight="1">
      <c r="A16" s="1925"/>
      <c r="B16" s="1931">
        <v>4</v>
      </c>
      <c r="C16" s="1819" t="s">
        <v>4</v>
      </c>
      <c r="D16" s="1888"/>
      <c r="E16" s="790" t="s">
        <v>5</v>
      </c>
      <c r="F16" s="791">
        <f>SUM(F17:F22)</f>
        <v>38521</v>
      </c>
      <c r="G16" s="792">
        <f>SUM(G17:G22)</f>
        <v>816</v>
      </c>
      <c r="H16" s="874">
        <f>SUM(H17:H22)</f>
        <v>39337</v>
      </c>
      <c r="I16" s="1457">
        <f>hivatal9!K18</f>
        <v>39337</v>
      </c>
    </row>
    <row r="17" spans="1:9" s="200" customFormat="1" ht="16.5" customHeight="1">
      <c r="A17" s="1925"/>
      <c r="B17" s="1905"/>
      <c r="C17" s="736" t="s">
        <v>253</v>
      </c>
      <c r="D17" s="737" t="s">
        <v>402</v>
      </c>
      <c r="E17" s="738" t="str">
        <f>E16</f>
        <v>K506</v>
      </c>
      <c r="F17" s="862">
        <v>25923</v>
      </c>
      <c r="G17" s="882">
        <v>105</v>
      </c>
      <c r="H17" s="967">
        <f aca="true" t="shared" si="0" ref="H17:H22">SUM(F17:G17)</f>
        <v>26028</v>
      </c>
      <c r="I17" s="764"/>
    </row>
    <row r="18" spans="1:9" s="200" customFormat="1" ht="16.5" customHeight="1">
      <c r="A18" s="1925"/>
      <c r="B18" s="1905"/>
      <c r="C18" s="736" t="s">
        <v>253</v>
      </c>
      <c r="D18" s="737" t="s">
        <v>898</v>
      </c>
      <c r="E18" s="738" t="s">
        <v>5</v>
      </c>
      <c r="F18" s="862">
        <v>675</v>
      </c>
      <c r="G18" s="882">
        <v>25</v>
      </c>
      <c r="H18" s="967">
        <f t="shared" si="0"/>
        <v>700</v>
      </c>
      <c r="I18" s="764"/>
    </row>
    <row r="19" spans="1:9" s="739" customFormat="1" ht="16.5" customHeight="1">
      <c r="A19" s="1925"/>
      <c r="B19" s="1905"/>
      <c r="C19" s="736" t="s">
        <v>253</v>
      </c>
      <c r="D19" s="737" t="s">
        <v>443</v>
      </c>
      <c r="E19" s="738" t="str">
        <f>E16</f>
        <v>K506</v>
      </c>
      <c r="F19" s="862">
        <v>788</v>
      </c>
      <c r="G19" s="882">
        <f>-488+135</f>
        <v>-353</v>
      </c>
      <c r="H19" s="967">
        <f t="shared" si="0"/>
        <v>435</v>
      </c>
      <c r="I19" s="1008"/>
    </row>
    <row r="20" spans="1:9" s="739" customFormat="1" ht="16.5" customHeight="1">
      <c r="A20" s="1925"/>
      <c r="B20" s="1905"/>
      <c r="C20" s="736" t="s">
        <v>253</v>
      </c>
      <c r="D20" s="737" t="s">
        <v>443</v>
      </c>
      <c r="E20" s="738" t="s">
        <v>5</v>
      </c>
      <c r="F20" s="862"/>
      <c r="G20" s="882">
        <v>488</v>
      </c>
      <c r="H20" s="967">
        <f t="shared" si="0"/>
        <v>488</v>
      </c>
      <c r="I20" s="1008"/>
    </row>
    <row r="21" spans="1:9" s="739" customFormat="1" ht="16.5" customHeight="1">
      <c r="A21" s="1925"/>
      <c r="B21" s="1905"/>
      <c r="C21" s="736" t="s">
        <v>253</v>
      </c>
      <c r="D21" s="737" t="s">
        <v>437</v>
      </c>
      <c r="E21" s="738" t="str">
        <f>E16</f>
        <v>K506</v>
      </c>
      <c r="F21" s="862">
        <v>5144</v>
      </c>
      <c r="G21" s="882">
        <v>11</v>
      </c>
      <c r="H21" s="967">
        <f t="shared" si="0"/>
        <v>5155</v>
      </c>
      <c r="I21" s="1008"/>
    </row>
    <row r="22" spans="1:9" s="739" customFormat="1" ht="16.5" customHeight="1">
      <c r="A22" s="1925"/>
      <c r="B22" s="1906"/>
      <c r="C22" s="736" t="s">
        <v>253</v>
      </c>
      <c r="D22" s="737" t="s">
        <v>444</v>
      </c>
      <c r="E22" s="738" t="str">
        <f>E21</f>
        <v>K506</v>
      </c>
      <c r="F22" s="862">
        <v>5991</v>
      </c>
      <c r="G22" s="882">
        <v>540</v>
      </c>
      <c r="H22" s="967">
        <f t="shared" si="0"/>
        <v>6531</v>
      </c>
      <c r="I22" s="1008"/>
    </row>
    <row r="23" spans="1:9" s="200" customFormat="1" ht="16.5" customHeight="1">
      <c r="A23" s="1925"/>
      <c r="B23" s="1932">
        <v>5</v>
      </c>
      <c r="C23" s="1819" t="s">
        <v>6</v>
      </c>
      <c r="D23" s="1888"/>
      <c r="E23" s="790" t="s">
        <v>7</v>
      </c>
      <c r="F23" s="791">
        <f>SUM(F24:F28)</f>
        <v>0</v>
      </c>
      <c r="G23" s="792">
        <f>SUM(G24:G28)</f>
        <v>0</v>
      </c>
      <c r="H23" s="874">
        <f>SUM(H24:H28)</f>
        <v>0</v>
      </c>
      <c r="I23" s="1457">
        <f>hivatal9!K19</f>
        <v>0</v>
      </c>
    </row>
    <row r="24" spans="1:9" s="739" customFormat="1" ht="16.5" customHeight="1">
      <c r="A24" s="1925"/>
      <c r="B24" s="1933"/>
      <c r="C24" s="736" t="s">
        <v>253</v>
      </c>
      <c r="D24" s="584" t="s">
        <v>367</v>
      </c>
      <c r="E24" s="586" t="str">
        <f>E23</f>
        <v>K508</v>
      </c>
      <c r="F24" s="863"/>
      <c r="G24" s="606"/>
      <c r="H24" s="968">
        <f>SUM(F24:G24)</f>
        <v>0</v>
      </c>
      <c r="I24" s="1008"/>
    </row>
    <row r="25" spans="1:9" s="739" customFormat="1" ht="16.5" customHeight="1">
      <c r="A25" s="1925"/>
      <c r="B25" s="1933"/>
      <c r="C25" s="736" t="s">
        <v>253</v>
      </c>
      <c r="D25" s="584" t="s">
        <v>368</v>
      </c>
      <c r="E25" s="586" t="str">
        <f>E24</f>
        <v>K508</v>
      </c>
      <c r="F25" s="863"/>
      <c r="G25" s="606"/>
      <c r="H25" s="968">
        <f>SUM(F25:G25)</f>
        <v>0</v>
      </c>
      <c r="I25" s="1008"/>
    </row>
    <row r="26" spans="1:9" s="739" customFormat="1" ht="16.5" customHeight="1">
      <c r="A26" s="1925"/>
      <c r="B26" s="1933"/>
      <c r="C26" s="736" t="s">
        <v>253</v>
      </c>
      <c r="D26" s="584" t="s">
        <v>369</v>
      </c>
      <c r="E26" s="586" t="str">
        <f>E25</f>
        <v>K508</v>
      </c>
      <c r="F26" s="863"/>
      <c r="G26" s="606"/>
      <c r="H26" s="968">
        <f>SUM(F26:G26)</f>
        <v>0</v>
      </c>
      <c r="I26" s="1008"/>
    </row>
    <row r="27" spans="1:9" s="739" customFormat="1" ht="16.5" customHeight="1">
      <c r="A27" s="1925"/>
      <c r="B27" s="1933"/>
      <c r="C27" s="736" t="s">
        <v>253</v>
      </c>
      <c r="D27" s="584" t="s">
        <v>370</v>
      </c>
      <c r="E27" s="586" t="str">
        <f>E26</f>
        <v>K508</v>
      </c>
      <c r="F27" s="863"/>
      <c r="G27" s="606"/>
      <c r="H27" s="968">
        <f>SUM(F27:G27)</f>
        <v>0</v>
      </c>
      <c r="I27" s="1008"/>
    </row>
    <row r="28" spans="1:9" s="739" customFormat="1" ht="16.5" customHeight="1">
      <c r="A28" s="1925"/>
      <c r="B28" s="1934"/>
      <c r="C28" s="736" t="s">
        <v>253</v>
      </c>
      <c r="D28" s="584" t="s">
        <v>377</v>
      </c>
      <c r="E28" s="586" t="str">
        <f>E26</f>
        <v>K508</v>
      </c>
      <c r="F28" s="863"/>
      <c r="G28" s="606"/>
      <c r="H28" s="968">
        <f>SUM(F28:G28)</f>
        <v>0</v>
      </c>
      <c r="I28" s="1008"/>
    </row>
    <row r="29" spans="1:11" s="200" customFormat="1" ht="16.5" customHeight="1">
      <c r="A29" s="1925"/>
      <c r="B29" s="1931">
        <v>6</v>
      </c>
      <c r="C29" s="1819" t="s">
        <v>8</v>
      </c>
      <c r="D29" s="1888"/>
      <c r="E29" s="790" t="s">
        <v>9</v>
      </c>
      <c r="F29" s="791">
        <f>SUM(F30:F35)</f>
        <v>680377</v>
      </c>
      <c r="G29" s="792">
        <f>SUM(G30:G35)</f>
        <v>20288</v>
      </c>
      <c r="H29" s="874">
        <f>SUM(H30:H35)</f>
        <v>700665</v>
      </c>
      <c r="I29" s="1457">
        <f>hivatal9!K21</f>
        <v>700665</v>
      </c>
      <c r="K29" s="311">
        <f>I29-H29</f>
        <v>0</v>
      </c>
    </row>
    <row r="30" spans="1:9" s="739" customFormat="1" ht="16.5" customHeight="1">
      <c r="A30" s="1925"/>
      <c r="B30" s="1905"/>
      <c r="C30" s="736" t="s">
        <v>253</v>
      </c>
      <c r="D30" s="584" t="s">
        <v>367</v>
      </c>
      <c r="E30" s="738" t="str">
        <f>E29</f>
        <v>K512</v>
      </c>
      <c r="F30" s="863">
        <v>8102</v>
      </c>
      <c r="G30" s="606"/>
      <c r="H30" s="968">
        <f>SUM(F30:G30)</f>
        <v>8102</v>
      </c>
      <c r="I30" s="1008"/>
    </row>
    <row r="31" spans="1:9" s="739" customFormat="1" ht="16.5" customHeight="1">
      <c r="A31" s="1925"/>
      <c r="B31" s="1905"/>
      <c r="C31" s="736" t="s">
        <v>253</v>
      </c>
      <c r="D31" s="584" t="s">
        <v>855</v>
      </c>
      <c r="E31" s="738" t="s">
        <v>9</v>
      </c>
      <c r="F31" s="863">
        <v>1940</v>
      </c>
      <c r="G31" s="606"/>
      <c r="H31" s="968">
        <f>SUM(F31:G31)</f>
        <v>1940</v>
      </c>
      <c r="I31" s="1008"/>
    </row>
    <row r="32" spans="1:9" s="739" customFormat="1" ht="16.5" customHeight="1">
      <c r="A32" s="1925"/>
      <c r="B32" s="1905"/>
      <c r="C32" s="736" t="s">
        <v>253</v>
      </c>
      <c r="D32" s="584" t="s">
        <v>368</v>
      </c>
      <c r="E32" s="738" t="str">
        <f>E30</f>
        <v>K512</v>
      </c>
      <c r="F32" s="862">
        <v>129477</v>
      </c>
      <c r="G32" s="606">
        <f>-641+1435-33-700</f>
        <v>61</v>
      </c>
      <c r="H32" s="968">
        <f aca="true" t="shared" si="1" ref="H32:H38">SUM(F32:G32)</f>
        <v>129538</v>
      </c>
      <c r="I32" s="1008"/>
    </row>
    <row r="33" spans="1:9" s="739" customFormat="1" ht="16.5" customHeight="1">
      <c r="A33" s="1925"/>
      <c r="B33" s="1905"/>
      <c r="C33" s="736" t="s">
        <v>253</v>
      </c>
      <c r="D33" s="584" t="s">
        <v>369</v>
      </c>
      <c r="E33" s="738" t="str">
        <f>E32</f>
        <v>K512</v>
      </c>
      <c r="F33" s="863">
        <v>56</v>
      </c>
      <c r="G33" s="606"/>
      <c r="H33" s="968">
        <f t="shared" si="1"/>
        <v>56</v>
      </c>
      <c r="I33" s="1008"/>
    </row>
    <row r="34" spans="1:9" s="739" customFormat="1" ht="16.5" customHeight="1">
      <c r="A34" s="1925"/>
      <c r="B34" s="1905"/>
      <c r="C34" s="736" t="s">
        <v>253</v>
      </c>
      <c r="D34" s="584" t="s">
        <v>370</v>
      </c>
      <c r="E34" s="738" t="str">
        <f>E32</f>
        <v>K512</v>
      </c>
      <c r="F34" s="862">
        <v>534494</v>
      </c>
      <c r="G34" s="606">
        <f>-16029+35933</f>
        <v>19904</v>
      </c>
      <c r="H34" s="968">
        <f t="shared" si="1"/>
        <v>554398</v>
      </c>
      <c r="I34" s="1008"/>
    </row>
    <row r="35" spans="1:9" s="739" customFormat="1" ht="16.5" customHeight="1">
      <c r="A35" s="1925"/>
      <c r="B35" s="1906"/>
      <c r="C35" s="736" t="s">
        <v>253</v>
      </c>
      <c r="D35" s="584" t="s">
        <v>377</v>
      </c>
      <c r="E35" s="738" t="str">
        <f>E33</f>
        <v>K512</v>
      </c>
      <c r="F35" s="863">
        <v>6308</v>
      </c>
      <c r="G35" s="606">
        <v>323</v>
      </c>
      <c r="H35" s="968">
        <f t="shared" si="1"/>
        <v>6631</v>
      </c>
      <c r="I35" s="1008"/>
    </row>
    <row r="36" spans="1:9" s="200" customFormat="1" ht="16.5" customHeight="1">
      <c r="A36" s="1925"/>
      <c r="B36" s="1931">
        <v>7</v>
      </c>
      <c r="C36" s="1819" t="s">
        <v>55</v>
      </c>
      <c r="D36" s="1888"/>
      <c r="E36" s="790" t="s">
        <v>492</v>
      </c>
      <c r="F36" s="864">
        <f>SUM(F37:F38)</f>
        <v>635260</v>
      </c>
      <c r="G36" s="789">
        <f>SUM(G37:G38)</f>
        <v>334102</v>
      </c>
      <c r="H36" s="875">
        <f>SUM(H37:H38)</f>
        <v>969362</v>
      </c>
      <c r="I36" s="1457">
        <f>hivatal9!K22</f>
        <v>969362</v>
      </c>
    </row>
    <row r="37" spans="1:9" s="88" customFormat="1" ht="16.5" customHeight="1">
      <c r="A37" s="1925"/>
      <c r="B37" s="1905"/>
      <c r="C37" s="736" t="s">
        <v>253</v>
      </c>
      <c r="D37" s="582" t="s">
        <v>10</v>
      </c>
      <c r="E37" s="586" t="s">
        <v>492</v>
      </c>
      <c r="F37" s="863">
        <f>tartalék!D9</f>
        <v>151893</v>
      </c>
      <c r="G37" s="606">
        <f>tartalék!E9</f>
        <v>20177</v>
      </c>
      <c r="H37" s="968">
        <f t="shared" si="1"/>
        <v>172070</v>
      </c>
      <c r="I37" s="764"/>
    </row>
    <row r="38" spans="1:9" s="88" customFormat="1" ht="16.5" customHeight="1" thickBot="1">
      <c r="A38" s="1926"/>
      <c r="B38" s="1935"/>
      <c r="C38" s="736" t="s">
        <v>253</v>
      </c>
      <c r="D38" s="595" t="s">
        <v>363</v>
      </c>
      <c r="E38" s="627" t="s">
        <v>492</v>
      </c>
      <c r="F38" s="1391">
        <f>tartalék!D35</f>
        <v>483367</v>
      </c>
      <c r="G38" s="970">
        <f>tartalék!E35</f>
        <v>313925</v>
      </c>
      <c r="H38" s="968">
        <f t="shared" si="1"/>
        <v>797292</v>
      </c>
      <c r="I38" s="764"/>
    </row>
    <row r="39" spans="1:9" s="278" customFormat="1" ht="18.75" customHeight="1" thickBot="1">
      <c r="A39" s="744" t="s">
        <v>107</v>
      </c>
      <c r="B39" s="1849" t="s">
        <v>171</v>
      </c>
      <c r="C39" s="1823"/>
      <c r="D39" s="1892"/>
      <c r="E39" s="745" t="s">
        <v>360</v>
      </c>
      <c r="F39" s="748">
        <f>F13+F14+F15+F16+F23+F29+F36</f>
        <v>1512013</v>
      </c>
      <c r="G39" s="1017">
        <f>G13+G14+G15+G16+G23+G29+G36</f>
        <v>355206</v>
      </c>
      <c r="H39" s="748">
        <f>H13+H14+H15+H16+H23+H29+H36</f>
        <v>1867219</v>
      </c>
      <c r="I39" s="1179"/>
    </row>
    <row r="40" spans="1:9" s="278" customFormat="1" ht="21" customHeight="1" thickBot="1">
      <c r="A40" s="1052" t="s">
        <v>120</v>
      </c>
      <c r="B40" s="1917" t="s">
        <v>417</v>
      </c>
      <c r="C40" s="1918"/>
      <c r="D40" s="1918"/>
      <c r="E40" s="858"/>
      <c r="F40" s="866">
        <f>F9+F10+F11+F12+F39</f>
        <v>11680568</v>
      </c>
      <c r="G40" s="859">
        <f>G9+G10+G11+G12+G39</f>
        <v>342083</v>
      </c>
      <c r="H40" s="876">
        <f>H9+H10+H11+H12+H39</f>
        <v>12022651</v>
      </c>
      <c r="I40" s="1179"/>
    </row>
    <row r="41" spans="1:9" s="88" customFormat="1" ht="21" customHeight="1" thickBot="1">
      <c r="A41" s="1893" t="s">
        <v>371</v>
      </c>
      <c r="B41" s="1894"/>
      <c r="C41" s="1894"/>
      <c r="D41" s="1894"/>
      <c r="E41" s="1895"/>
      <c r="F41" s="740">
        <f>'bevétfő '!G61-'kiadfő '!F40</f>
        <v>-1745115</v>
      </c>
      <c r="G41" s="741">
        <f>'bevétfő '!H61-'kiadfő '!G40</f>
        <v>728629</v>
      </c>
      <c r="H41" s="877">
        <f>'bevétfő '!I61-'kiadfő '!H40</f>
        <v>-1016486</v>
      </c>
      <c r="I41" s="764"/>
    </row>
    <row r="42" spans="1:9" s="88" customFormat="1" ht="16.5" customHeight="1">
      <c r="A42" s="1922"/>
      <c r="B42" s="723" t="s">
        <v>57</v>
      </c>
      <c r="C42" s="1834" t="s">
        <v>373</v>
      </c>
      <c r="D42" s="1901"/>
      <c r="E42" s="738" t="s">
        <v>12</v>
      </c>
      <c r="F42" s="867">
        <f>beruházás!C214</f>
        <v>4779232</v>
      </c>
      <c r="G42" s="971">
        <f>beruházás!D214</f>
        <v>13607</v>
      </c>
      <c r="H42" s="971">
        <f>beruházás!E214</f>
        <v>4792839</v>
      </c>
      <c r="I42" s="764"/>
    </row>
    <row r="43" spans="1:9" s="88" customFormat="1" ht="16.5" customHeight="1" thickBot="1">
      <c r="A43" s="1923"/>
      <c r="B43" s="742" t="s">
        <v>58</v>
      </c>
      <c r="C43" s="1842" t="s">
        <v>374</v>
      </c>
      <c r="D43" s="1902"/>
      <c r="E43" s="750" t="s">
        <v>12</v>
      </c>
      <c r="F43" s="867">
        <f>beruházás!C215</f>
        <v>121486</v>
      </c>
      <c r="G43" s="972">
        <f>beruházás!D215</f>
        <v>7231</v>
      </c>
      <c r="H43" s="972">
        <f>beruházás!E215</f>
        <v>128717</v>
      </c>
      <c r="I43" s="764"/>
    </row>
    <row r="44" spans="1:9" s="200" customFormat="1" ht="16.5" customHeight="1" thickBot="1">
      <c r="A44" s="744" t="s">
        <v>326</v>
      </c>
      <c r="B44" s="1849" t="s">
        <v>11</v>
      </c>
      <c r="C44" s="1823"/>
      <c r="D44" s="1892"/>
      <c r="E44" s="745" t="s">
        <v>12</v>
      </c>
      <c r="F44" s="860">
        <f>SUM(F42:F43)</f>
        <v>4900718</v>
      </c>
      <c r="G44" s="881">
        <f>SUM(G42:G43)</f>
        <v>20838</v>
      </c>
      <c r="H44" s="881">
        <f>SUM(H42:H43)</f>
        <v>4921556</v>
      </c>
      <c r="I44" s="1457">
        <f>hivatal9!K24</f>
        <v>4921556</v>
      </c>
    </row>
    <row r="45" spans="1:9" s="88" customFormat="1" ht="16.5" customHeight="1">
      <c r="A45" s="1922"/>
      <c r="B45" s="749" t="s">
        <v>57</v>
      </c>
      <c r="C45" s="1834" t="s">
        <v>375</v>
      </c>
      <c r="D45" s="1901"/>
      <c r="E45" s="751" t="s">
        <v>14</v>
      </c>
      <c r="F45" s="971">
        <f>felújítás!C141</f>
        <v>1770404</v>
      </c>
      <c r="G45" s="971">
        <f>felújítás!D141</f>
        <v>-14153</v>
      </c>
      <c r="H45" s="971">
        <f>felújítás!E141</f>
        <v>1756251</v>
      </c>
      <c r="I45" s="764"/>
    </row>
    <row r="46" spans="1:9" s="88" customFormat="1" ht="16.5" customHeight="1" thickBot="1">
      <c r="A46" s="1923"/>
      <c r="B46" s="742" t="s">
        <v>58</v>
      </c>
      <c r="C46" s="1842" t="s">
        <v>376</v>
      </c>
      <c r="D46" s="1902"/>
      <c r="E46" s="750" t="s">
        <v>14</v>
      </c>
      <c r="F46" s="1275">
        <f>felújítás!C142</f>
        <v>2540</v>
      </c>
      <c r="G46" s="1275">
        <f>felújítás!D142</f>
        <v>10185</v>
      </c>
      <c r="H46" s="1275">
        <f>felújítás!E142</f>
        <v>12725</v>
      </c>
      <c r="I46" s="764"/>
    </row>
    <row r="47" spans="1:9" s="200" customFormat="1" ht="16.5" customHeight="1" thickBot="1">
      <c r="A47" s="744" t="s">
        <v>327</v>
      </c>
      <c r="B47" s="1849" t="s">
        <v>13</v>
      </c>
      <c r="C47" s="1823"/>
      <c r="D47" s="1892"/>
      <c r="E47" s="745" t="s">
        <v>14</v>
      </c>
      <c r="F47" s="881">
        <f>SUM(F45:F46)</f>
        <v>1772944</v>
      </c>
      <c r="G47" s="860">
        <f>SUM(G45:G46)</f>
        <v>-3968</v>
      </c>
      <c r="H47" s="881">
        <f>SUM(H45:H46)</f>
        <v>1768976</v>
      </c>
      <c r="I47" s="1457">
        <f>hivatal9!K25</f>
        <v>1768976</v>
      </c>
    </row>
    <row r="48" spans="1:9" s="200" customFormat="1" ht="16.5" customHeight="1">
      <c r="A48" s="1907"/>
      <c r="B48" s="795">
        <v>1</v>
      </c>
      <c r="C48" s="1831" t="s">
        <v>16</v>
      </c>
      <c r="D48" s="1887"/>
      <c r="E48" s="790" t="s">
        <v>17</v>
      </c>
      <c r="F48" s="791"/>
      <c r="G48" s="792"/>
      <c r="H48" s="659">
        <f>SUM(F48:G48)</f>
        <v>0</v>
      </c>
      <c r="I48" s="764"/>
    </row>
    <row r="49" spans="1:9" s="200" customFormat="1" ht="16.5" customHeight="1">
      <c r="A49" s="1908"/>
      <c r="B49" s="795">
        <v>2</v>
      </c>
      <c r="C49" s="1819" t="s">
        <v>18</v>
      </c>
      <c r="D49" s="1888"/>
      <c r="E49" s="790" t="s">
        <v>19</v>
      </c>
      <c r="F49" s="791"/>
      <c r="G49" s="792"/>
      <c r="H49" s="878">
        <f>SUM(F49:G49)</f>
        <v>0</v>
      </c>
      <c r="I49" s="764"/>
    </row>
    <row r="50" spans="1:9" s="200" customFormat="1" ht="16.5" customHeight="1">
      <c r="A50" s="1908"/>
      <c r="B50" s="1927">
        <v>3</v>
      </c>
      <c r="C50" s="1819" t="s">
        <v>20</v>
      </c>
      <c r="D50" s="1888"/>
      <c r="E50" s="790" t="s">
        <v>21</v>
      </c>
      <c r="F50" s="791">
        <f>SUM(F51:F53)</f>
        <v>0</v>
      </c>
      <c r="G50" s="792">
        <f>SUM(G51:G53)</f>
        <v>0</v>
      </c>
      <c r="H50" s="874">
        <f>SUM(H51:H53)</f>
        <v>0</v>
      </c>
      <c r="I50" s="764"/>
    </row>
    <row r="51" spans="1:9" s="739" customFormat="1" ht="16.5" customHeight="1">
      <c r="A51" s="1908"/>
      <c r="B51" s="1928"/>
      <c r="C51" s="736" t="s">
        <v>253</v>
      </c>
      <c r="D51" s="737" t="s">
        <v>402</v>
      </c>
      <c r="E51" s="738" t="str">
        <f>E50</f>
        <v>K84</v>
      </c>
      <c r="F51" s="862"/>
      <c r="G51" s="882"/>
      <c r="H51" s="968">
        <f aca="true" t="shared" si="2" ref="H51:H65">SUM(F51:G51)</f>
        <v>0</v>
      </c>
      <c r="I51" s="1008"/>
    </row>
    <row r="52" spans="1:9" s="739" customFormat="1" ht="16.5" customHeight="1">
      <c r="A52" s="1908"/>
      <c r="B52" s="1928"/>
      <c r="C52" s="736" t="s">
        <v>253</v>
      </c>
      <c r="D52" s="737" t="s">
        <v>444</v>
      </c>
      <c r="E52" s="738" t="str">
        <f>E50</f>
        <v>K84</v>
      </c>
      <c r="F52" s="862"/>
      <c r="G52" s="882"/>
      <c r="H52" s="968">
        <f t="shared" si="2"/>
        <v>0</v>
      </c>
      <c r="I52" s="1008"/>
    </row>
    <row r="53" spans="1:9" s="739" customFormat="1" ht="16.5" customHeight="1">
      <c r="A53" s="1908"/>
      <c r="B53" s="1930"/>
      <c r="C53" s="736" t="s">
        <v>253</v>
      </c>
      <c r="D53" s="737" t="s">
        <v>444</v>
      </c>
      <c r="E53" s="738" t="str">
        <f>E51</f>
        <v>K84</v>
      </c>
      <c r="F53" s="862"/>
      <c r="G53" s="882"/>
      <c r="H53" s="968">
        <f t="shared" si="2"/>
        <v>0</v>
      </c>
      <c r="I53" s="1008"/>
    </row>
    <row r="54" spans="1:9" s="312" customFormat="1" ht="16.5" customHeight="1">
      <c r="A54" s="1908"/>
      <c r="B54" s="1927">
        <v>4</v>
      </c>
      <c r="C54" s="1819" t="s">
        <v>22</v>
      </c>
      <c r="D54" s="1888"/>
      <c r="E54" s="790" t="s">
        <v>23</v>
      </c>
      <c r="F54" s="791">
        <f>SUM(F56:F59)</f>
        <v>10954</v>
      </c>
      <c r="G54" s="792">
        <f>SUM(G56:G59)</f>
        <v>379</v>
      </c>
      <c r="H54" s="874">
        <f>SUM(H56:H59)</f>
        <v>11333</v>
      </c>
      <c r="I54" s="1185">
        <f>hivatal9!K29</f>
        <v>11333</v>
      </c>
    </row>
    <row r="55" spans="1:9" s="739" customFormat="1" ht="16.5" customHeight="1">
      <c r="A55" s="1908"/>
      <c r="B55" s="1928"/>
      <c r="C55" s="736" t="s">
        <v>253</v>
      </c>
      <c r="D55" s="584" t="s">
        <v>367</v>
      </c>
      <c r="E55" s="586" t="str">
        <f>E54</f>
        <v>K86</v>
      </c>
      <c r="F55" s="863"/>
      <c r="G55" s="606"/>
      <c r="H55" s="968">
        <f t="shared" si="2"/>
        <v>0</v>
      </c>
      <c r="I55" s="1008"/>
    </row>
    <row r="56" spans="1:9" s="739" customFormat="1" ht="16.5" customHeight="1">
      <c r="A56" s="1908"/>
      <c r="B56" s="1928"/>
      <c r="C56" s="736" t="s">
        <v>253</v>
      </c>
      <c r="D56" s="584" t="s">
        <v>368</v>
      </c>
      <c r="E56" s="586" t="str">
        <f>E55</f>
        <v>K86</v>
      </c>
      <c r="F56" s="863"/>
      <c r="G56" s="606"/>
      <c r="H56" s="968">
        <f t="shared" si="2"/>
        <v>0</v>
      </c>
      <c r="I56" s="1008"/>
    </row>
    <row r="57" spans="1:9" s="739" customFormat="1" ht="16.5" customHeight="1">
      <c r="A57" s="1908"/>
      <c r="B57" s="1928"/>
      <c r="C57" s="736" t="s">
        <v>253</v>
      </c>
      <c r="D57" s="584" t="s">
        <v>369</v>
      </c>
      <c r="E57" s="586" t="str">
        <f>E56</f>
        <v>K86</v>
      </c>
      <c r="F57" s="863">
        <v>10954</v>
      </c>
      <c r="G57" s="606">
        <v>379</v>
      </c>
      <c r="H57" s="968">
        <f t="shared" si="2"/>
        <v>11333</v>
      </c>
      <c r="I57" s="1008"/>
    </row>
    <row r="58" spans="1:9" s="739" customFormat="1" ht="16.5" customHeight="1">
      <c r="A58" s="1908"/>
      <c r="B58" s="1928"/>
      <c r="C58" s="736" t="s">
        <v>253</v>
      </c>
      <c r="D58" s="584" t="s">
        <v>370</v>
      </c>
      <c r="E58" s="586" t="str">
        <f>E57</f>
        <v>K86</v>
      </c>
      <c r="F58" s="863"/>
      <c r="G58" s="606"/>
      <c r="H58" s="968">
        <f t="shared" si="2"/>
        <v>0</v>
      </c>
      <c r="I58" s="1008"/>
    </row>
    <row r="59" spans="1:9" s="739" customFormat="1" ht="16.5" customHeight="1">
      <c r="A59" s="1908"/>
      <c r="B59" s="1930"/>
      <c r="C59" s="736" t="s">
        <v>253</v>
      </c>
      <c r="D59" s="584" t="s">
        <v>377</v>
      </c>
      <c r="E59" s="586" t="str">
        <f>E57</f>
        <v>K86</v>
      </c>
      <c r="F59" s="863"/>
      <c r="G59" s="606"/>
      <c r="H59" s="968">
        <f t="shared" si="2"/>
        <v>0</v>
      </c>
      <c r="I59" s="1008"/>
    </row>
    <row r="60" spans="1:9" s="200" customFormat="1" ht="16.5" customHeight="1">
      <c r="A60" s="1908"/>
      <c r="B60" s="1927">
        <v>5</v>
      </c>
      <c r="C60" s="1819" t="s">
        <v>24</v>
      </c>
      <c r="D60" s="1888"/>
      <c r="E60" s="1073" t="s">
        <v>493</v>
      </c>
      <c r="F60" s="796">
        <f>SUM(F61:F65)</f>
        <v>416176</v>
      </c>
      <c r="G60" s="797">
        <f>SUM(G61:G65)</f>
        <v>17032</v>
      </c>
      <c r="H60" s="792">
        <f>SUM(H61:H65)</f>
        <v>433208</v>
      </c>
      <c r="I60" s="1457">
        <f>hivatal9!K30</f>
        <v>433208</v>
      </c>
    </row>
    <row r="61" spans="1:9" s="739" customFormat="1" ht="16.5" customHeight="1">
      <c r="A61" s="1908"/>
      <c r="B61" s="1928"/>
      <c r="C61" s="736" t="s">
        <v>253</v>
      </c>
      <c r="D61" s="584" t="s">
        <v>367</v>
      </c>
      <c r="E61" s="586" t="str">
        <f>E60</f>
        <v>K89</v>
      </c>
      <c r="F61" s="863">
        <v>20000</v>
      </c>
      <c r="G61" s="606"/>
      <c r="H61" s="968">
        <f t="shared" si="2"/>
        <v>20000</v>
      </c>
      <c r="I61" s="1008"/>
    </row>
    <row r="62" spans="1:9" s="739" customFormat="1" ht="16.5" customHeight="1">
      <c r="A62" s="1908"/>
      <c r="B62" s="1928"/>
      <c r="C62" s="736" t="s">
        <v>253</v>
      </c>
      <c r="D62" s="584" t="s">
        <v>368</v>
      </c>
      <c r="E62" s="586" t="str">
        <f>E61</f>
        <v>K89</v>
      </c>
      <c r="F62" s="863">
        <v>147683</v>
      </c>
      <c r="G62" s="606">
        <v>18605</v>
      </c>
      <c r="H62" s="968">
        <f t="shared" si="2"/>
        <v>166288</v>
      </c>
      <c r="I62" s="1008"/>
    </row>
    <row r="63" spans="1:9" s="739" customFormat="1" ht="16.5" customHeight="1">
      <c r="A63" s="1908"/>
      <c r="B63" s="1928"/>
      <c r="C63" s="736" t="s">
        <v>253</v>
      </c>
      <c r="D63" s="584" t="s">
        <v>369</v>
      </c>
      <c r="E63" s="586" t="str">
        <f>E62</f>
        <v>K89</v>
      </c>
      <c r="F63" s="863">
        <v>28890</v>
      </c>
      <c r="G63" s="606"/>
      <c r="H63" s="968">
        <f t="shared" si="2"/>
        <v>28890</v>
      </c>
      <c r="I63" s="1008"/>
    </row>
    <row r="64" spans="1:9" s="739" customFormat="1" ht="16.5" customHeight="1">
      <c r="A64" s="1908"/>
      <c r="B64" s="1928"/>
      <c r="C64" s="736" t="s">
        <v>253</v>
      </c>
      <c r="D64" s="584" t="s">
        <v>370</v>
      </c>
      <c r="E64" s="586" t="str">
        <f>E63</f>
        <v>K89</v>
      </c>
      <c r="F64" s="863">
        <v>204667</v>
      </c>
      <c r="G64" s="606"/>
      <c r="H64" s="968">
        <f t="shared" si="2"/>
        <v>204667</v>
      </c>
      <c r="I64" s="1008"/>
    </row>
    <row r="65" spans="1:9" s="739" customFormat="1" ht="16.5" customHeight="1" thickBot="1">
      <c r="A65" s="1909"/>
      <c r="B65" s="1929"/>
      <c r="C65" s="736" t="s">
        <v>253</v>
      </c>
      <c r="D65" s="584" t="s">
        <v>377</v>
      </c>
      <c r="E65" s="586" t="str">
        <f>E63</f>
        <v>K89</v>
      </c>
      <c r="F65" s="1388">
        <v>14936</v>
      </c>
      <c r="G65" s="883">
        <f>-1852+279</f>
        <v>-1573</v>
      </c>
      <c r="H65" s="968">
        <f t="shared" si="2"/>
        <v>13363</v>
      </c>
      <c r="I65" s="1008"/>
    </row>
    <row r="66" spans="1:9" s="278" customFormat="1" ht="16.5" customHeight="1" thickBot="1">
      <c r="A66" s="786" t="s">
        <v>110</v>
      </c>
      <c r="B66" s="1914" t="s">
        <v>173</v>
      </c>
      <c r="C66" s="1915"/>
      <c r="D66" s="1916"/>
      <c r="E66" s="787" t="s">
        <v>15</v>
      </c>
      <c r="F66" s="973">
        <f>F48+F49+F50+F54+F60</f>
        <v>427130</v>
      </c>
      <c r="G66" s="788">
        <f>G48+G49+G50+G54+G60</f>
        <v>17411</v>
      </c>
      <c r="H66" s="974">
        <f>H48+H49+H50+H54+H60</f>
        <v>444541</v>
      </c>
      <c r="I66" s="1179"/>
    </row>
    <row r="67" spans="1:9" s="540" customFormat="1" ht="21" customHeight="1" thickBot="1">
      <c r="A67" s="1053" t="s">
        <v>121</v>
      </c>
      <c r="B67" s="1899" t="s">
        <v>418</v>
      </c>
      <c r="C67" s="1900"/>
      <c r="D67" s="1900"/>
      <c r="E67" s="856"/>
      <c r="F67" s="868">
        <f>F44+F47+F66</f>
        <v>7100792</v>
      </c>
      <c r="G67" s="857">
        <f>G44+G47+G66</f>
        <v>34281</v>
      </c>
      <c r="H67" s="879">
        <f>H44+H47+H66</f>
        <v>7135073</v>
      </c>
      <c r="I67" s="1179"/>
    </row>
    <row r="68" spans="1:9" s="88" customFormat="1" ht="21.75" customHeight="1" thickBot="1">
      <c r="A68" s="1893" t="s">
        <v>372</v>
      </c>
      <c r="B68" s="1894"/>
      <c r="C68" s="1894"/>
      <c r="D68" s="1894"/>
      <c r="E68" s="1895"/>
      <c r="F68" s="740">
        <f>'bevétfő '!G80-'kiadfő '!F67</f>
        <v>-3923772</v>
      </c>
      <c r="G68" s="741">
        <f>'bevétfő '!H80-'kiadfő '!G67</f>
        <v>-728629</v>
      </c>
      <c r="H68" s="877">
        <f>'bevétfő '!I80-'kiadfő '!H67</f>
        <v>-4652401</v>
      </c>
      <c r="I68" s="764"/>
    </row>
    <row r="69" spans="1:9" s="278" customFormat="1" ht="21" customHeight="1" thickBot="1">
      <c r="A69" s="752" t="s">
        <v>111</v>
      </c>
      <c r="B69" s="1903" t="s">
        <v>378</v>
      </c>
      <c r="C69" s="1881"/>
      <c r="D69" s="1881"/>
      <c r="E69" s="1882"/>
      <c r="F69" s="753">
        <f>F40+F67</f>
        <v>18781360</v>
      </c>
      <c r="G69" s="743">
        <f>G40+G67</f>
        <v>376364</v>
      </c>
      <c r="H69" s="880">
        <f>H40+H67</f>
        <v>19157724</v>
      </c>
      <c r="I69" s="1179"/>
    </row>
    <row r="70" spans="1:9" s="88" customFormat="1" ht="21.75" customHeight="1" thickBot="1">
      <c r="A70" s="1910" t="s">
        <v>439</v>
      </c>
      <c r="B70" s="1911"/>
      <c r="C70" s="1911"/>
      <c r="D70" s="1911"/>
      <c r="E70" s="1912"/>
      <c r="F70" s="741">
        <f>'bevétfő '!G81-'kiadfő '!F69</f>
        <v>-5668887</v>
      </c>
      <c r="G70" s="740">
        <f>'bevétfő '!H81-'kiadfő '!G69</f>
        <v>0</v>
      </c>
      <c r="H70" s="741">
        <f>'bevétfő '!I81-'kiadfő '!H69</f>
        <v>-5668887</v>
      </c>
      <c r="I70" s="764"/>
    </row>
    <row r="71" spans="1:9" s="200" customFormat="1" ht="16.5" customHeight="1">
      <c r="A71" s="1907"/>
      <c r="B71" s="1904">
        <v>1</v>
      </c>
      <c r="C71" s="1831" t="s">
        <v>366</v>
      </c>
      <c r="D71" s="1887"/>
      <c r="E71" s="799" t="s">
        <v>27</v>
      </c>
      <c r="F71" s="869">
        <f>SUM(F72:F74)</f>
        <v>0</v>
      </c>
      <c r="G71" s="694">
        <f>SUM(G72:G74)</f>
        <v>0</v>
      </c>
      <c r="H71" s="878">
        <f>SUM(H72:H74)</f>
        <v>0</v>
      </c>
      <c r="I71" s="764"/>
    </row>
    <row r="72" spans="1:9" s="88" customFormat="1" ht="16.5" customHeight="1">
      <c r="A72" s="1908"/>
      <c r="B72" s="1905"/>
      <c r="C72" s="583" t="s">
        <v>98</v>
      </c>
      <c r="D72" s="582" t="s">
        <v>28</v>
      </c>
      <c r="E72" s="628" t="s">
        <v>29</v>
      </c>
      <c r="F72" s="865"/>
      <c r="G72" s="619"/>
      <c r="H72" s="968">
        <f aca="true" t="shared" si="3" ref="H72:H77">SUM(F72:G72)</f>
        <v>0</v>
      </c>
      <c r="I72" s="764"/>
    </row>
    <row r="73" spans="1:9" s="88" customFormat="1" ht="16.5" customHeight="1">
      <c r="A73" s="1908"/>
      <c r="B73" s="1905"/>
      <c r="C73" s="583" t="s">
        <v>99</v>
      </c>
      <c r="D73" s="582" t="s">
        <v>30</v>
      </c>
      <c r="E73" s="628" t="s">
        <v>31</v>
      </c>
      <c r="F73" s="865"/>
      <c r="G73" s="619"/>
      <c r="H73" s="968">
        <f t="shared" si="3"/>
        <v>0</v>
      </c>
      <c r="I73" s="764"/>
    </row>
    <row r="74" spans="1:9" s="278" customFormat="1" ht="16.5" customHeight="1">
      <c r="A74" s="1908"/>
      <c r="B74" s="1906"/>
      <c r="C74" s="583" t="s">
        <v>100</v>
      </c>
      <c r="D74" s="785" t="s">
        <v>32</v>
      </c>
      <c r="E74" s="628" t="s">
        <v>33</v>
      </c>
      <c r="F74" s="865"/>
      <c r="G74" s="619"/>
      <c r="H74" s="968">
        <f t="shared" si="3"/>
        <v>0</v>
      </c>
      <c r="I74" s="1179"/>
    </row>
    <row r="75" spans="1:9" s="200" customFormat="1" ht="16.5" customHeight="1">
      <c r="A75" s="1908"/>
      <c r="B75" s="798">
        <v>2</v>
      </c>
      <c r="C75" s="1819" t="s">
        <v>34</v>
      </c>
      <c r="D75" s="1888"/>
      <c r="E75" s="679" t="s">
        <v>35</v>
      </c>
      <c r="F75" s="870"/>
      <c r="G75" s="678"/>
      <c r="H75" s="873">
        <f t="shared" si="3"/>
        <v>0</v>
      </c>
      <c r="I75" s="764"/>
    </row>
    <row r="76" spans="1:9" s="200" customFormat="1" ht="16.5" customHeight="1">
      <c r="A76" s="1908"/>
      <c r="B76" s="1042">
        <v>3</v>
      </c>
      <c r="C76" s="1819" t="s">
        <v>783</v>
      </c>
      <c r="D76" s="1888"/>
      <c r="E76" s="681" t="s">
        <v>782</v>
      </c>
      <c r="F76" s="1043">
        <v>38585</v>
      </c>
      <c r="G76" s="683">
        <v>72111</v>
      </c>
      <c r="H76" s="873">
        <f t="shared" si="3"/>
        <v>110696</v>
      </c>
      <c r="I76" s="764"/>
    </row>
    <row r="77" spans="1:9" s="278" customFormat="1" ht="16.5" customHeight="1" thickBot="1">
      <c r="A77" s="1908"/>
      <c r="B77" s="1042">
        <v>4</v>
      </c>
      <c r="C77" s="1827" t="s">
        <v>36</v>
      </c>
      <c r="D77" s="1913"/>
      <c r="E77" s="681" t="s">
        <v>37</v>
      </c>
      <c r="F77" s="1043"/>
      <c r="G77" s="683"/>
      <c r="H77" s="1044">
        <f t="shared" si="3"/>
        <v>0</v>
      </c>
      <c r="I77" s="1179"/>
    </row>
    <row r="78" spans="1:9" s="200" customFormat="1" ht="16.5" customHeight="1" thickBot="1">
      <c r="A78" s="705" t="s">
        <v>122</v>
      </c>
      <c r="B78" s="1849" t="s">
        <v>25</v>
      </c>
      <c r="C78" s="1823"/>
      <c r="D78" s="1892"/>
      <c r="E78" s="745" t="s">
        <v>26</v>
      </c>
      <c r="F78" s="1050">
        <f>F71+F75+F77+F76</f>
        <v>38585</v>
      </c>
      <c r="G78" s="1051">
        <f>G71+G75+G77+G76</f>
        <v>72111</v>
      </c>
      <c r="H78" s="1051">
        <f>H71+H75+H77+H76</f>
        <v>110696</v>
      </c>
      <c r="I78" s="764"/>
    </row>
    <row r="79" spans="1:9" s="200" customFormat="1" ht="16.5" customHeight="1" thickBot="1">
      <c r="A79" s="1045" t="s">
        <v>334</v>
      </c>
      <c r="B79" s="1919" t="s">
        <v>38</v>
      </c>
      <c r="C79" s="1920"/>
      <c r="D79" s="1921"/>
      <c r="E79" s="1046" t="s">
        <v>39</v>
      </c>
      <c r="F79" s="1047"/>
      <c r="G79" s="1048"/>
      <c r="H79" s="1049">
        <f>SUM(F79:G79)</f>
        <v>0</v>
      </c>
      <c r="I79" s="764"/>
    </row>
    <row r="80" spans="1:9" s="540" customFormat="1" ht="21" customHeight="1" thickBot="1">
      <c r="A80" s="855" t="s">
        <v>42</v>
      </c>
      <c r="B80" s="1899" t="s">
        <v>421</v>
      </c>
      <c r="C80" s="1900"/>
      <c r="D80" s="1900"/>
      <c r="E80" s="856"/>
      <c r="F80" s="871">
        <f>SUM(F78:F79)</f>
        <v>38585</v>
      </c>
      <c r="G80" s="854">
        <f>SUM(G78:G79)</f>
        <v>72111</v>
      </c>
      <c r="H80" s="854">
        <f>SUM(H78:H79)</f>
        <v>110696</v>
      </c>
      <c r="I80" s="1179"/>
    </row>
    <row r="81" spans="1:9" s="540" customFormat="1" ht="22.5" customHeight="1" thickBot="1">
      <c r="A81" s="754" t="s">
        <v>43</v>
      </c>
      <c r="B81" s="1881" t="s">
        <v>379</v>
      </c>
      <c r="C81" s="1881"/>
      <c r="D81" s="1881"/>
      <c r="E81" s="1882"/>
      <c r="F81" s="872">
        <f>F69+F80</f>
        <v>18819945</v>
      </c>
      <c r="G81" s="975">
        <f>G69+G80</f>
        <v>448475</v>
      </c>
      <c r="H81" s="975">
        <f>H69+H80</f>
        <v>19268420</v>
      </c>
      <c r="I81" s="1185">
        <f>hivatal9!K34</f>
        <v>19268420</v>
      </c>
    </row>
    <row r="82" spans="1:9" s="88" customFormat="1" ht="12.75">
      <c r="A82" s="724"/>
      <c r="B82" s="724"/>
      <c r="C82" s="724"/>
      <c r="D82" s="726"/>
      <c r="E82" s="726"/>
      <c r="F82" s="727"/>
      <c r="G82" s="727"/>
      <c r="H82" s="727"/>
      <c r="I82" s="764"/>
    </row>
    <row r="83" spans="1:9" s="88" customFormat="1" ht="12.75">
      <c r="A83" s="725"/>
      <c r="B83" s="724"/>
      <c r="C83" s="724"/>
      <c r="D83" s="726"/>
      <c r="E83" s="726"/>
      <c r="F83" s="727"/>
      <c r="G83" s="727"/>
      <c r="H83" s="727">
        <f>'bevétfő '!I92-'kiadfő '!H81</f>
        <v>0</v>
      </c>
      <c r="I83" s="764"/>
    </row>
    <row r="84" spans="1:9" s="88" customFormat="1" ht="12.75">
      <c r="A84" s="724"/>
      <c r="B84" s="724"/>
      <c r="C84" s="724"/>
      <c r="D84" s="726"/>
      <c r="E84" s="726"/>
      <c r="F84" s="727"/>
      <c r="G84" s="727"/>
      <c r="H84" s="727"/>
      <c r="I84" s="764"/>
    </row>
    <row r="85" spans="1:9" s="88" customFormat="1" ht="12.75">
      <c r="A85" s="724"/>
      <c r="B85" s="724"/>
      <c r="C85" s="724"/>
      <c r="D85" s="726"/>
      <c r="E85" s="726"/>
      <c r="F85" s="727"/>
      <c r="G85" s="727"/>
      <c r="H85" s="727"/>
      <c r="I85" s="764"/>
    </row>
    <row r="86" spans="1:9" s="88" customFormat="1" ht="12.75">
      <c r="A86" s="724"/>
      <c r="B86" s="724"/>
      <c r="C86" s="724"/>
      <c r="D86" s="726"/>
      <c r="E86" s="726"/>
      <c r="F86" s="727"/>
      <c r="G86" s="727"/>
      <c r="H86" s="727"/>
      <c r="I86" s="764"/>
    </row>
    <row r="87" spans="1:9" s="88" customFormat="1" ht="12.75">
      <c r="A87" s="234"/>
      <c r="B87" s="234"/>
      <c r="C87" s="234"/>
      <c r="F87" s="722"/>
      <c r="G87" s="722"/>
      <c r="H87" s="722"/>
      <c r="I87" s="764"/>
    </row>
    <row r="88" spans="1:9" s="88" customFormat="1" ht="12.75">
      <c r="A88" s="234"/>
      <c r="B88" s="234"/>
      <c r="C88" s="234"/>
      <c r="F88" s="722"/>
      <c r="G88" s="722"/>
      <c r="H88" s="722"/>
      <c r="I88" s="764"/>
    </row>
    <row r="89" spans="1:9" s="88" customFormat="1" ht="12.75">
      <c r="A89" s="234"/>
      <c r="B89" s="234"/>
      <c r="C89" s="234"/>
      <c r="F89" s="722"/>
      <c r="G89" s="722"/>
      <c r="H89" s="722"/>
      <c r="I89" s="764"/>
    </row>
    <row r="90" spans="1:9" s="88" customFormat="1" ht="12.75">
      <c r="A90" s="234"/>
      <c r="B90" s="234"/>
      <c r="C90" s="234"/>
      <c r="F90" s="722"/>
      <c r="G90" s="722"/>
      <c r="H90" s="722"/>
      <c r="I90" s="764"/>
    </row>
    <row r="91" spans="1:9" s="88" customFormat="1" ht="12.75">
      <c r="A91" s="234"/>
      <c r="B91" s="234"/>
      <c r="C91" s="234"/>
      <c r="F91" s="722"/>
      <c r="G91" s="722"/>
      <c r="H91" s="722"/>
      <c r="I91" s="764"/>
    </row>
    <row r="92" spans="1:9" s="88" customFormat="1" ht="12.75">
      <c r="A92" s="234"/>
      <c r="B92" s="234"/>
      <c r="C92" s="234"/>
      <c r="F92" s="722"/>
      <c r="G92" s="722"/>
      <c r="H92" s="722"/>
      <c r="I92" s="764"/>
    </row>
    <row r="93" spans="1:9" s="88" customFormat="1" ht="12.75">
      <c r="A93" s="234"/>
      <c r="B93" s="234"/>
      <c r="C93" s="234"/>
      <c r="F93" s="722"/>
      <c r="G93" s="722"/>
      <c r="H93" s="722"/>
      <c r="I93" s="764"/>
    </row>
    <row r="94" spans="1:9" s="88" customFormat="1" ht="12.75">
      <c r="A94" s="234"/>
      <c r="B94" s="234"/>
      <c r="C94" s="234"/>
      <c r="F94" s="722"/>
      <c r="G94" s="722"/>
      <c r="H94" s="722"/>
      <c r="I94" s="764"/>
    </row>
    <row r="95" spans="1:9" s="88" customFormat="1" ht="12.75">
      <c r="A95" s="234"/>
      <c r="B95" s="234"/>
      <c r="C95" s="234"/>
      <c r="F95" s="722"/>
      <c r="G95" s="722"/>
      <c r="H95" s="722"/>
      <c r="I95" s="764"/>
    </row>
    <row r="96" spans="1:9" s="88" customFormat="1" ht="12.75">
      <c r="A96" s="234"/>
      <c r="B96" s="234"/>
      <c r="C96" s="234"/>
      <c r="F96" s="722"/>
      <c r="G96" s="722"/>
      <c r="H96" s="722"/>
      <c r="I96" s="764"/>
    </row>
    <row r="97" spans="1:9" s="88" customFormat="1" ht="12.75">
      <c r="A97" s="234"/>
      <c r="B97" s="234"/>
      <c r="C97" s="234"/>
      <c r="F97" s="722"/>
      <c r="G97" s="722"/>
      <c r="H97" s="722"/>
      <c r="I97" s="764"/>
    </row>
    <row r="98" spans="1:9" s="88" customFormat="1" ht="12.75">
      <c r="A98" s="234"/>
      <c r="B98" s="234"/>
      <c r="C98" s="234"/>
      <c r="F98" s="722"/>
      <c r="G98" s="722"/>
      <c r="H98" s="722"/>
      <c r="I98" s="764"/>
    </row>
    <row r="99" spans="1:9" s="88" customFormat="1" ht="12.75">
      <c r="A99" s="234"/>
      <c r="B99" s="234"/>
      <c r="C99" s="234"/>
      <c r="F99" s="722"/>
      <c r="G99" s="722"/>
      <c r="H99" s="722"/>
      <c r="I99" s="764"/>
    </row>
    <row r="100" spans="1:9" s="88" customFormat="1" ht="12.75">
      <c r="A100" s="234"/>
      <c r="B100" s="234"/>
      <c r="C100" s="234"/>
      <c r="F100" s="722"/>
      <c r="G100" s="722"/>
      <c r="H100" s="722"/>
      <c r="I100" s="764"/>
    </row>
    <row r="101" spans="1:9" s="88" customFormat="1" ht="12.75">
      <c r="A101" s="234"/>
      <c r="B101" s="234"/>
      <c r="C101" s="234"/>
      <c r="F101" s="722"/>
      <c r="G101" s="722"/>
      <c r="H101" s="722"/>
      <c r="I101" s="764"/>
    </row>
    <row r="102" spans="1:9" s="88" customFormat="1" ht="12.75">
      <c r="A102" s="234"/>
      <c r="B102" s="234"/>
      <c r="C102" s="234"/>
      <c r="F102" s="722"/>
      <c r="G102" s="722"/>
      <c r="H102" s="722"/>
      <c r="I102" s="764"/>
    </row>
    <row r="103" spans="1:9" s="88" customFormat="1" ht="12.75">
      <c r="A103" s="234"/>
      <c r="B103" s="234"/>
      <c r="C103" s="234"/>
      <c r="F103" s="722"/>
      <c r="G103" s="722"/>
      <c r="H103" s="722"/>
      <c r="I103" s="764"/>
    </row>
    <row r="104" spans="1:9" s="88" customFormat="1" ht="12.75">
      <c r="A104" s="234"/>
      <c r="B104" s="234"/>
      <c r="C104" s="234"/>
      <c r="F104" s="722"/>
      <c r="G104" s="722"/>
      <c r="H104" s="722"/>
      <c r="I104" s="764"/>
    </row>
    <row r="105" spans="1:9" s="88" customFormat="1" ht="12.75">
      <c r="A105" s="234"/>
      <c r="B105" s="234"/>
      <c r="C105" s="234"/>
      <c r="F105" s="722"/>
      <c r="G105" s="722"/>
      <c r="H105" s="722"/>
      <c r="I105" s="764"/>
    </row>
    <row r="106" spans="1:9" s="88" customFormat="1" ht="12.75">
      <c r="A106" s="234"/>
      <c r="B106" s="234"/>
      <c r="C106" s="234"/>
      <c r="F106" s="722"/>
      <c r="G106" s="722"/>
      <c r="H106" s="722"/>
      <c r="I106" s="764"/>
    </row>
    <row r="107" spans="1:9" s="88" customFormat="1" ht="12.75">
      <c r="A107" s="234"/>
      <c r="B107" s="234"/>
      <c r="C107" s="234"/>
      <c r="F107" s="722"/>
      <c r="G107" s="722"/>
      <c r="H107" s="722"/>
      <c r="I107" s="764"/>
    </row>
    <row r="108" spans="1:9" s="88" customFormat="1" ht="12.75">
      <c r="A108" s="234"/>
      <c r="B108" s="234"/>
      <c r="C108" s="234"/>
      <c r="F108" s="722"/>
      <c r="G108" s="722"/>
      <c r="H108" s="722"/>
      <c r="I108" s="764"/>
    </row>
    <row r="109" spans="1:9" s="88" customFormat="1" ht="12.75">
      <c r="A109" s="234"/>
      <c r="B109" s="234"/>
      <c r="C109" s="234"/>
      <c r="F109" s="722"/>
      <c r="G109" s="722"/>
      <c r="H109" s="722"/>
      <c r="I109" s="764"/>
    </row>
    <row r="110" spans="1:9" s="88" customFormat="1" ht="12.75">
      <c r="A110" s="234"/>
      <c r="B110" s="234"/>
      <c r="C110" s="234"/>
      <c r="F110" s="722"/>
      <c r="G110" s="722"/>
      <c r="H110" s="722"/>
      <c r="I110" s="764"/>
    </row>
    <row r="111" spans="1:9" s="88" customFormat="1" ht="12.75">
      <c r="A111" s="234"/>
      <c r="B111" s="234"/>
      <c r="C111" s="234"/>
      <c r="F111" s="722"/>
      <c r="G111" s="722"/>
      <c r="H111" s="722"/>
      <c r="I111" s="764"/>
    </row>
    <row r="112" spans="1:9" s="88" customFormat="1" ht="12.75">
      <c r="A112" s="234"/>
      <c r="B112" s="234"/>
      <c r="C112" s="234"/>
      <c r="F112" s="722"/>
      <c r="G112" s="722"/>
      <c r="H112" s="722"/>
      <c r="I112" s="764"/>
    </row>
    <row r="113" spans="1:9" s="88" customFormat="1" ht="12.75">
      <c r="A113" s="234"/>
      <c r="B113" s="234"/>
      <c r="C113" s="234"/>
      <c r="F113" s="722"/>
      <c r="G113" s="722"/>
      <c r="H113" s="722"/>
      <c r="I113" s="764"/>
    </row>
    <row r="114" spans="1:9" s="88" customFormat="1" ht="12.75">
      <c r="A114" s="234"/>
      <c r="B114" s="234"/>
      <c r="C114" s="234"/>
      <c r="F114" s="722"/>
      <c r="G114" s="722"/>
      <c r="H114" s="722"/>
      <c r="I114" s="764"/>
    </row>
    <row r="115" spans="1:9" s="88" customFormat="1" ht="12.75">
      <c r="A115" s="234"/>
      <c r="B115" s="234"/>
      <c r="C115" s="234"/>
      <c r="F115" s="722"/>
      <c r="G115" s="722"/>
      <c r="H115" s="722"/>
      <c r="I115" s="764"/>
    </row>
    <row r="116" spans="1:9" s="88" customFormat="1" ht="12.75">
      <c r="A116" s="234"/>
      <c r="B116" s="234"/>
      <c r="C116" s="234"/>
      <c r="F116" s="722"/>
      <c r="G116" s="722"/>
      <c r="H116" s="722"/>
      <c r="I116" s="764"/>
    </row>
    <row r="117" spans="1:9" s="88" customFormat="1" ht="12.75">
      <c r="A117" s="234"/>
      <c r="B117" s="234"/>
      <c r="C117" s="234"/>
      <c r="F117" s="722"/>
      <c r="G117" s="722"/>
      <c r="H117" s="722"/>
      <c r="I117" s="764"/>
    </row>
    <row r="118" spans="1:9" s="88" customFormat="1" ht="12.75">
      <c r="A118" s="234"/>
      <c r="B118" s="234"/>
      <c r="C118" s="234"/>
      <c r="F118" s="722"/>
      <c r="G118" s="722"/>
      <c r="H118" s="722"/>
      <c r="I118" s="764"/>
    </row>
    <row r="119" spans="1:9" s="88" customFormat="1" ht="12.75">
      <c r="A119" s="234"/>
      <c r="B119" s="234"/>
      <c r="C119" s="234"/>
      <c r="F119" s="722"/>
      <c r="G119" s="722"/>
      <c r="H119" s="722"/>
      <c r="I119" s="764"/>
    </row>
    <row r="120" spans="1:9" s="88" customFormat="1" ht="12.75">
      <c r="A120" s="234"/>
      <c r="B120" s="234"/>
      <c r="C120" s="234"/>
      <c r="F120" s="722"/>
      <c r="G120" s="722"/>
      <c r="H120" s="722"/>
      <c r="I120" s="764"/>
    </row>
    <row r="121" spans="1:9" s="88" customFormat="1" ht="12.75">
      <c r="A121" s="234"/>
      <c r="B121" s="234"/>
      <c r="C121" s="234"/>
      <c r="F121" s="722"/>
      <c r="G121" s="722"/>
      <c r="H121" s="722"/>
      <c r="I121" s="764"/>
    </row>
    <row r="122" spans="1:3" ht="12.75">
      <c r="A122" s="234"/>
      <c r="B122" s="234"/>
      <c r="C122" s="234"/>
    </row>
  </sheetData>
  <sheetProtection/>
  <mergeCells count="55">
    <mergeCell ref="A42:A43"/>
    <mergeCell ref="A45:A46"/>
    <mergeCell ref="A13:A38"/>
    <mergeCell ref="B60:B65"/>
    <mergeCell ref="B54:B59"/>
    <mergeCell ref="B50:B53"/>
    <mergeCell ref="B16:B22"/>
    <mergeCell ref="B23:B28"/>
    <mergeCell ref="B29:B35"/>
    <mergeCell ref="B36:B38"/>
    <mergeCell ref="B39:D39"/>
    <mergeCell ref="B40:D40"/>
    <mergeCell ref="C42:D42"/>
    <mergeCell ref="C43:D43"/>
    <mergeCell ref="B81:E81"/>
    <mergeCell ref="B79:D79"/>
    <mergeCell ref="A68:E68"/>
    <mergeCell ref="B44:D44"/>
    <mergeCell ref="B47:D47"/>
    <mergeCell ref="A71:A77"/>
    <mergeCell ref="B71:B74"/>
    <mergeCell ref="A48:A65"/>
    <mergeCell ref="A70:E70"/>
    <mergeCell ref="C71:D71"/>
    <mergeCell ref="C75:D75"/>
    <mergeCell ref="C77:D77"/>
    <mergeCell ref="B66:D66"/>
    <mergeCell ref="B67:D67"/>
    <mergeCell ref="C76:D76"/>
    <mergeCell ref="B78:D78"/>
    <mergeCell ref="B80:D80"/>
    <mergeCell ref="C45:D45"/>
    <mergeCell ref="C46:D46"/>
    <mergeCell ref="B69:E69"/>
    <mergeCell ref="C48:D48"/>
    <mergeCell ref="C49:D49"/>
    <mergeCell ref="C50:D50"/>
    <mergeCell ref="C54:D54"/>
    <mergeCell ref="C60:D60"/>
    <mergeCell ref="A4:H4"/>
    <mergeCell ref="A5:H5"/>
    <mergeCell ref="B7:D7"/>
    <mergeCell ref="B10:D10"/>
    <mergeCell ref="A41:E41"/>
    <mergeCell ref="B11:D11"/>
    <mergeCell ref="C36:D36"/>
    <mergeCell ref="B8:D8"/>
    <mergeCell ref="B9:D9"/>
    <mergeCell ref="B12:D12"/>
    <mergeCell ref="C13:D13"/>
    <mergeCell ref="C14:D14"/>
    <mergeCell ref="C15:D15"/>
    <mergeCell ref="C16:D16"/>
    <mergeCell ref="C23:D23"/>
    <mergeCell ref="C29:D29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1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01"/>
  <sheetViews>
    <sheetView showGridLines="0" tabSelected="1" zoomScale="80" zoomScaleNormal="80" zoomScalePageLayoutView="0" workbookViewId="0" topLeftCell="A1">
      <pane xSplit="3" ySplit="11" topLeftCell="D12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N18" sqref="N18"/>
    </sheetView>
  </sheetViews>
  <sheetFormatPr defaultColWidth="10.625" defaultRowHeight="12.75"/>
  <cols>
    <col min="1" max="1" width="1.625" style="133" customWidth="1"/>
    <col min="2" max="2" width="9.125" style="281" customWidth="1"/>
    <col min="3" max="3" width="62.625" style="282" customWidth="1"/>
    <col min="4" max="7" width="21.00390625" style="282" customWidth="1"/>
    <col min="8" max="8" width="19.50390625" style="282" customWidth="1"/>
    <col min="9" max="9" width="21.00390625" style="285" customWidth="1"/>
    <col min="10" max="10" width="21.00390625" style="284" customWidth="1"/>
    <col min="11" max="11" width="20.125" style="284" customWidth="1"/>
    <col min="12" max="12" width="18.625" style="284" customWidth="1"/>
    <col min="13" max="13" width="22.00390625" style="534" customWidth="1"/>
    <col min="14" max="14" width="25.875" style="526" customWidth="1"/>
    <col min="15" max="16" width="24.50390625" style="526" customWidth="1"/>
    <col min="17" max="18" width="10.625" style="526" customWidth="1"/>
    <col min="19" max="16384" width="10.625" style="133" customWidth="1"/>
  </cols>
  <sheetData>
    <row r="1" spans="2:18" s="180" customFormat="1" ht="15.75">
      <c r="B1" s="181"/>
      <c r="C1" s="182"/>
      <c r="D1" s="182"/>
      <c r="E1" s="182"/>
      <c r="F1" s="182"/>
      <c r="G1" s="182"/>
      <c r="H1" s="182"/>
      <c r="I1" s="183"/>
      <c r="J1" s="184"/>
      <c r="K1" s="184"/>
      <c r="L1" s="185" t="s">
        <v>952</v>
      </c>
      <c r="M1" s="529"/>
      <c r="N1" s="511"/>
      <c r="O1" s="512"/>
      <c r="P1" s="512"/>
      <c r="Q1" s="512"/>
      <c r="R1" s="512"/>
    </row>
    <row r="2" spans="2:18" s="180" customFormat="1" ht="12.75">
      <c r="B2" s="181"/>
      <c r="C2" s="182"/>
      <c r="D2" s="182"/>
      <c r="E2" s="182"/>
      <c r="F2" s="182"/>
      <c r="G2" s="182"/>
      <c r="H2" s="182"/>
      <c r="I2" s="183"/>
      <c r="J2" s="469" t="s">
        <v>84</v>
      </c>
      <c r="K2" s="469"/>
      <c r="L2" s="233" t="s">
        <v>93</v>
      </c>
      <c r="M2" s="530"/>
      <c r="N2" s="512"/>
      <c r="O2" s="512"/>
      <c r="P2" s="512"/>
      <c r="Q2" s="512"/>
      <c r="R2" s="512"/>
    </row>
    <row r="3" spans="2:18" s="180" customFormat="1" ht="12.75">
      <c r="B3" s="186"/>
      <c r="C3" s="187"/>
      <c r="D3" s="187"/>
      <c r="E3" s="187"/>
      <c r="F3" s="187"/>
      <c r="G3" s="187"/>
      <c r="H3" s="187"/>
      <c r="I3" s="188"/>
      <c r="J3" s="189"/>
      <c r="K3" s="189"/>
      <c r="L3" s="189"/>
      <c r="M3" s="531"/>
      <c r="N3" s="513"/>
      <c r="O3" s="513"/>
      <c r="P3" s="513"/>
      <c r="Q3" s="512"/>
      <c r="R3" s="512"/>
    </row>
    <row r="4" spans="2:18" s="180" customFormat="1" ht="20.25">
      <c r="B4" s="2024" t="s">
        <v>648</v>
      </c>
      <c r="C4" s="2024"/>
      <c r="D4" s="2024"/>
      <c r="E4" s="2024"/>
      <c r="F4" s="2024"/>
      <c r="G4" s="2024"/>
      <c r="H4" s="2024"/>
      <c r="I4" s="2024"/>
      <c r="J4" s="2024"/>
      <c r="K4" s="2024"/>
      <c r="L4" s="2024"/>
      <c r="M4" s="514"/>
      <c r="N4" s="513"/>
      <c r="O4" s="513"/>
      <c r="P4" s="513"/>
      <c r="Q4" s="512"/>
      <c r="R4" s="512"/>
    </row>
    <row r="5" spans="2:18" s="180" customFormat="1" ht="20.25">
      <c r="B5" s="2024" t="s">
        <v>575</v>
      </c>
      <c r="C5" s="2024"/>
      <c r="D5" s="2024"/>
      <c r="E5" s="2024"/>
      <c r="F5" s="2024"/>
      <c r="G5" s="2024"/>
      <c r="H5" s="2024"/>
      <c r="I5" s="2024"/>
      <c r="J5" s="2024"/>
      <c r="K5" s="2024"/>
      <c r="L5" s="2024"/>
      <c r="M5" s="514"/>
      <c r="N5" s="513"/>
      <c r="O5" s="513"/>
      <c r="P5" s="513"/>
      <c r="Q5" s="512"/>
      <c r="R5" s="512"/>
    </row>
    <row r="6" spans="2:18" s="190" customFormat="1" ht="26.25" customHeight="1">
      <c r="B6" s="2042" t="s">
        <v>88</v>
      </c>
      <c r="C6" s="2042"/>
      <c r="D6" s="2042"/>
      <c r="E6" s="2042"/>
      <c r="F6" s="2042"/>
      <c r="G6" s="2042"/>
      <c r="H6" s="2042"/>
      <c r="I6" s="2042"/>
      <c r="J6" s="2042"/>
      <c r="K6" s="2042"/>
      <c r="L6" s="2042"/>
      <c r="M6" s="514"/>
      <c r="N6" s="513"/>
      <c r="O6" s="513"/>
      <c r="P6" s="513"/>
      <c r="Q6" s="515"/>
      <c r="R6" s="515"/>
    </row>
    <row r="7" spans="2:18" s="190" customFormat="1" ht="20.25" customHeight="1" thickBot="1">
      <c r="B7" s="470"/>
      <c r="C7" s="471"/>
      <c r="D7" s="471"/>
      <c r="E7" s="471"/>
      <c r="F7" s="471"/>
      <c r="G7" s="471"/>
      <c r="H7" s="471"/>
      <c r="I7" s="472"/>
      <c r="J7" s="473"/>
      <c r="K7" s="473"/>
      <c r="L7" s="474" t="s">
        <v>134</v>
      </c>
      <c r="M7" s="531"/>
      <c r="N7" s="513"/>
      <c r="O7" s="513"/>
      <c r="P7" s="513"/>
      <c r="Q7" s="515"/>
      <c r="R7" s="515"/>
    </row>
    <row r="8" spans="2:18" s="183" customFormat="1" ht="22.5" customHeight="1" thickBot="1">
      <c r="B8" s="2028" t="s">
        <v>94</v>
      </c>
      <c r="C8" s="2025" t="s">
        <v>125</v>
      </c>
      <c r="D8" s="2035" t="s">
        <v>70</v>
      </c>
      <c r="E8" s="2036"/>
      <c r="F8" s="2036"/>
      <c r="G8" s="2036"/>
      <c r="H8" s="2037"/>
      <c r="I8" s="2035" t="s">
        <v>71</v>
      </c>
      <c r="J8" s="2036"/>
      <c r="K8" s="2036"/>
      <c r="L8" s="2037"/>
      <c r="M8" s="528"/>
      <c r="N8" s="516"/>
      <c r="O8" s="516"/>
      <c r="P8" s="516"/>
      <c r="Q8" s="517"/>
      <c r="R8" s="517"/>
    </row>
    <row r="9" spans="2:18" s="183" customFormat="1" ht="15.75" customHeight="1">
      <c r="B9" s="2029"/>
      <c r="C9" s="2026"/>
      <c r="D9" s="2038" t="s">
        <v>75</v>
      </c>
      <c r="E9" s="2040" t="s">
        <v>424</v>
      </c>
      <c r="F9" s="2031" t="s">
        <v>159</v>
      </c>
      <c r="G9" s="2045" t="s">
        <v>576</v>
      </c>
      <c r="H9" s="2033" t="s">
        <v>76</v>
      </c>
      <c r="I9" s="2043" t="s">
        <v>85</v>
      </c>
      <c r="J9" s="2043" t="s">
        <v>72</v>
      </c>
      <c r="K9" s="2043" t="s">
        <v>73</v>
      </c>
      <c r="L9" s="2033" t="s">
        <v>74</v>
      </c>
      <c r="M9" s="518"/>
      <c r="N9" s="516"/>
      <c r="O9" s="516"/>
      <c r="P9" s="516"/>
      <c r="Q9" s="517"/>
      <c r="R9" s="517"/>
    </row>
    <row r="10" spans="2:18" s="183" customFormat="1" ht="48" customHeight="1" thickBot="1">
      <c r="B10" s="2030"/>
      <c r="C10" s="2027"/>
      <c r="D10" s="2039"/>
      <c r="E10" s="2041"/>
      <c r="F10" s="2032"/>
      <c r="G10" s="2046"/>
      <c r="H10" s="2034"/>
      <c r="I10" s="2044"/>
      <c r="J10" s="2044"/>
      <c r="K10" s="2044"/>
      <c r="L10" s="2034"/>
      <c r="M10" s="518" t="s">
        <v>221</v>
      </c>
      <c r="N10" s="517" t="s">
        <v>217</v>
      </c>
      <c r="O10" s="516" t="s">
        <v>218</v>
      </c>
      <c r="P10" s="516"/>
      <c r="Q10" s="517"/>
      <c r="R10" s="517"/>
    </row>
    <row r="11" spans="2:16" s="476" customFormat="1" ht="12" thickBot="1">
      <c r="B11" s="475">
        <v>1</v>
      </c>
      <c r="C11" s="475">
        <v>2</v>
      </c>
      <c r="D11" s="1174">
        <v>3</v>
      </c>
      <c r="E11" s="1175">
        <v>4</v>
      </c>
      <c r="F11" s="1343">
        <v>5</v>
      </c>
      <c r="G11" s="1350">
        <v>6</v>
      </c>
      <c r="H11" s="475">
        <v>7</v>
      </c>
      <c r="I11" s="535">
        <v>8</v>
      </c>
      <c r="J11" s="475">
        <v>9</v>
      </c>
      <c r="K11" s="535">
        <v>10</v>
      </c>
      <c r="L11" s="475">
        <v>11</v>
      </c>
      <c r="M11" s="514"/>
      <c r="O11" s="477"/>
      <c r="P11" s="477"/>
    </row>
    <row r="12" spans="2:18" s="183" customFormat="1" ht="18" customHeight="1">
      <c r="B12" s="478">
        <v>1</v>
      </c>
      <c r="C12" s="479" t="s">
        <v>203</v>
      </c>
      <c r="D12" s="507"/>
      <c r="E12" s="536"/>
      <c r="F12" s="505">
        <f>H12-D12-E12-G12</f>
        <v>615202</v>
      </c>
      <c r="G12" s="1351">
        <f>93945+4782+72111+135</f>
        <v>170973</v>
      </c>
      <c r="H12" s="480">
        <f>L12</f>
        <v>786175</v>
      </c>
      <c r="I12" s="481">
        <f>L12*0.6</f>
        <v>471705</v>
      </c>
      <c r="J12" s="506">
        <f>L12-I12</f>
        <v>314470</v>
      </c>
      <c r="K12" s="482"/>
      <c r="L12" s="483">
        <f>hivatal1!E34</f>
        <v>786175</v>
      </c>
      <c r="M12" s="1040">
        <v>0.6</v>
      </c>
      <c r="N12" s="1041">
        <v>0.4</v>
      </c>
      <c r="O12" s="516"/>
      <c r="P12" s="516"/>
      <c r="Q12" s="517"/>
      <c r="R12" s="517"/>
    </row>
    <row r="13" spans="2:18" s="183" customFormat="1" ht="18" customHeight="1">
      <c r="B13" s="484">
        <f aca="true" t="shared" si="0" ref="B13:B30">B12+1</f>
        <v>2</v>
      </c>
      <c r="C13" s="479" t="s">
        <v>204</v>
      </c>
      <c r="D13" s="507"/>
      <c r="E13" s="536"/>
      <c r="F13" s="505">
        <f aca="true" t="shared" si="1" ref="F13:F31">H13-D13-E13-G13</f>
        <v>96757</v>
      </c>
      <c r="G13" s="1351"/>
      <c r="H13" s="480">
        <f aca="true" t="shared" si="2" ref="H13:H62">L13</f>
        <v>96757</v>
      </c>
      <c r="I13" s="481">
        <f>H13-J13</f>
        <v>88774</v>
      </c>
      <c r="J13" s="506">
        <v>7983</v>
      </c>
      <c r="K13" s="485"/>
      <c r="L13" s="483">
        <f>hivatal1!H34</f>
        <v>96757</v>
      </c>
      <c r="M13" s="532"/>
      <c r="N13" s="516" t="s">
        <v>220</v>
      </c>
      <c r="O13" s="516"/>
      <c r="P13" s="516"/>
      <c r="Q13" s="517"/>
      <c r="R13" s="517"/>
    </row>
    <row r="14" spans="2:18" s="183" customFormat="1" ht="18" customHeight="1">
      <c r="B14" s="484">
        <f t="shared" si="0"/>
        <v>3</v>
      </c>
      <c r="C14" s="479" t="s">
        <v>135</v>
      </c>
      <c r="D14" s="507"/>
      <c r="E14" s="536"/>
      <c r="F14" s="505">
        <f t="shared" si="1"/>
        <v>111475</v>
      </c>
      <c r="G14" s="1351">
        <f>26861+96803+800+50000+20000+14884</f>
        <v>209348</v>
      </c>
      <c r="H14" s="480">
        <f t="shared" si="2"/>
        <v>320823</v>
      </c>
      <c r="I14" s="481">
        <f>L14-J14</f>
        <v>309348</v>
      </c>
      <c r="J14" s="506">
        <f>'[5]Kerületi feladatok'!$T$29+'[5]Kerületi feladatok'!$T$30+'[5]Kerületi feladatok'!$T$31+'[5]Kerületi feladatok'!$T$33+'[5]Kerületi feladatok'!$T$19</f>
        <v>11475</v>
      </c>
      <c r="K14" s="485"/>
      <c r="L14" s="483">
        <f>hivatal1!K34</f>
        <v>320823</v>
      </c>
      <c r="M14" s="532"/>
      <c r="N14" s="516" t="s">
        <v>487</v>
      </c>
      <c r="O14" s="516"/>
      <c r="P14" s="516"/>
      <c r="Q14" s="517"/>
      <c r="R14" s="517"/>
    </row>
    <row r="15" spans="2:18" s="183" customFormat="1" ht="18" customHeight="1">
      <c r="B15" s="484">
        <f t="shared" si="0"/>
        <v>4</v>
      </c>
      <c r="C15" s="479" t="s">
        <v>136</v>
      </c>
      <c r="D15" s="507"/>
      <c r="E15" s="536"/>
      <c r="F15" s="505">
        <f t="shared" si="1"/>
        <v>100496</v>
      </c>
      <c r="G15" s="1351">
        <f>42825+53699</f>
        <v>96524</v>
      </c>
      <c r="H15" s="480">
        <f t="shared" si="2"/>
        <v>197020</v>
      </c>
      <c r="I15" s="481"/>
      <c r="J15" s="506">
        <f aca="true" t="shared" si="3" ref="J15:J64">L15-I15-K15</f>
        <v>197020</v>
      </c>
      <c r="K15" s="485"/>
      <c r="L15" s="483">
        <f>hivatal1!N34</f>
        <v>197020</v>
      </c>
      <c r="M15" s="532"/>
      <c r="N15" s="516"/>
      <c r="O15" s="516"/>
      <c r="P15" s="516"/>
      <c r="Q15" s="517"/>
      <c r="R15" s="517"/>
    </row>
    <row r="16" spans="2:18" s="487" customFormat="1" ht="18" customHeight="1">
      <c r="B16" s="484">
        <f t="shared" si="0"/>
        <v>5</v>
      </c>
      <c r="C16" s="479" t="s">
        <v>205</v>
      </c>
      <c r="D16" s="507"/>
      <c r="E16" s="536"/>
      <c r="F16" s="505">
        <f t="shared" si="1"/>
        <v>123607</v>
      </c>
      <c r="G16" s="1351">
        <f>76+3000</f>
        <v>3076</v>
      </c>
      <c r="H16" s="480">
        <f t="shared" si="2"/>
        <v>126683</v>
      </c>
      <c r="I16" s="481"/>
      <c r="J16" s="506">
        <f t="shared" si="3"/>
        <v>126683</v>
      </c>
      <c r="K16" s="486"/>
      <c r="L16" s="483">
        <f>hivatal1!Q34</f>
        <v>126683</v>
      </c>
      <c r="M16" s="532"/>
      <c r="N16" s="513"/>
      <c r="O16" s="513"/>
      <c r="P16" s="513"/>
      <c r="Q16" s="515"/>
      <c r="R16" s="515"/>
    </row>
    <row r="17" spans="2:18" s="487" customFormat="1" ht="18" customHeight="1">
      <c r="B17" s="484">
        <f t="shared" si="0"/>
        <v>6</v>
      </c>
      <c r="C17" s="479" t="s">
        <v>137</v>
      </c>
      <c r="D17" s="507"/>
      <c r="E17" s="536"/>
      <c r="F17" s="505">
        <f t="shared" si="1"/>
        <v>116321</v>
      </c>
      <c r="G17" s="1351">
        <f>19419+9000</f>
        <v>28419</v>
      </c>
      <c r="H17" s="480">
        <f t="shared" si="2"/>
        <v>144740</v>
      </c>
      <c r="I17" s="481">
        <f>L17-J17</f>
        <v>89070</v>
      </c>
      <c r="J17" s="506">
        <f>'[5]Sajtó'!$E$20+'[5]Sajtó'!$E$21+'[5]Sajtó'!$E$22</f>
        <v>55670</v>
      </c>
      <c r="K17" s="486"/>
      <c r="L17" s="483">
        <f>hivatal2!E34</f>
        <v>144740</v>
      </c>
      <c r="M17" s="532" t="s">
        <v>224</v>
      </c>
      <c r="N17" s="513"/>
      <c r="O17" s="513"/>
      <c r="P17" s="513"/>
      <c r="Q17" s="515"/>
      <c r="R17" s="515"/>
    </row>
    <row r="18" spans="2:18" s="487" customFormat="1" ht="18" customHeight="1">
      <c r="B18" s="484">
        <f t="shared" si="0"/>
        <v>7</v>
      </c>
      <c r="C18" s="479" t="s">
        <v>138</v>
      </c>
      <c r="D18" s="508"/>
      <c r="E18" s="537"/>
      <c r="F18" s="505">
        <f t="shared" si="1"/>
        <v>23067</v>
      </c>
      <c r="G18" s="1351">
        <f>59+9807</f>
        <v>9866</v>
      </c>
      <c r="H18" s="480">
        <f t="shared" si="2"/>
        <v>32933</v>
      </c>
      <c r="I18" s="481">
        <f>H18</f>
        <v>32933</v>
      </c>
      <c r="J18" s="506"/>
      <c r="K18" s="486"/>
      <c r="L18" s="483">
        <f>hivatal2!H34</f>
        <v>32933</v>
      </c>
      <c r="M18" s="532" t="s">
        <v>324</v>
      </c>
      <c r="N18" s="513"/>
      <c r="O18" s="513"/>
      <c r="P18" s="513"/>
      <c r="Q18" s="515"/>
      <c r="R18" s="515"/>
    </row>
    <row r="19" spans="2:18" s="487" customFormat="1" ht="18" customHeight="1">
      <c r="B19" s="484">
        <f t="shared" si="0"/>
        <v>8</v>
      </c>
      <c r="C19" s="479" t="s">
        <v>140</v>
      </c>
      <c r="D19" s="507"/>
      <c r="E19" s="536"/>
      <c r="F19" s="505">
        <f t="shared" si="1"/>
        <v>10146</v>
      </c>
      <c r="G19" s="1351"/>
      <c r="H19" s="480">
        <f t="shared" si="2"/>
        <v>10146</v>
      </c>
      <c r="I19" s="481"/>
      <c r="J19" s="506">
        <f t="shared" si="3"/>
        <v>10146</v>
      </c>
      <c r="K19" s="486"/>
      <c r="L19" s="483">
        <f>hivatal2!K34</f>
        <v>10146</v>
      </c>
      <c r="M19" s="532"/>
      <c r="N19" s="513"/>
      <c r="O19" s="513"/>
      <c r="P19" s="513"/>
      <c r="Q19" s="515"/>
      <c r="R19" s="515"/>
    </row>
    <row r="20" spans="2:18" s="487" customFormat="1" ht="18" customHeight="1">
      <c r="B20" s="484">
        <f t="shared" si="0"/>
        <v>9</v>
      </c>
      <c r="C20" s="479" t="s">
        <v>141</v>
      </c>
      <c r="D20" s="507"/>
      <c r="E20" s="536"/>
      <c r="F20" s="505">
        <f t="shared" si="1"/>
        <v>10000</v>
      </c>
      <c r="G20" s="1351">
        <f>2844+6337+6</f>
        <v>9187</v>
      </c>
      <c r="H20" s="480">
        <f t="shared" si="2"/>
        <v>19187</v>
      </c>
      <c r="I20" s="481"/>
      <c r="J20" s="506">
        <f t="shared" si="3"/>
        <v>19187</v>
      </c>
      <c r="K20" s="486"/>
      <c r="L20" s="483">
        <f>hivatal2!N34</f>
        <v>19187</v>
      </c>
      <c r="M20" s="532"/>
      <c r="N20" s="513"/>
      <c r="O20" s="513"/>
      <c r="P20" s="513"/>
      <c r="Q20" s="515"/>
      <c r="R20" s="515"/>
    </row>
    <row r="21" spans="2:18" s="487" customFormat="1" ht="18" customHeight="1">
      <c r="B21" s="484">
        <f t="shared" si="0"/>
        <v>10</v>
      </c>
      <c r="C21" s="479" t="s">
        <v>425</v>
      </c>
      <c r="D21" s="507"/>
      <c r="E21" s="536"/>
      <c r="F21" s="976">
        <f t="shared" si="1"/>
        <v>39568</v>
      </c>
      <c r="G21" s="1352">
        <f>17501+2000</f>
        <v>19501</v>
      </c>
      <c r="H21" s="480">
        <f t="shared" si="2"/>
        <v>59069</v>
      </c>
      <c r="I21" s="481">
        <f>'[5]Egészségügy és szoc fa-ok'!$T$16+'[5]Egészségügy és szoc fa-ok'!$T$17+'[5]Egészségügy és szoc fa-ok'!$T$18+'[5]Egészségügy és szoc fa-ok'!$T$19</f>
        <v>57069</v>
      </c>
      <c r="J21" s="506">
        <f t="shared" si="3"/>
        <v>2000</v>
      </c>
      <c r="K21" s="486"/>
      <c r="L21" s="489">
        <f>hivatal2!Q34</f>
        <v>59069</v>
      </c>
      <c r="M21" s="532" t="s">
        <v>323</v>
      </c>
      <c r="N21" s="513"/>
      <c r="O21" s="513"/>
      <c r="P21" s="513"/>
      <c r="Q21" s="515"/>
      <c r="R21" s="515"/>
    </row>
    <row r="22" spans="2:18" s="487" customFormat="1" ht="18" customHeight="1">
      <c r="B22" s="484">
        <f t="shared" si="0"/>
        <v>11</v>
      </c>
      <c r="C22" s="560" t="s">
        <v>430</v>
      </c>
      <c r="D22" s="984"/>
      <c r="E22" s="562"/>
      <c r="F22" s="567">
        <f t="shared" si="1"/>
        <v>106200</v>
      </c>
      <c r="G22" s="1353">
        <f>26256+3900</f>
        <v>30156</v>
      </c>
      <c r="H22" s="495">
        <f t="shared" si="2"/>
        <v>136356</v>
      </c>
      <c r="I22" s="564">
        <f>H22-J22</f>
        <v>128141</v>
      </c>
      <c r="J22" s="565">
        <f>'[5]Önkormányzati segély'!$T$27</f>
        <v>8215</v>
      </c>
      <c r="K22" s="566"/>
      <c r="L22" s="483">
        <f>hivatal3!E34</f>
        <v>136356</v>
      </c>
      <c r="M22" s="532"/>
      <c r="N22" s="513" t="s">
        <v>483</v>
      </c>
      <c r="O22" s="513"/>
      <c r="P22" s="513"/>
      <c r="Q22" s="515"/>
      <c r="R22" s="515"/>
    </row>
    <row r="23" spans="2:18" s="487" customFormat="1" ht="18" customHeight="1">
      <c r="B23" s="484">
        <f t="shared" si="0"/>
        <v>12</v>
      </c>
      <c r="C23" s="560" t="str">
        <f>hivatal3!F7</f>
        <v>Szociális feladatellátás</v>
      </c>
      <c r="D23" s="561"/>
      <c r="E23" s="562">
        <v>2911</v>
      </c>
      <c r="F23" s="567">
        <f t="shared" si="1"/>
        <v>79241</v>
      </c>
      <c r="G23" s="1353">
        <v>22780</v>
      </c>
      <c r="H23" s="495">
        <f t="shared" si="2"/>
        <v>104932</v>
      </c>
      <c r="I23" s="564">
        <f>'[5]Szociális feladatell.'!$T$16+'[5]Szociális feladatell.'!$T$20+'[5]Szociális feladatell.'!$T$21+'[5]Szociális feladatell.'!$T$23</f>
        <v>21502</v>
      </c>
      <c r="J23" s="565">
        <f t="shared" si="3"/>
        <v>83430</v>
      </c>
      <c r="K23" s="566"/>
      <c r="L23" s="483">
        <f>hivatal3!H34</f>
        <v>104932</v>
      </c>
      <c r="M23" s="532" t="s">
        <v>489</v>
      </c>
      <c r="N23" s="513" t="s">
        <v>488</v>
      </c>
      <c r="O23" s="513"/>
      <c r="P23" s="513"/>
      <c r="Q23" s="515"/>
      <c r="R23" s="515"/>
    </row>
    <row r="24" spans="2:18" s="487" customFormat="1" ht="18" customHeight="1">
      <c r="B24" s="484">
        <f t="shared" si="0"/>
        <v>13</v>
      </c>
      <c r="C24" s="560" t="s">
        <v>78</v>
      </c>
      <c r="D24" s="561"/>
      <c r="E24" s="562"/>
      <c r="F24" s="563">
        <f t="shared" si="1"/>
        <v>2859</v>
      </c>
      <c r="G24" s="1354">
        <v>2000</v>
      </c>
      <c r="H24" s="495">
        <f t="shared" si="2"/>
        <v>4859</v>
      </c>
      <c r="I24" s="564"/>
      <c r="J24" s="565">
        <f t="shared" si="3"/>
        <v>4859</v>
      </c>
      <c r="K24" s="566"/>
      <c r="L24" s="483">
        <f>hivatal3!K34</f>
        <v>4859</v>
      </c>
      <c r="M24" s="532" t="s">
        <v>225</v>
      </c>
      <c r="N24" s="513"/>
      <c r="O24" s="513"/>
      <c r="P24" s="513"/>
      <c r="Q24" s="515"/>
      <c r="R24" s="515"/>
    </row>
    <row r="25" spans="2:18" s="487" customFormat="1" ht="18" customHeight="1">
      <c r="B25" s="484">
        <f t="shared" si="0"/>
        <v>14</v>
      </c>
      <c r="C25" s="479" t="s">
        <v>193</v>
      </c>
      <c r="D25" s="507"/>
      <c r="E25" s="536"/>
      <c r="F25" s="505">
        <f t="shared" si="1"/>
        <v>15000</v>
      </c>
      <c r="G25" s="1351"/>
      <c r="H25" s="480">
        <f t="shared" si="2"/>
        <v>15000</v>
      </c>
      <c r="I25" s="481"/>
      <c r="J25" s="506">
        <f t="shared" si="3"/>
        <v>15000</v>
      </c>
      <c r="K25" s="486"/>
      <c r="L25" s="483">
        <f>hivatal3!N34</f>
        <v>15000</v>
      </c>
      <c r="M25" s="532"/>
      <c r="N25" s="513"/>
      <c r="O25" s="513"/>
      <c r="P25" s="513"/>
      <c r="Q25" s="515"/>
      <c r="R25" s="515"/>
    </row>
    <row r="26" spans="2:18" s="487" customFormat="1" ht="18" customHeight="1">
      <c r="B26" s="484">
        <f t="shared" si="0"/>
        <v>15</v>
      </c>
      <c r="C26" s="479" t="s">
        <v>637</v>
      </c>
      <c r="D26" s="507"/>
      <c r="E26" s="536"/>
      <c r="F26" s="505">
        <f t="shared" si="1"/>
        <v>7991</v>
      </c>
      <c r="G26" s="1351"/>
      <c r="H26" s="480">
        <f t="shared" si="2"/>
        <v>7991</v>
      </c>
      <c r="I26" s="481">
        <v>2000</v>
      </c>
      <c r="J26" s="506">
        <f t="shared" si="3"/>
        <v>5991</v>
      </c>
      <c r="K26" s="486"/>
      <c r="L26" s="483">
        <f>hivatal3!Q34</f>
        <v>7991</v>
      </c>
      <c r="M26" s="532"/>
      <c r="N26" s="513"/>
      <c r="O26" s="513"/>
      <c r="P26" s="513"/>
      <c r="Q26" s="515"/>
      <c r="R26" s="515"/>
    </row>
    <row r="27" spans="2:18" s="487" customFormat="1" ht="18" customHeight="1">
      <c r="B27" s="484">
        <f t="shared" si="0"/>
        <v>16</v>
      </c>
      <c r="C27" s="479" t="s">
        <v>478</v>
      </c>
      <c r="D27" s="507"/>
      <c r="E27" s="536">
        <v>4954</v>
      </c>
      <c r="F27" s="505">
        <f t="shared" si="1"/>
        <v>22000</v>
      </c>
      <c r="G27" s="1351">
        <v>4331</v>
      </c>
      <c r="H27" s="480">
        <f t="shared" si="2"/>
        <v>31285</v>
      </c>
      <c r="I27" s="481"/>
      <c r="J27" s="506">
        <f>L27</f>
        <v>31285</v>
      </c>
      <c r="K27" s="486"/>
      <c r="L27" s="483">
        <f>hivatal4!E34</f>
        <v>31285</v>
      </c>
      <c r="M27" s="532"/>
      <c r="N27" s="513"/>
      <c r="O27" s="513"/>
      <c r="P27" s="513"/>
      <c r="Q27" s="515"/>
      <c r="R27" s="515"/>
    </row>
    <row r="28" spans="2:18" s="487" customFormat="1" ht="18" customHeight="1">
      <c r="B28" s="484">
        <f t="shared" si="0"/>
        <v>17</v>
      </c>
      <c r="C28" s="479" t="s">
        <v>325</v>
      </c>
      <c r="D28" s="507"/>
      <c r="E28" s="536"/>
      <c r="F28" s="505">
        <f t="shared" si="1"/>
        <v>36460</v>
      </c>
      <c r="G28" s="1351">
        <f>8336+25000</f>
        <v>33336</v>
      </c>
      <c r="H28" s="480">
        <f t="shared" si="2"/>
        <v>69796</v>
      </c>
      <c r="I28" s="481">
        <f>L28-J28-K28</f>
        <v>64048</v>
      </c>
      <c r="J28" s="506">
        <f>'[5]Városrendezés'!$T$15+'[5]Városrendezés'!$T$18+'[5]Városrendezés'!$T$23+'[5]Városrendezés'!$T$24+'[5]Városrendezés'!$T$25+'[5]Városrendezés'!$T$26</f>
        <v>5748</v>
      </c>
      <c r="K28" s="486"/>
      <c r="L28" s="483">
        <f>hivatal4!H34</f>
        <v>69796</v>
      </c>
      <c r="M28" s="532"/>
      <c r="N28" s="513" t="s">
        <v>484</v>
      </c>
      <c r="O28" s="513"/>
      <c r="P28" s="513"/>
      <c r="Q28" s="515"/>
      <c r="R28" s="515"/>
    </row>
    <row r="29" spans="2:18" s="487" customFormat="1" ht="18" customHeight="1">
      <c r="B29" s="484">
        <f t="shared" si="0"/>
        <v>18</v>
      </c>
      <c r="C29" s="479" t="s">
        <v>79</v>
      </c>
      <c r="D29" s="507"/>
      <c r="E29" s="536"/>
      <c r="F29" s="505">
        <f t="shared" si="1"/>
        <v>42196</v>
      </c>
      <c r="G29" s="1351">
        <f>47000+76134+23000</f>
        <v>146134</v>
      </c>
      <c r="H29" s="480">
        <f t="shared" si="2"/>
        <v>188330</v>
      </c>
      <c r="I29" s="481">
        <f>'[4]Kártalanítás, utcamegnyitás'!$T$15</f>
        <v>175330</v>
      </c>
      <c r="J29" s="506">
        <f t="shared" si="3"/>
        <v>13000</v>
      </c>
      <c r="K29" s="486"/>
      <c r="L29" s="483">
        <f>hivatal4!K34</f>
        <v>188330</v>
      </c>
      <c r="M29" s="532" t="s">
        <v>226</v>
      </c>
      <c r="N29" s="513"/>
      <c r="O29" s="513"/>
      <c r="P29" s="513"/>
      <c r="Q29" s="515"/>
      <c r="R29" s="515"/>
    </row>
    <row r="30" spans="2:18" s="487" customFormat="1" ht="18" customHeight="1">
      <c r="B30" s="484">
        <f t="shared" si="0"/>
        <v>19</v>
      </c>
      <c r="C30" s="479" t="s">
        <v>61</v>
      </c>
      <c r="D30" s="507"/>
      <c r="E30" s="536"/>
      <c r="F30" s="505">
        <f t="shared" si="1"/>
        <v>668814</v>
      </c>
      <c r="G30" s="1351">
        <f>20839+269682+10000+1300</f>
        <v>301821</v>
      </c>
      <c r="H30" s="480">
        <f>L30</f>
        <v>970635</v>
      </c>
      <c r="I30" s="481">
        <f>L30-J30-K30</f>
        <v>736905</v>
      </c>
      <c r="J30" s="506">
        <f>'[5]Vagyongazdálkodás'!$T$11+'[5]Vagyongazdálkodás'!$T$31+'[5]Vagyongazdálkodás'!$T$32+'[5]Vagyongazdálkodás'!$T$33+'[5]Vagyongazdálkodás'!$T$34+'[5]Vagyongazdálkodás'!$T$35+'[5]Vagyongazdálkodás'!$T$38+'[5]Vagyongazdálkodás'!$T$39+'[5]Vagyongazdálkodás'!$T$40+'[5]Vagyongazdálkodás'!$T$41+'[5]Vagyongazdálkodás'!$T$42</f>
        <v>233730</v>
      </c>
      <c r="K30" s="486"/>
      <c r="L30" s="483">
        <f>hivatal4!N34</f>
        <v>970635</v>
      </c>
      <c r="M30" s="532"/>
      <c r="N30" s="513" t="s">
        <v>485</v>
      </c>
      <c r="O30" s="513"/>
      <c r="P30" s="513"/>
      <c r="Q30" s="515"/>
      <c r="R30" s="515"/>
    </row>
    <row r="31" spans="2:18" s="487" customFormat="1" ht="18" customHeight="1" thickBot="1">
      <c r="B31" s="559">
        <v>20</v>
      </c>
      <c r="C31" s="560" t="s">
        <v>522</v>
      </c>
      <c r="D31" s="561"/>
      <c r="E31" s="562"/>
      <c r="F31" s="505">
        <f t="shared" si="1"/>
        <v>0</v>
      </c>
      <c r="G31" s="1351"/>
      <c r="H31" s="480">
        <f>L31</f>
        <v>0</v>
      </c>
      <c r="I31" s="564"/>
      <c r="J31" s="564"/>
      <c r="K31" s="566"/>
      <c r="L31" s="483">
        <f>hivatal4!Q34</f>
        <v>0</v>
      </c>
      <c r="M31" s="532"/>
      <c r="N31" s="513"/>
      <c r="O31" s="513"/>
      <c r="P31" s="513"/>
      <c r="Q31" s="515"/>
      <c r="R31" s="515"/>
    </row>
    <row r="32" spans="2:18" s="487" customFormat="1" ht="18" customHeight="1">
      <c r="B32" s="478">
        <v>21</v>
      </c>
      <c r="C32" s="1241" t="s">
        <v>86</v>
      </c>
      <c r="D32" s="575"/>
      <c r="E32" s="576"/>
      <c r="F32" s="1344"/>
      <c r="G32" s="1355"/>
      <c r="H32" s="577"/>
      <c r="I32" s="577"/>
      <c r="J32" s="1250"/>
      <c r="K32" s="1247"/>
      <c r="L32" s="578"/>
      <c r="M32" s="532"/>
      <c r="N32" s="519">
        <v>1444932</v>
      </c>
      <c r="O32" s="513"/>
      <c r="P32" s="513"/>
      <c r="Q32" s="515"/>
      <c r="R32" s="515"/>
    </row>
    <row r="33" spans="2:18" s="183" customFormat="1" ht="18" customHeight="1">
      <c r="B33" s="488"/>
      <c r="C33" s="1242" t="s">
        <v>504</v>
      </c>
      <c r="D33" s="509"/>
      <c r="E33" s="538"/>
      <c r="F33" s="505">
        <f aca="true" t="shared" si="4" ref="F33:F62">H33-D33-E33-G33</f>
        <v>297147</v>
      </c>
      <c r="G33" s="1351">
        <f>18799+259720+8000+10000+90000+55000+26000-67611+25000</f>
        <v>424908</v>
      </c>
      <c r="H33" s="480">
        <f>L33</f>
        <v>722055</v>
      </c>
      <c r="I33" s="481">
        <f>H33</f>
        <v>722055</v>
      </c>
      <c r="J33" s="506">
        <f t="shared" si="3"/>
        <v>0</v>
      </c>
      <c r="K33" s="1248"/>
      <c r="L33" s="489">
        <f>'[5]Városüzemeltetés'!$T$38</f>
        <v>722055</v>
      </c>
      <c r="M33" s="532"/>
      <c r="N33" s="516"/>
      <c r="O33" s="516"/>
      <c r="P33" s="516"/>
      <c r="Q33" s="517"/>
      <c r="R33" s="517"/>
    </row>
    <row r="34" spans="2:18" s="183" customFormat="1" ht="18" customHeight="1">
      <c r="B34" s="490"/>
      <c r="C34" s="1242" t="s">
        <v>211</v>
      </c>
      <c r="D34" s="509"/>
      <c r="E34" s="538"/>
      <c r="F34" s="505">
        <f t="shared" si="4"/>
        <v>3000</v>
      </c>
      <c r="G34" s="1351">
        <f>18039+1943+15020</f>
        <v>35002</v>
      </c>
      <c r="H34" s="480">
        <f t="shared" si="2"/>
        <v>38002</v>
      </c>
      <c r="I34" s="481"/>
      <c r="J34" s="506">
        <f t="shared" si="3"/>
        <v>38002</v>
      </c>
      <c r="K34" s="1248"/>
      <c r="L34" s="489">
        <f>'[5]Városüzemeltetés'!$T$41</f>
        <v>38002</v>
      </c>
      <c r="M34" s="532"/>
      <c r="N34" s="516" t="s">
        <v>491</v>
      </c>
      <c r="O34" s="516"/>
      <c r="P34" s="516"/>
      <c r="Q34" s="517"/>
      <c r="R34" s="517"/>
    </row>
    <row r="35" spans="2:18" s="183" customFormat="1" ht="18" customHeight="1">
      <c r="B35" s="490"/>
      <c r="C35" s="1242" t="s">
        <v>210</v>
      </c>
      <c r="D35" s="509"/>
      <c r="E35" s="538"/>
      <c r="F35" s="505">
        <f t="shared" si="4"/>
        <v>30000</v>
      </c>
      <c r="G35" s="1351">
        <f>12836+4633</f>
        <v>17469</v>
      </c>
      <c r="H35" s="480">
        <f t="shared" si="2"/>
        <v>47469</v>
      </c>
      <c r="I35" s="481">
        <f>H35</f>
        <v>47469</v>
      </c>
      <c r="J35" s="506">
        <f t="shared" si="3"/>
        <v>0</v>
      </c>
      <c r="K35" s="1248"/>
      <c r="L35" s="489">
        <f>'[5]Városüzemeltetés'!$T$45</f>
        <v>47469</v>
      </c>
      <c r="M35" s="532"/>
      <c r="N35" s="516"/>
      <c r="O35" s="516"/>
      <c r="P35" s="516"/>
      <c r="Q35" s="517"/>
      <c r="R35" s="517"/>
    </row>
    <row r="36" spans="2:18" s="183" customFormat="1" ht="18" customHeight="1">
      <c r="B36" s="490"/>
      <c r="C36" s="1242" t="s">
        <v>474</v>
      </c>
      <c r="D36" s="509"/>
      <c r="E36" s="538"/>
      <c r="F36" s="505">
        <f t="shared" si="4"/>
        <v>5994</v>
      </c>
      <c r="G36" s="1351">
        <v>771</v>
      </c>
      <c r="H36" s="480">
        <f t="shared" si="2"/>
        <v>6765</v>
      </c>
      <c r="I36" s="481">
        <f>H36</f>
        <v>6765</v>
      </c>
      <c r="J36" s="506">
        <f t="shared" si="3"/>
        <v>0</v>
      </c>
      <c r="K36" s="1248"/>
      <c r="L36" s="489">
        <f>'[5]Városüzemeltetés'!$T$49</f>
        <v>6765</v>
      </c>
      <c r="M36" s="532"/>
      <c r="N36" s="516"/>
      <c r="O36" s="516"/>
      <c r="P36" s="516"/>
      <c r="Q36" s="517"/>
      <c r="R36" s="517"/>
    </row>
    <row r="37" spans="2:18" s="183" customFormat="1" ht="18" customHeight="1">
      <c r="B37" s="490"/>
      <c r="C37" s="1242" t="s">
        <v>212</v>
      </c>
      <c r="D37" s="509"/>
      <c r="E37" s="538"/>
      <c r="F37" s="505">
        <f t="shared" si="4"/>
        <v>12500</v>
      </c>
      <c r="G37" s="1351">
        <f>22478+2171+6629</f>
        <v>31278</v>
      </c>
      <c r="H37" s="480">
        <f t="shared" si="2"/>
        <v>43778</v>
      </c>
      <c r="I37" s="481"/>
      <c r="J37" s="506">
        <f>L37</f>
        <v>43778</v>
      </c>
      <c r="K37" s="1248"/>
      <c r="L37" s="489">
        <f>'[5]Városüzemeltetés'!$T$53</f>
        <v>43778</v>
      </c>
      <c r="M37" s="532"/>
      <c r="N37" s="520" t="s">
        <v>491</v>
      </c>
      <c r="O37" s="516"/>
      <c r="P37" s="516"/>
      <c r="Q37" s="517"/>
      <c r="R37" s="517"/>
    </row>
    <row r="38" spans="2:18" s="183" customFormat="1" ht="18" customHeight="1">
      <c r="B38" s="490"/>
      <c r="C38" s="1242" t="s">
        <v>475</v>
      </c>
      <c r="D38" s="981"/>
      <c r="E38" s="538">
        <f>1136400+930200+39500</f>
        <v>2106100</v>
      </c>
      <c r="F38" s="505">
        <f t="shared" si="4"/>
        <v>61404</v>
      </c>
      <c r="G38" s="1351">
        <f>20224+404440+435464+47596+62708+150000+177440+54964+73461-27339+1710</f>
        <v>1400668</v>
      </c>
      <c r="H38" s="480">
        <f t="shared" si="2"/>
        <v>3568172</v>
      </c>
      <c r="I38" s="481"/>
      <c r="J38" s="506">
        <f t="shared" si="3"/>
        <v>3568172</v>
      </c>
      <c r="K38" s="1248"/>
      <c r="L38" s="489">
        <f>'[5]Városüzemeltetés'!$T$128</f>
        <v>3568172</v>
      </c>
      <c r="M38" s="532"/>
      <c r="N38" s="516"/>
      <c r="O38" s="516"/>
      <c r="P38" s="516"/>
      <c r="Q38" s="517"/>
      <c r="R38" s="517"/>
    </row>
    <row r="39" spans="2:18" s="183" customFormat="1" ht="18" customHeight="1">
      <c r="B39" s="490"/>
      <c r="C39" s="1242" t="s">
        <v>476</v>
      </c>
      <c r="D39" s="509"/>
      <c r="E39" s="538"/>
      <c r="F39" s="505">
        <f t="shared" si="4"/>
        <v>60802</v>
      </c>
      <c r="G39" s="1351">
        <v>279</v>
      </c>
      <c r="H39" s="480">
        <f>L39</f>
        <v>61081</v>
      </c>
      <c r="I39" s="481">
        <f>L39</f>
        <v>61081</v>
      </c>
      <c r="J39" s="506">
        <f>L39-I39-K39</f>
        <v>0</v>
      </c>
      <c r="K39" s="1248"/>
      <c r="L39" s="489">
        <f>'[5]Városüzemeltetés'!$V$143</f>
        <v>61081</v>
      </c>
      <c r="M39" s="532"/>
      <c r="N39" s="516"/>
      <c r="O39" s="516"/>
      <c r="P39" s="516"/>
      <c r="Q39" s="517"/>
      <c r="R39" s="517"/>
    </row>
    <row r="40" spans="2:18" s="183" customFormat="1" ht="18" customHeight="1">
      <c r="B40" s="490"/>
      <c r="C40" s="1242" t="s">
        <v>477</v>
      </c>
      <c r="D40" s="509"/>
      <c r="E40" s="538"/>
      <c r="F40" s="505">
        <f t="shared" si="4"/>
        <v>69417</v>
      </c>
      <c r="G40" s="1351">
        <f>5483+113749+3468</f>
        <v>122700</v>
      </c>
      <c r="H40" s="480">
        <f>L40</f>
        <v>192117</v>
      </c>
      <c r="I40" s="481">
        <f>L40</f>
        <v>192117</v>
      </c>
      <c r="J40" s="506">
        <f>L40-I40-K40</f>
        <v>0</v>
      </c>
      <c r="K40" s="1248"/>
      <c r="L40" s="489">
        <f>'[5]Városüzemeltetés'!$V$138</f>
        <v>192117</v>
      </c>
      <c r="M40" s="532"/>
      <c r="N40" s="516"/>
      <c r="O40" s="516"/>
      <c r="P40" s="516"/>
      <c r="Q40" s="517"/>
      <c r="R40" s="517"/>
    </row>
    <row r="41" spans="2:18" s="183" customFormat="1" ht="18" customHeight="1">
      <c r="B41" s="490"/>
      <c r="C41" s="1242" t="s">
        <v>481</v>
      </c>
      <c r="D41" s="509"/>
      <c r="E41" s="538"/>
      <c r="F41" s="505">
        <f t="shared" si="4"/>
        <v>13738</v>
      </c>
      <c r="G41" s="1351">
        <f>2487+40287</f>
        <v>42774</v>
      </c>
      <c r="H41" s="480">
        <f>L41</f>
        <v>56512</v>
      </c>
      <c r="I41" s="481">
        <f>L41</f>
        <v>56512</v>
      </c>
      <c r="J41" s="506">
        <f>L41-I41-K41</f>
        <v>0</v>
      </c>
      <c r="K41" s="1248"/>
      <c r="L41" s="489">
        <f>'[5]Városüzemeltetés'!$V$148</f>
        <v>56512</v>
      </c>
      <c r="M41" s="532"/>
      <c r="N41" s="516"/>
      <c r="O41" s="516"/>
      <c r="P41" s="516"/>
      <c r="Q41" s="517"/>
      <c r="R41" s="517"/>
    </row>
    <row r="42" spans="2:18" s="183" customFormat="1" ht="18" customHeight="1">
      <c r="B42" s="490"/>
      <c r="C42" s="1242" t="s">
        <v>482</v>
      </c>
      <c r="D42" s="509"/>
      <c r="E42" s="538"/>
      <c r="F42" s="505">
        <f t="shared" si="4"/>
        <v>12388</v>
      </c>
      <c r="G42" s="1351">
        <f>18272+1996</f>
        <v>20268</v>
      </c>
      <c r="H42" s="480">
        <f t="shared" si="2"/>
        <v>32656</v>
      </c>
      <c r="I42" s="481">
        <f>L42</f>
        <v>32656</v>
      </c>
      <c r="J42" s="506">
        <f t="shared" si="3"/>
        <v>0</v>
      </c>
      <c r="K42" s="1248"/>
      <c r="L42" s="489">
        <f>'[5]Városüzemeltetés'!$V$152</f>
        <v>32656</v>
      </c>
      <c r="M42" s="532"/>
      <c r="N42" s="516"/>
      <c r="O42" s="516"/>
      <c r="P42" s="516"/>
      <c r="Q42" s="517"/>
      <c r="R42" s="517"/>
    </row>
    <row r="43" spans="2:18" s="183" customFormat="1" ht="18" customHeight="1">
      <c r="B43" s="490"/>
      <c r="C43" s="1242" t="s">
        <v>553</v>
      </c>
      <c r="D43" s="509"/>
      <c r="E43" s="538"/>
      <c r="F43" s="505">
        <f t="shared" si="4"/>
        <v>262183</v>
      </c>
      <c r="G43" s="1351">
        <f>2552+112825+7000+5000+4965</f>
        <v>132342</v>
      </c>
      <c r="H43" s="480">
        <f t="shared" si="2"/>
        <v>394525</v>
      </c>
      <c r="I43" s="481">
        <f>H43</f>
        <v>394525</v>
      </c>
      <c r="J43" s="506">
        <f t="shared" si="3"/>
        <v>0</v>
      </c>
      <c r="K43" s="1248"/>
      <c r="L43" s="489">
        <f>'[5]Városüzemeltetés'!$T$179</f>
        <v>394525</v>
      </c>
      <c r="M43" s="532"/>
      <c r="N43" s="516"/>
      <c r="O43" s="516"/>
      <c r="P43" s="516"/>
      <c r="Q43" s="517"/>
      <c r="R43" s="517"/>
    </row>
    <row r="44" spans="2:18" s="183" customFormat="1" ht="18" customHeight="1">
      <c r="B44" s="490"/>
      <c r="C44" s="1242" t="s">
        <v>213</v>
      </c>
      <c r="D44" s="509"/>
      <c r="E44" s="538"/>
      <c r="F44" s="505">
        <f t="shared" si="4"/>
        <v>57889</v>
      </c>
      <c r="G44" s="1351">
        <v>400</v>
      </c>
      <c r="H44" s="480">
        <f t="shared" si="2"/>
        <v>58289</v>
      </c>
      <c r="I44" s="481">
        <f>L44</f>
        <v>58289</v>
      </c>
      <c r="J44" s="506">
        <f t="shared" si="3"/>
        <v>0</v>
      </c>
      <c r="K44" s="1248"/>
      <c r="L44" s="489">
        <f>'[5]Városüzemeltetés'!$T$180</f>
        <v>58289</v>
      </c>
      <c r="M44" s="532" t="s">
        <v>486</v>
      </c>
      <c r="N44" s="516" t="s">
        <v>473</v>
      </c>
      <c r="O44" s="516"/>
      <c r="P44" s="516"/>
      <c r="Q44" s="517"/>
      <c r="R44" s="517"/>
    </row>
    <row r="45" spans="2:18" s="183" customFormat="1" ht="18" customHeight="1">
      <c r="B45" s="490"/>
      <c r="C45" s="1242" t="s">
        <v>214</v>
      </c>
      <c r="D45" s="509"/>
      <c r="E45" s="538">
        <f>10000+106287</f>
        <v>116287</v>
      </c>
      <c r="F45" s="505">
        <f t="shared" si="4"/>
        <v>157311</v>
      </c>
      <c r="G45" s="1351">
        <f>87915+133944+36058</f>
        <v>257917</v>
      </c>
      <c r="H45" s="480">
        <f t="shared" si="2"/>
        <v>531515</v>
      </c>
      <c r="I45" s="481">
        <f>L45</f>
        <v>531515</v>
      </c>
      <c r="J45" s="506">
        <f t="shared" si="3"/>
        <v>0</v>
      </c>
      <c r="K45" s="1248"/>
      <c r="L45" s="489">
        <f>'[5]Városüzemeltetés'!$T$181</f>
        <v>531515</v>
      </c>
      <c r="M45" s="532" t="s">
        <v>486</v>
      </c>
      <c r="N45" s="516" t="s">
        <v>473</v>
      </c>
      <c r="O45" s="516"/>
      <c r="P45" s="516"/>
      <c r="Q45" s="517"/>
      <c r="R45" s="517"/>
    </row>
    <row r="46" spans="2:18" s="183" customFormat="1" ht="18" customHeight="1">
      <c r="B46" s="490"/>
      <c r="C46" s="1242" t="s">
        <v>215</v>
      </c>
      <c r="D46" s="509"/>
      <c r="E46" s="538"/>
      <c r="F46" s="505">
        <f t="shared" si="4"/>
        <v>2474</v>
      </c>
      <c r="G46" s="1351">
        <f>43946-36058</f>
        <v>7888</v>
      </c>
      <c r="H46" s="480">
        <f t="shared" si="2"/>
        <v>10362</v>
      </c>
      <c r="I46" s="481">
        <f>L46</f>
        <v>10362</v>
      </c>
      <c r="J46" s="506">
        <f t="shared" si="3"/>
        <v>0</v>
      </c>
      <c r="K46" s="1248"/>
      <c r="L46" s="489">
        <f>'[5]Városüzemeltetés'!$T$182</f>
        <v>10362</v>
      </c>
      <c r="M46" s="532"/>
      <c r="N46" s="516"/>
      <c r="O46" s="516"/>
      <c r="P46" s="516"/>
      <c r="Q46" s="517"/>
      <c r="R46" s="517"/>
    </row>
    <row r="47" spans="2:18" s="183" customFormat="1" ht="18" customHeight="1">
      <c r="B47" s="490"/>
      <c r="C47" s="1242" t="s">
        <v>778</v>
      </c>
      <c r="D47" s="509"/>
      <c r="E47" s="538"/>
      <c r="F47" s="505">
        <f t="shared" si="4"/>
        <v>99506</v>
      </c>
      <c r="G47" s="1351">
        <f>4782+68343+27000</f>
        <v>100125</v>
      </c>
      <c r="H47" s="480">
        <f t="shared" si="2"/>
        <v>199631</v>
      </c>
      <c r="I47" s="481">
        <f>L47</f>
        <v>199631</v>
      </c>
      <c r="J47" s="506"/>
      <c r="K47" s="1248"/>
      <c r="L47" s="489">
        <f>'[5]Városüzemeltetés'!$T$201</f>
        <v>199631</v>
      </c>
      <c r="M47" s="532" t="s">
        <v>222</v>
      </c>
      <c r="N47" s="516"/>
      <c r="O47" s="516"/>
      <c r="P47" s="516"/>
      <c r="Q47" s="517"/>
      <c r="R47" s="517"/>
    </row>
    <row r="48" spans="2:18" s="183" customFormat="1" ht="18" customHeight="1">
      <c r="B48" s="490"/>
      <c r="C48" s="1243" t="s">
        <v>209</v>
      </c>
      <c r="D48" s="981"/>
      <c r="E48" s="982"/>
      <c r="F48" s="505">
        <f t="shared" si="4"/>
        <v>37360</v>
      </c>
      <c r="G48" s="1351">
        <f>30990+20000+19000</f>
        <v>69990</v>
      </c>
      <c r="H48" s="480">
        <f t="shared" si="2"/>
        <v>107350</v>
      </c>
      <c r="I48" s="481"/>
      <c r="J48" s="506">
        <f t="shared" si="3"/>
        <v>107350</v>
      </c>
      <c r="K48" s="1248"/>
      <c r="L48" s="489">
        <f>'[5]Városüzemeltetés'!$T$202</f>
        <v>107350</v>
      </c>
      <c r="M48" s="532"/>
      <c r="N48" s="520"/>
      <c r="O48" s="516"/>
      <c r="P48" s="520"/>
      <c r="Q48" s="517"/>
      <c r="R48" s="517"/>
    </row>
    <row r="49" spans="2:18" s="183" customFormat="1" ht="18" customHeight="1">
      <c r="B49" s="1204"/>
      <c r="C49" s="1452" t="s">
        <v>642</v>
      </c>
      <c r="D49" s="981"/>
      <c r="E49" s="1205"/>
      <c r="F49" s="505">
        <f t="shared" si="4"/>
        <v>0</v>
      </c>
      <c r="G49" s="1351">
        <v>287427</v>
      </c>
      <c r="H49" s="480">
        <f t="shared" si="2"/>
        <v>287427</v>
      </c>
      <c r="I49" s="1246"/>
      <c r="J49" s="506">
        <f>L49</f>
        <v>287427</v>
      </c>
      <c r="K49" s="1248"/>
      <c r="L49" s="489">
        <f>'[5]Városüzemeltetés'!$T$207</f>
        <v>287427</v>
      </c>
      <c r="M49" s="532"/>
      <c r="N49" s="520"/>
      <c r="O49" s="516"/>
      <c r="P49" s="520"/>
      <c r="Q49" s="517"/>
      <c r="R49" s="517"/>
    </row>
    <row r="50" spans="2:18" s="183" customFormat="1" ht="18" customHeight="1" thickBot="1">
      <c r="B50" s="977"/>
      <c r="C50" s="1245" t="s">
        <v>500</v>
      </c>
      <c r="D50" s="579"/>
      <c r="E50" s="580"/>
      <c r="F50" s="1345">
        <f t="shared" si="4"/>
        <v>8000</v>
      </c>
      <c r="G50" s="1356"/>
      <c r="H50" s="978">
        <f t="shared" si="2"/>
        <v>8000</v>
      </c>
      <c r="I50" s="979"/>
      <c r="J50" s="980">
        <f t="shared" si="3"/>
        <v>8000</v>
      </c>
      <c r="K50" s="1249"/>
      <c r="L50" s="1037">
        <f>'[5]Városüzemeltetés'!$T$209</f>
        <v>8000</v>
      </c>
      <c r="M50" s="532"/>
      <c r="N50" s="520"/>
      <c r="O50" s="516"/>
      <c r="P50" s="520"/>
      <c r="Q50" s="517"/>
      <c r="R50" s="517"/>
    </row>
    <row r="51" spans="2:18" s="487" customFormat="1" ht="18" customHeight="1">
      <c r="B51" s="559">
        <f>B32+1</f>
        <v>22</v>
      </c>
      <c r="C51" s="560" t="s">
        <v>63</v>
      </c>
      <c r="D51" s="561"/>
      <c r="E51" s="562">
        <f>23970-15950</f>
        <v>8020</v>
      </c>
      <c r="F51" s="563">
        <f t="shared" si="4"/>
        <v>0</v>
      </c>
      <c r="G51" s="1354">
        <v>1242</v>
      </c>
      <c r="H51" s="495">
        <f t="shared" si="2"/>
        <v>9262</v>
      </c>
      <c r="I51" s="564"/>
      <c r="J51" s="565">
        <f t="shared" si="3"/>
        <v>9262</v>
      </c>
      <c r="K51" s="566"/>
      <c r="L51" s="483">
        <f>'hivatal5 '!H34</f>
        <v>9262</v>
      </c>
      <c r="M51" s="532"/>
      <c r="N51" s="513"/>
      <c r="O51" s="513"/>
      <c r="P51" s="513"/>
      <c r="Q51" s="515"/>
      <c r="R51" s="515"/>
    </row>
    <row r="52" spans="2:13" s="1769" customFormat="1" ht="18" customHeight="1">
      <c r="B52" s="1766">
        <f>B51+1</f>
        <v>23</v>
      </c>
      <c r="C52" s="1767" t="s">
        <v>538</v>
      </c>
      <c r="D52" s="1757"/>
      <c r="E52" s="1758"/>
      <c r="F52" s="1759">
        <f t="shared" si="4"/>
        <v>10500</v>
      </c>
      <c r="G52" s="1760">
        <f>1201+3000</f>
        <v>4201</v>
      </c>
      <c r="H52" s="1761">
        <f aca="true" t="shared" si="5" ref="H52:H58">L52</f>
        <v>14701</v>
      </c>
      <c r="I52" s="1762">
        <f>L52</f>
        <v>14701</v>
      </c>
      <c r="J52" s="1763"/>
      <c r="K52" s="1764"/>
      <c r="L52" s="1765">
        <f>'hivatal5 '!Q34</f>
        <v>14701</v>
      </c>
      <c r="M52" s="1768"/>
    </row>
    <row r="53" spans="2:13" s="1769" customFormat="1" ht="18" customHeight="1">
      <c r="B53" s="1766">
        <f aca="true" t="shared" si="6" ref="B53:B62">B52+1</f>
        <v>24</v>
      </c>
      <c r="C53" s="1767" t="s">
        <v>446</v>
      </c>
      <c r="D53" s="1757"/>
      <c r="E53" s="1758">
        <v>14121</v>
      </c>
      <c r="F53" s="1759">
        <f t="shared" si="4"/>
        <v>232981</v>
      </c>
      <c r="G53" s="1760">
        <f>6716+52560+20075+8000+20000+67988</f>
        <v>175339</v>
      </c>
      <c r="H53" s="1761">
        <f t="shared" si="5"/>
        <v>422441</v>
      </c>
      <c r="I53" s="1762"/>
      <c r="J53" s="1763">
        <f aca="true" t="shared" si="7" ref="J53:J58">L53</f>
        <v>422441</v>
      </c>
      <c r="K53" s="1764"/>
      <c r="L53" s="1765">
        <f>'hivatal5 '!K34</f>
        <v>422441</v>
      </c>
      <c r="M53" s="1768"/>
    </row>
    <row r="54" spans="2:13" s="1769" customFormat="1" ht="18" customHeight="1">
      <c r="B54" s="1766">
        <f t="shared" si="6"/>
        <v>25</v>
      </c>
      <c r="C54" s="1767" t="s">
        <v>524</v>
      </c>
      <c r="D54" s="1757"/>
      <c r="E54" s="1758">
        <v>26613</v>
      </c>
      <c r="F54" s="1759">
        <f t="shared" si="4"/>
        <v>29916</v>
      </c>
      <c r="G54" s="1760">
        <f>61639+2000+48160+13303+7128</f>
        <v>132230</v>
      </c>
      <c r="H54" s="1761">
        <f t="shared" si="5"/>
        <v>188759</v>
      </c>
      <c r="I54" s="1762"/>
      <c r="J54" s="1763">
        <f t="shared" si="7"/>
        <v>188759</v>
      </c>
      <c r="K54" s="1764"/>
      <c r="L54" s="1765">
        <f>hivatal6!E34</f>
        <v>188759</v>
      </c>
      <c r="M54" s="1768"/>
    </row>
    <row r="55" spans="2:13" s="1769" customFormat="1" ht="18" customHeight="1">
      <c r="B55" s="1766">
        <f t="shared" si="6"/>
        <v>26</v>
      </c>
      <c r="C55" s="1767" t="s">
        <v>659</v>
      </c>
      <c r="D55" s="1757"/>
      <c r="E55" s="1758">
        <v>200000</v>
      </c>
      <c r="F55" s="1759">
        <f t="shared" si="4"/>
        <v>5251</v>
      </c>
      <c r="G55" s="1760">
        <f>349484+20000</f>
        <v>369484</v>
      </c>
      <c r="H55" s="1761">
        <f t="shared" si="5"/>
        <v>574735</v>
      </c>
      <c r="I55" s="1762"/>
      <c r="J55" s="1763">
        <f t="shared" si="7"/>
        <v>574735</v>
      </c>
      <c r="K55" s="1764"/>
      <c r="L55" s="1765">
        <f>hivatal6!H34</f>
        <v>574735</v>
      </c>
      <c r="M55" s="1768"/>
    </row>
    <row r="56" spans="2:13" s="1769" customFormat="1" ht="18" customHeight="1">
      <c r="B56" s="1766">
        <f t="shared" si="6"/>
        <v>27</v>
      </c>
      <c r="C56" s="1767" t="s">
        <v>660</v>
      </c>
      <c r="D56" s="1757"/>
      <c r="E56" s="1758"/>
      <c r="F56" s="1759">
        <f t="shared" si="4"/>
        <v>0</v>
      </c>
      <c r="G56" s="1760">
        <v>3211</v>
      </c>
      <c r="H56" s="1761">
        <f t="shared" si="5"/>
        <v>3211</v>
      </c>
      <c r="I56" s="1762"/>
      <c r="J56" s="1763">
        <f t="shared" si="7"/>
        <v>3211</v>
      </c>
      <c r="K56" s="1764"/>
      <c r="L56" s="1765">
        <f>hivatal6!K34</f>
        <v>3211</v>
      </c>
      <c r="M56" s="1768"/>
    </row>
    <row r="57" spans="2:13" s="1769" customFormat="1" ht="18" customHeight="1">
      <c r="B57" s="1766">
        <f t="shared" si="6"/>
        <v>28</v>
      </c>
      <c r="C57" s="1767" t="s">
        <v>661</v>
      </c>
      <c r="D57" s="1757"/>
      <c r="E57" s="1758"/>
      <c r="F57" s="1759">
        <f t="shared" si="4"/>
        <v>410</v>
      </c>
      <c r="G57" s="1760">
        <v>52017</v>
      </c>
      <c r="H57" s="1761">
        <f t="shared" si="5"/>
        <v>52427</v>
      </c>
      <c r="I57" s="1762"/>
      <c r="J57" s="1763">
        <f t="shared" si="7"/>
        <v>52427</v>
      </c>
      <c r="K57" s="1764"/>
      <c r="L57" s="1765">
        <f>hivatal6!N34</f>
        <v>52427</v>
      </c>
      <c r="M57" s="1768"/>
    </row>
    <row r="58" spans="2:13" s="1769" customFormat="1" ht="18" customHeight="1">
      <c r="B58" s="1766">
        <f t="shared" si="6"/>
        <v>29</v>
      </c>
      <c r="C58" s="1767" t="s">
        <v>662</v>
      </c>
      <c r="D58" s="1757"/>
      <c r="E58" s="1758"/>
      <c r="F58" s="1759">
        <f t="shared" si="4"/>
        <v>3000</v>
      </c>
      <c r="G58" s="1760">
        <f>331844+67611</f>
        <v>399455</v>
      </c>
      <c r="H58" s="1761">
        <f t="shared" si="5"/>
        <v>402455</v>
      </c>
      <c r="I58" s="1762"/>
      <c r="J58" s="1763">
        <f t="shared" si="7"/>
        <v>402455</v>
      </c>
      <c r="K58" s="1764"/>
      <c r="L58" s="1765">
        <f>hivatal6!Q34</f>
        <v>402455</v>
      </c>
      <c r="M58" s="1768"/>
    </row>
    <row r="59" spans="2:18" s="487" customFormat="1" ht="18" customHeight="1">
      <c r="B59" s="1770">
        <f t="shared" si="6"/>
        <v>30</v>
      </c>
      <c r="C59" s="1244" t="s">
        <v>642</v>
      </c>
      <c r="D59" s="507"/>
      <c r="E59" s="536">
        <v>174667</v>
      </c>
      <c r="F59" s="505">
        <f t="shared" si="4"/>
        <v>219513</v>
      </c>
      <c r="G59" s="1351">
        <f>20320+18000</f>
        <v>38320</v>
      </c>
      <c r="H59" s="480">
        <f t="shared" si="2"/>
        <v>432500</v>
      </c>
      <c r="I59" s="481">
        <f>'[5]EÜ N. Kft.'!$T$15+'[5]EÜ N. Kft.'!$T$17+'[5]EÜ N. Kft.'!$T$18</f>
        <v>25480</v>
      </c>
      <c r="J59" s="506">
        <f t="shared" si="3"/>
        <v>407020</v>
      </c>
      <c r="K59" s="485"/>
      <c r="L59" s="489">
        <f>hivatal8!E34</f>
        <v>432500</v>
      </c>
      <c r="M59" s="532" t="s">
        <v>223</v>
      </c>
      <c r="N59" s="513"/>
      <c r="O59" s="513"/>
      <c r="P59" s="513"/>
      <c r="Q59" s="515"/>
      <c r="R59" s="515"/>
    </row>
    <row r="60" spans="2:18" s="487" customFormat="1" ht="27.75" customHeight="1">
      <c r="B60" s="1770">
        <f t="shared" si="6"/>
        <v>31</v>
      </c>
      <c r="C60" s="1393" t="s">
        <v>641</v>
      </c>
      <c r="D60" s="507">
        <v>200000</v>
      </c>
      <c r="E60" s="536"/>
      <c r="F60" s="505">
        <f t="shared" si="4"/>
        <v>105000</v>
      </c>
      <c r="G60" s="1351">
        <v>5000</v>
      </c>
      <c r="H60" s="480">
        <f t="shared" si="2"/>
        <v>310000</v>
      </c>
      <c r="I60" s="481">
        <f>D60</f>
        <v>200000</v>
      </c>
      <c r="J60" s="506">
        <f t="shared" si="3"/>
        <v>110000</v>
      </c>
      <c r="K60" s="485"/>
      <c r="L60" s="489">
        <f>hivatal8!H34</f>
        <v>310000</v>
      </c>
      <c r="M60" s="532"/>
      <c r="N60" s="513"/>
      <c r="O60" s="513"/>
      <c r="P60" s="513"/>
      <c r="Q60" s="515"/>
      <c r="R60" s="515"/>
    </row>
    <row r="61" spans="2:18" s="487" customFormat="1" ht="18" customHeight="1">
      <c r="B61" s="1770">
        <f t="shared" si="6"/>
        <v>32</v>
      </c>
      <c r="C61" s="479" t="s">
        <v>65</v>
      </c>
      <c r="D61" s="507"/>
      <c r="E61" s="536"/>
      <c r="F61" s="505">
        <f t="shared" si="4"/>
        <v>45000</v>
      </c>
      <c r="G61" s="1351">
        <v>8100</v>
      </c>
      <c r="H61" s="480">
        <f t="shared" si="2"/>
        <v>53100</v>
      </c>
      <c r="I61" s="481"/>
      <c r="J61" s="506">
        <f t="shared" si="3"/>
        <v>53100</v>
      </c>
      <c r="K61" s="485"/>
      <c r="L61" s="489">
        <f>hivatal8!K34</f>
        <v>53100</v>
      </c>
      <c r="M61" s="532"/>
      <c r="N61" s="513"/>
      <c r="O61" s="513"/>
      <c r="P61" s="513"/>
      <c r="Q61" s="515"/>
      <c r="R61" s="515"/>
    </row>
    <row r="62" spans="2:18" s="487" customFormat="1" ht="18" customHeight="1" thickBot="1">
      <c r="B62" s="1770">
        <f t="shared" si="6"/>
        <v>33</v>
      </c>
      <c r="C62" s="479" t="s">
        <v>55</v>
      </c>
      <c r="D62" s="507">
        <f>4716+143+2000+1</f>
        <v>6860</v>
      </c>
      <c r="E62" s="536">
        <f>51325+210+16+113+200+48+8675+103</f>
        <v>60690</v>
      </c>
      <c r="F62" s="505">
        <f t="shared" si="4"/>
        <v>569566</v>
      </c>
      <c r="G62" s="1351">
        <f>55000+1255387+350513-10000-3900-179000-250053-150000-48160-63303-4782-9807-250000-54964-90120-14884-8100-5000-20659-20075-8000-20000-75116-1242-181-4965-25000-5000-6-6337</f>
        <v>332246</v>
      </c>
      <c r="H62" s="480">
        <f t="shared" si="2"/>
        <v>969362</v>
      </c>
      <c r="I62" s="481">
        <f>tartalék!F9+tartalék!F11+tartalék!F14</f>
        <v>241035</v>
      </c>
      <c r="J62" s="506">
        <f t="shared" si="3"/>
        <v>728327</v>
      </c>
      <c r="K62" s="486"/>
      <c r="L62" s="489">
        <f>tartalék!F36</f>
        <v>969362</v>
      </c>
      <c r="M62" s="532"/>
      <c r="N62" s="513"/>
      <c r="O62" s="513"/>
      <c r="P62" s="513"/>
      <c r="Q62" s="515"/>
      <c r="R62" s="515"/>
    </row>
    <row r="63" spans="2:18" s="494" customFormat="1" ht="18" customHeight="1" thickBot="1">
      <c r="B63" s="491" t="s">
        <v>95</v>
      </c>
      <c r="C63" s="492" t="s">
        <v>207</v>
      </c>
      <c r="D63" s="1232">
        <f aca="true" t="shared" si="8" ref="D63:K63">SUM(D12:D62)</f>
        <v>206860</v>
      </c>
      <c r="E63" s="1233">
        <f t="shared" si="8"/>
        <v>2714363</v>
      </c>
      <c r="F63" s="1346">
        <f t="shared" si="8"/>
        <v>4639650</v>
      </c>
      <c r="G63" s="1359">
        <f t="shared" si="8"/>
        <v>5560503</v>
      </c>
      <c r="H63" s="493">
        <f t="shared" si="8"/>
        <v>13121376</v>
      </c>
      <c r="I63" s="493">
        <f t="shared" si="8"/>
        <v>4971018</v>
      </c>
      <c r="J63" s="493">
        <f t="shared" si="8"/>
        <v>8150358</v>
      </c>
      <c r="K63" s="493">
        <f t="shared" si="8"/>
        <v>0</v>
      </c>
      <c r="L63" s="493">
        <f>SUM(L12:L62)</f>
        <v>13121376</v>
      </c>
      <c r="M63" s="532"/>
      <c r="N63" s="521"/>
      <c r="O63" s="521"/>
      <c r="P63" s="521"/>
      <c r="Q63" s="522"/>
      <c r="R63" s="522"/>
    </row>
    <row r="64" spans="2:18" s="498" customFormat="1" ht="18" customHeight="1">
      <c r="B64" s="464">
        <f>B62+1</f>
        <v>34</v>
      </c>
      <c r="C64" s="1228" t="s">
        <v>652</v>
      </c>
      <c r="D64" s="1237">
        <f>'bevétfő '!I10+'bevétfő '!I11+'bevétfő '!I12-D60+3899+1752+1716+1112</f>
        <v>1912613</v>
      </c>
      <c r="E64" s="1238">
        <f>183417-32914-3788-16691-1922+12000+730-10395-1290</f>
        <v>129147</v>
      </c>
      <c r="F64" s="1347">
        <f>H64-D64-E64-G64</f>
        <v>2450821</v>
      </c>
      <c r="G64" s="1354">
        <f>3534+28825+20535+15359+5000</f>
        <v>73253</v>
      </c>
      <c r="H64" s="1230">
        <f>L64</f>
        <v>4565834</v>
      </c>
      <c r="I64" s="499">
        <f>H64-(200*593)+19138</f>
        <v>4466372</v>
      </c>
      <c r="J64" s="506">
        <f t="shared" si="3"/>
        <v>99462</v>
      </c>
      <c r="K64" s="496"/>
      <c r="L64" s="497">
        <f>'önállóan gazd.'!K34</f>
        <v>4565834</v>
      </c>
      <c r="M64" s="533"/>
      <c r="N64" s="523" t="s">
        <v>431</v>
      </c>
      <c r="O64" s="523"/>
      <c r="P64" s="521"/>
      <c r="Q64" s="522"/>
      <c r="R64" s="522"/>
    </row>
    <row r="65" spans="2:18" s="498" customFormat="1" ht="18" customHeight="1" thickBot="1">
      <c r="B65" s="458">
        <f>B64+1</f>
        <v>35</v>
      </c>
      <c r="C65" s="1229" t="s">
        <v>351</v>
      </c>
      <c r="D65" s="1506">
        <f>647+217+194</f>
        <v>1058</v>
      </c>
      <c r="E65" s="1239">
        <f>9940+44+2652+27+10134-2652-71+1123</f>
        <v>21197</v>
      </c>
      <c r="F65" s="1348">
        <f>H65-D65-E65-G65</f>
        <v>1413128</v>
      </c>
      <c r="G65" s="1240">
        <f>3469+29887+112425+46</f>
        <v>145827</v>
      </c>
      <c r="H65" s="1231">
        <f>L65</f>
        <v>1581210</v>
      </c>
      <c r="I65" s="500">
        <f>L65-K65-J65</f>
        <v>1521024</v>
      </c>
      <c r="J65" s="506">
        <f>'[5]Polgármesteri Hivatal'!$K$41+'[5]Polgármesteri Hivatal'!$L$41</f>
        <v>43477</v>
      </c>
      <c r="K65" s="510">
        <f>'[5]Polgármesteri Hivatal'!$T$31+'[5]Polgármesteri Hivatal'!$T$32+'[5]Polgármesteri Hivatal'!$T$34+'[5]Polgármesteri Hivatal'!$T$35+'[5]Polgármesteri Hivatal'!$T$36</f>
        <v>16709</v>
      </c>
      <c r="L65" s="497">
        <f>'önállóan gazd.'!N60</f>
        <v>1581210</v>
      </c>
      <c r="M65" s="533"/>
      <c r="N65" s="512"/>
      <c r="O65" s="523" t="s">
        <v>219</v>
      </c>
      <c r="P65" s="522"/>
      <c r="Q65" s="523"/>
      <c r="R65" s="522"/>
    </row>
    <row r="66" spans="2:18" s="504" customFormat="1" ht="18" customHeight="1" thickBot="1">
      <c r="B66" s="501" t="s">
        <v>102</v>
      </c>
      <c r="C66" s="502" t="s">
        <v>206</v>
      </c>
      <c r="D66" s="1234">
        <f aca="true" t="shared" si="9" ref="D66:L66">SUM(D64:D65)</f>
        <v>1913671</v>
      </c>
      <c r="E66" s="1235">
        <f t="shared" si="9"/>
        <v>150344</v>
      </c>
      <c r="F66" s="1236">
        <f t="shared" si="9"/>
        <v>3863949</v>
      </c>
      <c r="G66" s="1357">
        <f>SUM(G64:G65)</f>
        <v>219080</v>
      </c>
      <c r="H66" s="503">
        <f t="shared" si="9"/>
        <v>6147044</v>
      </c>
      <c r="I66" s="503">
        <f t="shared" si="9"/>
        <v>5987396</v>
      </c>
      <c r="J66" s="503">
        <f t="shared" si="9"/>
        <v>142939</v>
      </c>
      <c r="K66" s="503">
        <f t="shared" si="9"/>
        <v>16709</v>
      </c>
      <c r="L66" s="493">
        <f t="shared" si="9"/>
        <v>6147044</v>
      </c>
      <c r="M66" s="532"/>
      <c r="N66" s="513"/>
      <c r="P66" s="513"/>
      <c r="Q66" s="513"/>
      <c r="R66" s="513"/>
    </row>
    <row r="67" spans="2:18" s="468" customFormat="1" ht="21.75" customHeight="1" thickBot="1">
      <c r="B67" s="465" t="s">
        <v>105</v>
      </c>
      <c r="C67" s="466" t="s">
        <v>216</v>
      </c>
      <c r="D67" s="539">
        <f aca="true" t="shared" si="10" ref="D67:L67">D63+D66</f>
        <v>2120531</v>
      </c>
      <c r="E67" s="1173">
        <f t="shared" si="10"/>
        <v>2864707</v>
      </c>
      <c r="F67" s="1349">
        <f t="shared" si="10"/>
        <v>8503599</v>
      </c>
      <c r="G67" s="1358">
        <f>G63+G66</f>
        <v>5779583</v>
      </c>
      <c r="H67" s="467">
        <f t="shared" si="10"/>
        <v>19268420</v>
      </c>
      <c r="I67" s="467">
        <f t="shared" si="10"/>
        <v>10958414</v>
      </c>
      <c r="J67" s="467">
        <f t="shared" si="10"/>
        <v>8293297</v>
      </c>
      <c r="K67" s="467">
        <f t="shared" si="10"/>
        <v>16709</v>
      </c>
      <c r="L67" s="983">
        <f t="shared" si="10"/>
        <v>19268420</v>
      </c>
      <c r="M67" s="532"/>
      <c r="N67" s="524"/>
      <c r="O67" s="513"/>
      <c r="P67" s="525"/>
      <c r="Q67" s="513"/>
      <c r="R67" s="513"/>
    </row>
    <row r="68" spans="4:12" ht="12.75">
      <c r="D68" s="459"/>
      <c r="E68" s="459"/>
      <c r="F68" s="463"/>
      <c r="G68" s="463"/>
      <c r="H68" s="463">
        <f>SUM(D67:G67)</f>
        <v>19268420</v>
      </c>
      <c r="I68" s="460"/>
      <c r="J68" s="460"/>
      <c r="K68" s="460"/>
      <c r="L68" s="283">
        <f>SUM(I67:K67)</f>
        <v>19268420</v>
      </c>
    </row>
    <row r="69" spans="4:14" ht="12.75">
      <c r="D69" s="463">
        <f>'bevétfő '!I8+'bevétfő '!I62</f>
        <v>2120531</v>
      </c>
      <c r="E69" s="463">
        <f>'bevétfő '!I16+'bevétfő '!I59+'bevétfő '!I63+'bevétfő '!I76</f>
        <v>2864707</v>
      </c>
      <c r="F69" s="459"/>
      <c r="G69" s="463">
        <f>'bevétfő '!I91</f>
        <v>5779583</v>
      </c>
      <c r="H69" s="459"/>
      <c r="I69" s="460"/>
      <c r="J69" s="461"/>
      <c r="K69" s="461"/>
      <c r="L69" s="284">
        <f>'kiadfő '!H81</f>
        <v>19268420</v>
      </c>
      <c r="N69" s="527"/>
    </row>
    <row r="70" spans="4:12" ht="12.75">
      <c r="D70" s="459"/>
      <c r="E70" s="459"/>
      <c r="F70" s="459"/>
      <c r="G70" s="459"/>
      <c r="H70" s="463">
        <f>'bevétfő '!I92</f>
        <v>19268420</v>
      </c>
      <c r="I70" s="460"/>
      <c r="J70" s="461"/>
      <c r="K70" s="461"/>
      <c r="L70" s="284">
        <f>L69-L68</f>
        <v>0</v>
      </c>
    </row>
    <row r="71" spans="4:11" ht="12.75">
      <c r="D71" s="459"/>
      <c r="E71" s="459"/>
      <c r="F71" s="459"/>
      <c r="G71" s="459"/>
      <c r="H71" s="463">
        <f>H70-H68</f>
        <v>0</v>
      </c>
      <c r="I71" s="460"/>
      <c r="J71" s="461"/>
      <c r="K71" s="461"/>
    </row>
    <row r="72" spans="4:11" ht="12.75">
      <c r="D72" s="459"/>
      <c r="E72" s="459"/>
      <c r="F72" s="459"/>
      <c r="G72" s="459"/>
      <c r="H72" s="459"/>
      <c r="I72" s="460"/>
      <c r="J72" s="461"/>
      <c r="K72" s="461"/>
    </row>
    <row r="73" spans="4:11" ht="12.75">
      <c r="D73" s="460"/>
      <c r="E73" s="459"/>
      <c r="F73" s="459"/>
      <c r="G73" s="459"/>
      <c r="H73" s="581"/>
      <c r="I73" s="460"/>
      <c r="J73" s="461"/>
      <c r="K73" s="461"/>
    </row>
    <row r="74" spans="4:11" ht="12.75">
      <c r="D74" s="459"/>
      <c r="E74" s="459"/>
      <c r="F74" s="459"/>
      <c r="G74" s="459"/>
      <c r="H74" s="459"/>
      <c r="I74" s="462"/>
      <c r="J74" s="461"/>
      <c r="K74" s="461"/>
    </row>
    <row r="75" spans="4:11" ht="12.75">
      <c r="D75" s="459"/>
      <c r="E75" s="459"/>
      <c r="F75" s="459"/>
      <c r="G75" s="459"/>
      <c r="H75" s="459"/>
      <c r="I75" s="462"/>
      <c r="J75" s="461"/>
      <c r="K75" s="461"/>
    </row>
    <row r="76" spans="4:11" ht="12.75">
      <c r="D76" s="459"/>
      <c r="E76" s="459"/>
      <c r="F76" s="459"/>
      <c r="G76" s="459"/>
      <c r="H76" s="459"/>
      <c r="I76" s="462" t="s">
        <v>87</v>
      </c>
      <c r="J76" s="461"/>
      <c r="K76" s="461"/>
    </row>
    <row r="77" spans="4:11" ht="12.75">
      <c r="D77" s="459"/>
      <c r="E77" s="459"/>
      <c r="F77" s="459"/>
      <c r="G77" s="459"/>
      <c r="H77" s="459"/>
      <c r="I77" s="462"/>
      <c r="J77" s="461"/>
      <c r="K77" s="461"/>
    </row>
    <row r="78" spans="4:11" ht="12.75">
      <c r="D78" s="459"/>
      <c r="E78" s="459"/>
      <c r="F78" s="459"/>
      <c r="G78" s="459"/>
      <c r="H78" s="459"/>
      <c r="I78" s="462"/>
      <c r="J78" s="461"/>
      <c r="K78" s="461"/>
    </row>
    <row r="79" spans="4:11" ht="12.75">
      <c r="D79" s="459"/>
      <c r="E79" s="459"/>
      <c r="F79" s="459"/>
      <c r="G79" s="459"/>
      <c r="H79" s="459"/>
      <c r="I79" s="462"/>
      <c r="J79" s="461"/>
      <c r="K79" s="461"/>
    </row>
    <row r="80" spans="4:11" ht="12.75">
      <c r="D80" s="459"/>
      <c r="E80" s="459"/>
      <c r="F80" s="459"/>
      <c r="G80" s="459"/>
      <c r="H80" s="459"/>
      <c r="I80" s="462"/>
      <c r="J80" s="461"/>
      <c r="K80" s="461"/>
    </row>
    <row r="81" spans="4:11" ht="12.75">
      <c r="D81" s="459"/>
      <c r="E81" s="459"/>
      <c r="F81" s="459"/>
      <c r="G81" s="459"/>
      <c r="H81" s="459"/>
      <c r="I81" s="462"/>
      <c r="J81" s="461"/>
      <c r="K81" s="461"/>
    </row>
    <row r="82" spans="4:11" ht="12.75">
      <c r="D82" s="459"/>
      <c r="E82" s="459"/>
      <c r="F82" s="459"/>
      <c r="G82" s="459"/>
      <c r="H82" s="459"/>
      <c r="I82" s="462"/>
      <c r="J82" s="461"/>
      <c r="K82" s="461"/>
    </row>
    <row r="83" spans="4:11" ht="12.75">
      <c r="D83" s="459"/>
      <c r="E83" s="459"/>
      <c r="F83" s="459"/>
      <c r="G83" s="459"/>
      <c r="H83" s="459"/>
      <c r="I83" s="462"/>
      <c r="J83" s="461"/>
      <c r="K83" s="461"/>
    </row>
    <row r="84" spans="4:11" ht="12.75">
      <c r="D84" s="459"/>
      <c r="E84" s="459"/>
      <c r="F84" s="459"/>
      <c r="G84" s="459"/>
      <c r="H84" s="459"/>
      <c r="I84" s="462"/>
      <c r="J84" s="461"/>
      <c r="K84" s="461"/>
    </row>
    <row r="85" spans="4:11" ht="12.75">
      <c r="D85" s="459"/>
      <c r="E85" s="459"/>
      <c r="F85" s="459"/>
      <c r="G85" s="459"/>
      <c r="H85" s="459"/>
      <c r="I85" s="462"/>
      <c r="J85" s="461"/>
      <c r="K85" s="461"/>
    </row>
    <row r="86" spans="4:11" ht="12.75">
      <c r="D86" s="459"/>
      <c r="E86" s="459"/>
      <c r="F86" s="459"/>
      <c r="G86" s="459"/>
      <c r="H86" s="459"/>
      <c r="I86" s="462"/>
      <c r="J86" s="461"/>
      <c r="K86" s="461"/>
    </row>
    <row r="87" spans="4:11" ht="12.75">
      <c r="D87" s="459"/>
      <c r="E87" s="459"/>
      <c r="F87" s="459"/>
      <c r="G87" s="459"/>
      <c r="H87" s="459"/>
      <c r="I87" s="462"/>
      <c r="J87" s="461"/>
      <c r="K87" s="461"/>
    </row>
    <row r="88" spans="4:11" ht="12.75">
      <c r="D88" s="459"/>
      <c r="E88" s="459"/>
      <c r="F88" s="459"/>
      <c r="G88" s="459"/>
      <c r="H88" s="459"/>
      <c r="I88" s="462"/>
      <c r="J88" s="461"/>
      <c r="K88" s="461"/>
    </row>
    <row r="89" spans="4:11" ht="12.75">
      <c r="D89" s="459"/>
      <c r="E89" s="459"/>
      <c r="F89" s="459"/>
      <c r="G89" s="459"/>
      <c r="H89" s="459"/>
      <c r="I89" s="462"/>
      <c r="J89" s="461"/>
      <c r="K89" s="461"/>
    </row>
    <row r="90" spans="4:11" ht="12.75">
      <c r="D90" s="459"/>
      <c r="E90" s="459"/>
      <c r="F90" s="459"/>
      <c r="G90" s="459"/>
      <c r="H90" s="459"/>
      <c r="I90" s="462"/>
      <c r="J90" s="461"/>
      <c r="K90" s="461"/>
    </row>
    <row r="91" spans="4:11" ht="12.75">
      <c r="D91" s="459"/>
      <c r="E91" s="459"/>
      <c r="F91" s="459"/>
      <c r="G91" s="459"/>
      <c r="H91" s="459"/>
      <c r="I91" s="462"/>
      <c r="J91" s="461"/>
      <c r="K91" s="461"/>
    </row>
    <row r="92" spans="4:11" ht="12.75">
      <c r="D92" s="459"/>
      <c r="E92" s="459"/>
      <c r="F92" s="459"/>
      <c r="G92" s="459"/>
      <c r="H92" s="459"/>
      <c r="I92" s="462"/>
      <c r="J92" s="461"/>
      <c r="K92" s="461"/>
    </row>
    <row r="93" spans="4:11" ht="12.75">
      <c r="D93" s="459"/>
      <c r="E93" s="459"/>
      <c r="F93" s="459"/>
      <c r="G93" s="459"/>
      <c r="H93" s="459"/>
      <c r="I93" s="462"/>
      <c r="J93" s="461"/>
      <c r="K93" s="461"/>
    </row>
    <row r="94" spans="4:11" ht="12.75">
      <c r="D94" s="459"/>
      <c r="E94" s="459"/>
      <c r="F94" s="459"/>
      <c r="G94" s="459"/>
      <c r="H94" s="459"/>
      <c r="I94" s="462"/>
      <c r="J94" s="461"/>
      <c r="K94" s="461"/>
    </row>
    <row r="95" spans="4:11" ht="12.75">
      <c r="D95" s="459"/>
      <c r="E95" s="459"/>
      <c r="F95" s="459"/>
      <c r="G95" s="459"/>
      <c r="H95" s="459"/>
      <c r="I95" s="462"/>
      <c r="J95" s="461"/>
      <c r="K95" s="461"/>
    </row>
    <row r="96" spans="4:11" ht="12.75">
      <c r="D96" s="459"/>
      <c r="E96" s="459"/>
      <c r="F96" s="459"/>
      <c r="G96" s="459"/>
      <c r="H96" s="459"/>
      <c r="I96" s="462"/>
      <c r="J96" s="461"/>
      <c r="K96" s="461"/>
    </row>
    <row r="97" spans="4:11" ht="12.75">
      <c r="D97" s="459"/>
      <c r="E97" s="459"/>
      <c r="F97" s="459"/>
      <c r="G97" s="459"/>
      <c r="H97" s="459"/>
      <c r="I97" s="462"/>
      <c r="J97" s="461"/>
      <c r="K97" s="461"/>
    </row>
    <row r="98" spans="4:11" ht="12.75">
      <c r="D98" s="459"/>
      <c r="E98" s="459"/>
      <c r="F98" s="459"/>
      <c r="G98" s="459"/>
      <c r="H98" s="459"/>
      <c r="I98" s="462"/>
      <c r="J98" s="461"/>
      <c r="K98" s="461"/>
    </row>
    <row r="99" spans="4:11" ht="12.75">
      <c r="D99" s="459"/>
      <c r="E99" s="459"/>
      <c r="F99" s="459"/>
      <c r="G99" s="459"/>
      <c r="H99" s="459"/>
      <c r="I99" s="462"/>
      <c r="J99" s="461"/>
      <c r="K99" s="461"/>
    </row>
    <row r="100" spans="4:11" ht="12.75">
      <c r="D100" s="459"/>
      <c r="E100" s="459"/>
      <c r="F100" s="459"/>
      <c r="G100" s="459"/>
      <c r="H100" s="459"/>
      <c r="I100" s="462"/>
      <c r="J100" s="461"/>
      <c r="K100" s="461"/>
    </row>
    <row r="101" spans="4:11" ht="12.75">
      <c r="D101" s="459"/>
      <c r="E101" s="459"/>
      <c r="F101" s="459"/>
      <c r="G101" s="459"/>
      <c r="H101" s="459"/>
      <c r="I101" s="462"/>
      <c r="J101" s="461"/>
      <c r="K101" s="461"/>
    </row>
  </sheetData>
  <sheetProtection/>
  <mergeCells count="16">
    <mergeCell ref="B6:L6"/>
    <mergeCell ref="I9:I10"/>
    <mergeCell ref="J9:J10"/>
    <mergeCell ref="K9:K10"/>
    <mergeCell ref="L9:L10"/>
    <mergeCell ref="G9:G10"/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0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5.875" style="88" customWidth="1"/>
    <col min="4" max="4" width="15.50390625" style="88" customWidth="1"/>
    <col min="5" max="9" width="15.875" style="88" customWidth="1"/>
    <col min="10" max="10" width="14.375" style="88" customWidth="1"/>
    <col min="11" max="12" width="15.875" style="88" customWidth="1"/>
    <col min="13" max="13" width="14.375" style="88" customWidth="1"/>
    <col min="14" max="15" width="15.875" style="88" customWidth="1"/>
    <col min="16" max="16" width="13.875" style="88" customWidth="1"/>
    <col min="17" max="17" width="15.875" style="88" customWidth="1"/>
  </cols>
  <sheetData>
    <row r="1" spans="1:17" ht="10.5" customHeight="1">
      <c r="A1" s="303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892" t="s">
        <v>946</v>
      </c>
    </row>
    <row r="2" spans="1:17" ht="12.75" customHeight="1">
      <c r="A2" s="303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892" t="s">
        <v>93</v>
      </c>
    </row>
    <row r="3" spans="1:17" ht="10.5" customHeight="1">
      <c r="A3" s="303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893" t="s">
        <v>123</v>
      </c>
    </row>
    <row r="4" spans="1:17" ht="20.25">
      <c r="A4" s="894" t="s">
        <v>654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</row>
    <row r="5" spans="1:17" ht="18">
      <c r="A5" s="895" t="s">
        <v>561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</row>
    <row r="6" spans="1:17" ht="18.75" thickBo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6" t="s">
        <v>134</v>
      </c>
    </row>
    <row r="7" spans="1:17" ht="18">
      <c r="A7" s="230" t="s">
        <v>124</v>
      </c>
      <c r="B7" s="87" t="s">
        <v>125</v>
      </c>
      <c r="C7" s="1936" t="s">
        <v>341</v>
      </c>
      <c r="D7" s="1937"/>
      <c r="E7" s="1938"/>
      <c r="F7" s="1936" t="s">
        <v>162</v>
      </c>
      <c r="G7" s="1937"/>
      <c r="H7" s="1938"/>
      <c r="I7" s="1936" t="s">
        <v>633</v>
      </c>
      <c r="J7" s="1937"/>
      <c r="K7" s="1938"/>
      <c r="L7" s="1936" t="s">
        <v>634</v>
      </c>
      <c r="M7" s="1937"/>
      <c r="N7" s="1938"/>
      <c r="O7" s="1936" t="s">
        <v>635</v>
      </c>
      <c r="P7" s="1937"/>
      <c r="Q7" s="1938"/>
    </row>
    <row r="8" spans="1:17" s="26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3" customFormat="1" ht="12" thickBot="1">
      <c r="A9" s="420">
        <v>1</v>
      </c>
      <c r="B9" s="80">
        <v>2</v>
      </c>
      <c r="C9" s="897">
        <v>3</v>
      </c>
      <c r="D9" s="898">
        <v>4</v>
      </c>
      <c r="E9" s="899">
        <v>5</v>
      </c>
      <c r="F9" s="897">
        <v>6</v>
      </c>
      <c r="G9" s="898">
        <v>7</v>
      </c>
      <c r="H9" s="899">
        <v>8</v>
      </c>
      <c r="I9" s="897">
        <v>9</v>
      </c>
      <c r="J9" s="898">
        <v>10</v>
      </c>
      <c r="K9" s="899">
        <v>11</v>
      </c>
      <c r="L9" s="897">
        <v>12</v>
      </c>
      <c r="M9" s="898">
        <v>13</v>
      </c>
      <c r="N9" s="899">
        <v>14</v>
      </c>
      <c r="O9" s="897">
        <v>15</v>
      </c>
      <c r="P9" s="898">
        <v>16</v>
      </c>
      <c r="Q9" s="899">
        <v>17</v>
      </c>
    </row>
    <row r="10" spans="1:17" s="26" customFormat="1" ht="18.75" thickBot="1">
      <c r="A10" s="380"/>
      <c r="B10" s="425" t="s">
        <v>129</v>
      </c>
      <c r="C10" s="384"/>
      <c r="D10" s="949"/>
      <c r="E10" s="426"/>
      <c r="F10" s="381"/>
      <c r="G10" s="382"/>
      <c r="H10" s="426"/>
      <c r="I10" s="381"/>
      <c r="J10" s="382"/>
      <c r="K10" s="426"/>
      <c r="L10" s="381"/>
      <c r="M10" s="382"/>
      <c r="N10" s="426"/>
      <c r="O10" s="381"/>
      <c r="P10" s="382"/>
      <c r="Q10" s="426"/>
    </row>
    <row r="11" spans="1:17" s="173" customFormat="1" ht="17.25" customHeight="1" thickBot="1">
      <c r="A11" s="313">
        <v>1</v>
      </c>
      <c r="B11" s="305" t="s">
        <v>113</v>
      </c>
      <c r="C11" s="319">
        <v>959631</v>
      </c>
      <c r="D11" s="316">
        <v>7572</v>
      </c>
      <c r="E11" s="315">
        <f>SUM(C11:D11)</f>
        <v>967203</v>
      </c>
      <c r="F11" s="319">
        <v>373534</v>
      </c>
      <c r="G11" s="316">
        <v>7343</v>
      </c>
      <c r="H11" s="315">
        <f>F11+G11</f>
        <v>380877</v>
      </c>
      <c r="I11" s="314">
        <v>212075</v>
      </c>
      <c r="J11" s="314">
        <v>-17860</v>
      </c>
      <c r="K11" s="315">
        <f>I11+J11</f>
        <v>194215</v>
      </c>
      <c r="L11" s="314">
        <v>238247</v>
      </c>
      <c r="M11" s="314">
        <v>5152</v>
      </c>
      <c r="N11" s="315">
        <f>L11+M11</f>
        <v>243399</v>
      </c>
      <c r="O11" s="316">
        <v>125759</v>
      </c>
      <c r="P11" s="314">
        <v>6065</v>
      </c>
      <c r="Q11" s="315">
        <f aca="true" t="shared" si="0" ref="Q11:Q16">SUM(O11:P11)</f>
        <v>131824</v>
      </c>
    </row>
    <row r="12" spans="1:17" s="174" customFormat="1" ht="17.25" customHeight="1" thickBot="1">
      <c r="A12" s="317">
        <v>2</v>
      </c>
      <c r="B12" s="325" t="s">
        <v>202</v>
      </c>
      <c r="C12" s="319">
        <v>218534</v>
      </c>
      <c r="D12" s="316">
        <v>1324</v>
      </c>
      <c r="E12" s="315">
        <f>SUM(C12:D12)</f>
        <v>219858</v>
      </c>
      <c r="F12" s="319">
        <v>84883</v>
      </c>
      <c r="G12" s="316">
        <v>1259</v>
      </c>
      <c r="H12" s="315">
        <f>SUM(F12:G12)</f>
        <v>86142</v>
      </c>
      <c r="I12" s="314">
        <v>52678</v>
      </c>
      <c r="J12" s="314">
        <v>-2773</v>
      </c>
      <c r="K12" s="315">
        <f>SUM(I12:J12)</f>
        <v>49905</v>
      </c>
      <c r="L12" s="314">
        <v>54974</v>
      </c>
      <c r="M12" s="314">
        <v>903</v>
      </c>
      <c r="N12" s="315">
        <f>SUM(L12:M12)</f>
        <v>55877</v>
      </c>
      <c r="O12" s="314">
        <v>28158</v>
      </c>
      <c r="P12" s="314">
        <v>1450</v>
      </c>
      <c r="Q12" s="315">
        <f t="shared" si="0"/>
        <v>29608</v>
      </c>
    </row>
    <row r="13" spans="1:17" s="200" customFormat="1" ht="17.25" customHeight="1" thickBot="1">
      <c r="A13" s="317">
        <v>3</v>
      </c>
      <c r="B13" s="305" t="s">
        <v>116</v>
      </c>
      <c r="C13" s="319">
        <v>439474</v>
      </c>
      <c r="D13" s="316">
        <v>-8755</v>
      </c>
      <c r="E13" s="315">
        <f>SUM(C13:D13)</f>
        <v>430719</v>
      </c>
      <c r="F13" s="319">
        <v>83793</v>
      </c>
      <c r="G13" s="316">
        <v>1853</v>
      </c>
      <c r="H13" s="315">
        <f>F13+G13</f>
        <v>85646</v>
      </c>
      <c r="I13" s="314">
        <v>42783</v>
      </c>
      <c r="J13" s="314">
        <v>1688</v>
      </c>
      <c r="K13" s="315">
        <f>I13+J13</f>
        <v>44471</v>
      </c>
      <c r="L13" s="314">
        <v>104815</v>
      </c>
      <c r="M13" s="314">
        <v>2567</v>
      </c>
      <c r="N13" s="315">
        <f>L13+M13</f>
        <v>107382</v>
      </c>
      <c r="O13" s="316">
        <v>18838</v>
      </c>
      <c r="P13" s="314">
        <v>2157</v>
      </c>
      <c r="Q13" s="315">
        <f t="shared" si="0"/>
        <v>20995</v>
      </c>
    </row>
    <row r="14" spans="1:17" s="200" customFormat="1" ht="17.25" customHeight="1" thickBot="1">
      <c r="A14" s="317">
        <v>4</v>
      </c>
      <c r="B14" s="305" t="s">
        <v>172</v>
      </c>
      <c r="C14" s="319"/>
      <c r="D14" s="316"/>
      <c r="E14" s="320">
        <f>SUM(C14:D14)</f>
        <v>0</v>
      </c>
      <c r="F14" s="316"/>
      <c r="G14" s="316"/>
      <c r="H14" s="320">
        <f>SUM(F14:G14)</f>
        <v>0</v>
      </c>
      <c r="I14" s="319"/>
      <c r="J14" s="316"/>
      <c r="K14" s="320">
        <f>SUM(I14:J14)</f>
        <v>0</v>
      </c>
      <c r="L14" s="319"/>
      <c r="M14" s="316"/>
      <c r="N14" s="320">
        <f>SUM(L14:M14)</f>
        <v>0</v>
      </c>
      <c r="O14" s="319"/>
      <c r="P14" s="316"/>
      <c r="Q14" s="320">
        <f t="shared" si="0"/>
        <v>0</v>
      </c>
    </row>
    <row r="15" spans="1:17" s="173" customFormat="1" ht="17.25" customHeight="1">
      <c r="A15" s="156" t="s">
        <v>98</v>
      </c>
      <c r="B15" s="145" t="s">
        <v>383</v>
      </c>
      <c r="C15" s="227"/>
      <c r="D15" s="226"/>
      <c r="E15" s="240">
        <f>C15+D15</f>
        <v>0</v>
      </c>
      <c r="F15" s="227"/>
      <c r="G15" s="226"/>
      <c r="H15" s="240">
        <f>F15+G15</f>
        <v>0</v>
      </c>
      <c r="I15" s="227"/>
      <c r="J15" s="226"/>
      <c r="K15" s="240">
        <f>I15+J15</f>
        <v>0</v>
      </c>
      <c r="L15" s="227"/>
      <c r="M15" s="226"/>
      <c r="N15" s="240">
        <f>L15+M15</f>
        <v>0</v>
      </c>
      <c r="O15" s="227"/>
      <c r="P15" s="226"/>
      <c r="Q15" s="240">
        <f t="shared" si="0"/>
        <v>0</v>
      </c>
    </row>
    <row r="16" spans="1:17" s="173" customFormat="1" ht="17.25" customHeight="1">
      <c r="A16" s="153" t="s">
        <v>99</v>
      </c>
      <c r="B16" s="149" t="s">
        <v>626</v>
      </c>
      <c r="C16" s="143"/>
      <c r="D16" s="139"/>
      <c r="E16" s="240">
        <f>C16+D16</f>
        <v>0</v>
      </c>
      <c r="F16" s="143"/>
      <c r="G16" s="139"/>
      <c r="H16" s="240">
        <f>F16+G16</f>
        <v>0</v>
      </c>
      <c r="I16" s="143"/>
      <c r="J16" s="139"/>
      <c r="K16" s="240">
        <f>I16+J16</f>
        <v>0</v>
      </c>
      <c r="L16" s="143"/>
      <c r="M16" s="139"/>
      <c r="N16" s="240">
        <f>L16+M16</f>
        <v>0</v>
      </c>
      <c r="O16" s="143"/>
      <c r="P16" s="139"/>
      <c r="Q16" s="240">
        <f t="shared" si="0"/>
        <v>0</v>
      </c>
    </row>
    <row r="17" spans="1:17" s="173" customFormat="1" ht="17.25" customHeight="1">
      <c r="A17" s="153" t="s">
        <v>100</v>
      </c>
      <c r="B17" s="149" t="s">
        <v>627</v>
      </c>
      <c r="C17" s="906"/>
      <c r="D17" s="139"/>
      <c r="E17" s="360">
        <f aca="true" t="shared" si="1" ref="E17:E22">C17+D17</f>
        <v>0</v>
      </c>
      <c r="F17" s="143"/>
      <c r="G17" s="139"/>
      <c r="H17" s="240">
        <f aca="true" t="shared" si="2" ref="H17:H22">F17+G17</f>
        <v>0</v>
      </c>
      <c r="I17" s="143"/>
      <c r="J17" s="139"/>
      <c r="K17" s="240">
        <f aca="true" t="shared" si="3" ref="K17:K22">I17+J17</f>
        <v>0</v>
      </c>
      <c r="L17" s="143"/>
      <c r="M17" s="139"/>
      <c r="N17" s="240">
        <f aca="true" t="shared" si="4" ref="N17:N22">L17+M17</f>
        <v>0</v>
      </c>
      <c r="O17" s="143"/>
      <c r="P17" s="139"/>
      <c r="Q17" s="240">
        <f aca="true" t="shared" si="5" ref="Q17:Q22">SUM(O17:P17)</f>
        <v>0</v>
      </c>
    </row>
    <row r="18" spans="1:17" s="173" customFormat="1" ht="17.25" customHeight="1">
      <c r="A18" s="153" t="s">
        <v>101</v>
      </c>
      <c r="B18" s="147" t="s">
        <v>384</v>
      </c>
      <c r="C18" s="906"/>
      <c r="D18" s="139"/>
      <c r="E18" s="360">
        <f t="shared" si="1"/>
        <v>0</v>
      </c>
      <c r="F18" s="143"/>
      <c r="G18" s="139"/>
      <c r="H18" s="240">
        <f t="shared" si="2"/>
        <v>0</v>
      </c>
      <c r="I18" s="143"/>
      <c r="J18" s="139"/>
      <c r="K18" s="240">
        <f t="shared" si="3"/>
        <v>0</v>
      </c>
      <c r="L18" s="143"/>
      <c r="M18" s="139"/>
      <c r="N18" s="240">
        <f t="shared" si="4"/>
        <v>0</v>
      </c>
      <c r="O18" s="143"/>
      <c r="P18" s="139"/>
      <c r="Q18" s="240">
        <f t="shared" si="5"/>
        <v>0</v>
      </c>
    </row>
    <row r="19" spans="1:17" s="173" customFormat="1" ht="17.25" customHeight="1">
      <c r="A19" s="148" t="s">
        <v>192</v>
      </c>
      <c r="B19" s="149" t="s">
        <v>628</v>
      </c>
      <c r="C19" s="885"/>
      <c r="D19" s="139"/>
      <c r="E19" s="360">
        <f>C19+D19</f>
        <v>0</v>
      </c>
      <c r="F19" s="141"/>
      <c r="G19" s="139"/>
      <c r="H19" s="240">
        <f>F19+G19</f>
        <v>0</v>
      </c>
      <c r="I19" s="141"/>
      <c r="J19" s="139"/>
      <c r="K19" s="240">
        <f>I19+J19</f>
        <v>0</v>
      </c>
      <c r="L19" s="141"/>
      <c r="M19" s="139"/>
      <c r="N19" s="240">
        <f>L19+M19</f>
        <v>0</v>
      </c>
      <c r="O19" s="141"/>
      <c r="P19" s="139"/>
      <c r="Q19" s="240">
        <f>SUM(O19:P19)</f>
        <v>0</v>
      </c>
    </row>
    <row r="20" spans="1:17" s="173" customFormat="1" ht="17.25" customHeight="1">
      <c r="A20" s="148" t="s">
        <v>339</v>
      </c>
      <c r="B20" s="149" t="s">
        <v>629</v>
      </c>
      <c r="C20" s="885"/>
      <c r="D20" s="139"/>
      <c r="E20" s="360">
        <f t="shared" si="1"/>
        <v>0</v>
      </c>
      <c r="F20" s="885"/>
      <c r="G20" s="139"/>
      <c r="H20" s="360">
        <f t="shared" si="2"/>
        <v>0</v>
      </c>
      <c r="I20" s="885"/>
      <c r="J20" s="139"/>
      <c r="K20" s="360">
        <f t="shared" si="3"/>
        <v>0</v>
      </c>
      <c r="L20" s="885"/>
      <c r="M20" s="139"/>
      <c r="N20" s="360">
        <f t="shared" si="4"/>
        <v>0</v>
      </c>
      <c r="O20" s="885"/>
      <c r="P20" s="139"/>
      <c r="Q20" s="360">
        <f t="shared" si="5"/>
        <v>0</v>
      </c>
    </row>
    <row r="21" spans="1:17" s="173" customFormat="1" ht="17.25" customHeight="1">
      <c r="A21" s="148" t="s">
        <v>340</v>
      </c>
      <c r="B21" s="147" t="s">
        <v>385</v>
      </c>
      <c r="C21" s="885"/>
      <c r="D21" s="139"/>
      <c r="E21" s="360">
        <f t="shared" si="1"/>
        <v>0</v>
      </c>
      <c r="F21" s="885"/>
      <c r="G21" s="139"/>
      <c r="H21" s="360">
        <f t="shared" si="2"/>
        <v>0</v>
      </c>
      <c r="I21" s="885"/>
      <c r="J21" s="139"/>
      <c r="K21" s="360">
        <f t="shared" si="3"/>
        <v>0</v>
      </c>
      <c r="L21" s="885"/>
      <c r="M21" s="139"/>
      <c r="N21" s="360">
        <f t="shared" si="4"/>
        <v>0</v>
      </c>
      <c r="O21" s="885"/>
      <c r="P21" s="139"/>
      <c r="Q21" s="360">
        <f t="shared" si="5"/>
        <v>0</v>
      </c>
    </row>
    <row r="22" spans="1:17" s="173" customFormat="1" ht="15" customHeight="1" thickBot="1">
      <c r="A22" s="16" t="s">
        <v>69</v>
      </c>
      <c r="B22" s="334" t="s">
        <v>386</v>
      </c>
      <c r="C22" s="886"/>
      <c r="D22" s="151"/>
      <c r="E22" s="360">
        <f t="shared" si="1"/>
        <v>0</v>
      </c>
      <c r="F22" s="886"/>
      <c r="G22" s="151"/>
      <c r="H22" s="360">
        <f t="shared" si="2"/>
        <v>0</v>
      </c>
      <c r="I22" s="886"/>
      <c r="J22" s="151"/>
      <c r="K22" s="360">
        <f t="shared" si="3"/>
        <v>0</v>
      </c>
      <c r="L22" s="886"/>
      <c r="M22" s="151"/>
      <c r="N22" s="360">
        <f t="shared" si="4"/>
        <v>0</v>
      </c>
      <c r="O22" s="886"/>
      <c r="P22" s="151"/>
      <c r="Q22" s="360">
        <f t="shared" si="5"/>
        <v>0</v>
      </c>
    </row>
    <row r="23" spans="1:17" s="200" customFormat="1" ht="17.25" customHeight="1" thickBot="1">
      <c r="A23" s="317">
        <v>5</v>
      </c>
      <c r="B23" s="305" t="s">
        <v>171</v>
      </c>
      <c r="C23" s="347">
        <f aca="true" t="shared" si="6" ref="C23:Q23">SUM(C15:C22)</f>
        <v>0</v>
      </c>
      <c r="D23" s="314">
        <f t="shared" si="6"/>
        <v>0</v>
      </c>
      <c r="E23" s="320">
        <f t="shared" si="6"/>
        <v>0</v>
      </c>
      <c r="F23" s="330">
        <f t="shared" si="6"/>
        <v>0</v>
      </c>
      <c r="G23" s="314">
        <f t="shared" si="6"/>
        <v>0</v>
      </c>
      <c r="H23" s="330">
        <f t="shared" si="6"/>
        <v>0</v>
      </c>
      <c r="I23" s="347">
        <f t="shared" si="6"/>
        <v>0</v>
      </c>
      <c r="J23" s="314">
        <f t="shared" si="6"/>
        <v>0</v>
      </c>
      <c r="K23" s="320">
        <f t="shared" si="6"/>
        <v>0</v>
      </c>
      <c r="L23" s="347">
        <f t="shared" si="6"/>
        <v>0</v>
      </c>
      <c r="M23" s="314">
        <f t="shared" si="6"/>
        <v>0</v>
      </c>
      <c r="N23" s="320">
        <f t="shared" si="6"/>
        <v>0</v>
      </c>
      <c r="O23" s="347">
        <f t="shared" si="6"/>
        <v>0</v>
      </c>
      <c r="P23" s="314">
        <f t="shared" si="6"/>
        <v>0</v>
      </c>
      <c r="Q23" s="320">
        <f t="shared" si="6"/>
        <v>0</v>
      </c>
    </row>
    <row r="24" spans="1:17" s="173" customFormat="1" ht="17.25" customHeight="1" thickBot="1">
      <c r="A24" s="313">
        <v>6</v>
      </c>
      <c r="B24" s="305" t="s">
        <v>174</v>
      </c>
      <c r="C24" s="318">
        <v>10748</v>
      </c>
      <c r="D24" s="314">
        <v>941</v>
      </c>
      <c r="E24" s="288">
        <f aca="true" t="shared" si="7" ref="E24:E30">C24+D24</f>
        <v>11689</v>
      </c>
      <c r="F24" s="318">
        <v>32038</v>
      </c>
      <c r="G24" s="314">
        <v>2000</v>
      </c>
      <c r="H24" s="288">
        <f aca="true" t="shared" si="8" ref="H24:H30">F24+G24</f>
        <v>34038</v>
      </c>
      <c r="I24" s="318">
        <v>4147</v>
      </c>
      <c r="J24" s="314"/>
      <c r="K24" s="288">
        <f aca="true" t="shared" si="9" ref="K24:K30">I24+J24</f>
        <v>4147</v>
      </c>
      <c r="L24" s="318">
        <v>3152</v>
      </c>
      <c r="M24" s="314">
        <v>83</v>
      </c>
      <c r="N24" s="288">
        <f aca="true" t="shared" si="10" ref="N24:N30">L24+M24</f>
        <v>3235</v>
      </c>
      <c r="O24" s="347">
        <v>2705</v>
      </c>
      <c r="P24" s="314"/>
      <c r="Q24" s="288">
        <f>SUM(O24:P24)</f>
        <v>2705</v>
      </c>
    </row>
    <row r="25" spans="1:17" s="200" customFormat="1" ht="17.25" customHeight="1" thickBot="1">
      <c r="A25" s="313">
        <v>7</v>
      </c>
      <c r="B25" s="305" t="s">
        <v>435</v>
      </c>
      <c r="C25" s="347"/>
      <c r="D25" s="314"/>
      <c r="E25" s="288">
        <f t="shared" si="7"/>
        <v>0</v>
      </c>
      <c r="F25" s="347"/>
      <c r="G25" s="314"/>
      <c r="H25" s="288">
        <f t="shared" si="8"/>
        <v>0</v>
      </c>
      <c r="I25" s="347"/>
      <c r="J25" s="314"/>
      <c r="K25" s="288">
        <f t="shared" si="9"/>
        <v>0</v>
      </c>
      <c r="L25" s="347"/>
      <c r="M25" s="314"/>
      <c r="N25" s="288">
        <f t="shared" si="10"/>
        <v>0</v>
      </c>
      <c r="O25" s="347"/>
      <c r="P25" s="314"/>
      <c r="Q25" s="288">
        <f>SUM(O25:P25)</f>
        <v>0</v>
      </c>
    </row>
    <row r="26" spans="1:17" s="173" customFormat="1" ht="17.25" customHeight="1">
      <c r="A26" s="156" t="s">
        <v>98</v>
      </c>
      <c r="B26" s="149" t="s">
        <v>632</v>
      </c>
      <c r="C26" s="1074"/>
      <c r="D26" s="226"/>
      <c r="E26" s="360">
        <f t="shared" si="7"/>
        <v>0</v>
      </c>
      <c r="F26" s="1074"/>
      <c r="G26" s="226"/>
      <c r="H26" s="360">
        <f t="shared" si="8"/>
        <v>0</v>
      </c>
      <c r="I26" s="1074"/>
      <c r="J26" s="226"/>
      <c r="K26" s="360">
        <f t="shared" si="9"/>
        <v>0</v>
      </c>
      <c r="L26" s="1074"/>
      <c r="M26" s="226"/>
      <c r="N26" s="360">
        <f t="shared" si="10"/>
        <v>0</v>
      </c>
      <c r="O26" s="1074"/>
      <c r="P26" s="226"/>
      <c r="Q26" s="360">
        <f>SUM(O26:P26)</f>
        <v>0</v>
      </c>
    </row>
    <row r="27" spans="1:17" s="173" customFormat="1" ht="17.25" customHeight="1">
      <c r="A27" s="156" t="s">
        <v>99</v>
      </c>
      <c r="B27" s="149" t="s">
        <v>630</v>
      </c>
      <c r="C27" s="1074"/>
      <c r="D27" s="226"/>
      <c r="E27" s="360">
        <f t="shared" si="7"/>
        <v>0</v>
      </c>
      <c r="F27" s="1074"/>
      <c r="G27" s="226"/>
      <c r="H27" s="360">
        <f t="shared" si="8"/>
        <v>0</v>
      </c>
      <c r="I27" s="1074"/>
      <c r="J27" s="226"/>
      <c r="K27" s="360">
        <f t="shared" si="9"/>
        <v>0</v>
      </c>
      <c r="L27" s="1074"/>
      <c r="M27" s="226"/>
      <c r="N27" s="360">
        <f t="shared" si="10"/>
        <v>0</v>
      </c>
      <c r="O27" s="1074"/>
      <c r="P27" s="226"/>
      <c r="Q27" s="360">
        <f aca="true" t="shared" si="11" ref="Q27:Q32">SUM(O27:P27)</f>
        <v>0</v>
      </c>
    </row>
    <row r="28" spans="1:17" s="173" customFormat="1" ht="17.25" customHeight="1">
      <c r="A28" s="156" t="s">
        <v>100</v>
      </c>
      <c r="B28" s="147" t="s">
        <v>387</v>
      </c>
      <c r="C28" s="1074"/>
      <c r="D28" s="226"/>
      <c r="E28" s="360">
        <f t="shared" si="7"/>
        <v>0</v>
      </c>
      <c r="F28" s="1074"/>
      <c r="G28" s="226"/>
      <c r="H28" s="360">
        <f t="shared" si="8"/>
        <v>0</v>
      </c>
      <c r="I28" s="1074"/>
      <c r="J28" s="226"/>
      <c r="K28" s="360">
        <f t="shared" si="9"/>
        <v>0</v>
      </c>
      <c r="L28" s="1074"/>
      <c r="M28" s="226"/>
      <c r="N28" s="360">
        <f t="shared" si="10"/>
        <v>0</v>
      </c>
      <c r="O28" s="1074"/>
      <c r="P28" s="226"/>
      <c r="Q28" s="360">
        <f t="shared" si="11"/>
        <v>0</v>
      </c>
    </row>
    <row r="29" spans="1:17" s="173" customFormat="1" ht="17.25" customHeight="1">
      <c r="A29" s="156" t="s">
        <v>101</v>
      </c>
      <c r="B29" s="149" t="s">
        <v>631</v>
      </c>
      <c r="C29" s="1074"/>
      <c r="D29" s="226"/>
      <c r="E29" s="360">
        <f t="shared" si="7"/>
        <v>0</v>
      </c>
      <c r="F29" s="1074"/>
      <c r="G29" s="226"/>
      <c r="H29" s="360">
        <f t="shared" si="8"/>
        <v>0</v>
      </c>
      <c r="I29" s="1074"/>
      <c r="J29" s="226"/>
      <c r="K29" s="360">
        <f t="shared" si="9"/>
        <v>0</v>
      </c>
      <c r="L29" s="1074"/>
      <c r="M29" s="226"/>
      <c r="N29" s="360">
        <f t="shared" si="10"/>
        <v>0</v>
      </c>
      <c r="O29" s="1074"/>
      <c r="P29" s="226"/>
      <c r="Q29" s="360">
        <f t="shared" si="11"/>
        <v>0</v>
      </c>
    </row>
    <row r="30" spans="1:17" s="173" customFormat="1" ht="17.25" customHeight="1" thickBot="1">
      <c r="A30" s="335" t="s">
        <v>192</v>
      </c>
      <c r="B30" s="147" t="s">
        <v>388</v>
      </c>
      <c r="C30" s="1075"/>
      <c r="D30" s="321"/>
      <c r="E30" s="361">
        <f t="shared" si="7"/>
        <v>0</v>
      </c>
      <c r="F30" s="1075"/>
      <c r="G30" s="321"/>
      <c r="H30" s="361">
        <f t="shared" si="8"/>
        <v>0</v>
      </c>
      <c r="I30" s="1075"/>
      <c r="J30" s="321"/>
      <c r="K30" s="361">
        <f t="shared" si="9"/>
        <v>0</v>
      </c>
      <c r="L30" s="1075"/>
      <c r="M30" s="321"/>
      <c r="N30" s="361">
        <f t="shared" si="10"/>
        <v>0</v>
      </c>
      <c r="O30" s="1075"/>
      <c r="P30" s="321"/>
      <c r="Q30" s="361">
        <f t="shared" si="11"/>
        <v>0</v>
      </c>
    </row>
    <row r="31" spans="1:17" s="200" customFormat="1" ht="17.25" customHeight="1" thickBot="1">
      <c r="A31" s="313">
        <v>8</v>
      </c>
      <c r="B31" s="305" t="s">
        <v>173</v>
      </c>
      <c r="C31" s="347">
        <f aca="true" t="shared" si="12" ref="C31:Q31">SUM(C26:C30)</f>
        <v>0</v>
      </c>
      <c r="D31" s="314">
        <f t="shared" si="12"/>
        <v>0</v>
      </c>
      <c r="E31" s="316">
        <f t="shared" si="12"/>
        <v>0</v>
      </c>
      <c r="F31" s="347">
        <f t="shared" si="12"/>
        <v>0</v>
      </c>
      <c r="G31" s="314">
        <f t="shared" si="12"/>
        <v>0</v>
      </c>
      <c r="H31" s="316">
        <f t="shared" si="12"/>
        <v>0</v>
      </c>
      <c r="I31" s="347">
        <f t="shared" si="12"/>
        <v>0</v>
      </c>
      <c r="J31" s="314">
        <f t="shared" si="12"/>
        <v>0</v>
      </c>
      <c r="K31" s="316">
        <f t="shared" si="12"/>
        <v>0</v>
      </c>
      <c r="L31" s="347">
        <f t="shared" si="12"/>
        <v>0</v>
      </c>
      <c r="M31" s="314">
        <f t="shared" si="12"/>
        <v>0</v>
      </c>
      <c r="N31" s="316">
        <f t="shared" si="12"/>
        <v>0</v>
      </c>
      <c r="O31" s="347">
        <f t="shared" si="12"/>
        <v>0</v>
      </c>
      <c r="P31" s="314">
        <f t="shared" si="12"/>
        <v>0</v>
      </c>
      <c r="Q31" s="320">
        <f t="shared" si="12"/>
        <v>0</v>
      </c>
    </row>
    <row r="32" spans="1:17" s="173" customFormat="1" ht="17.25" customHeight="1" thickBot="1">
      <c r="A32" s="313">
        <v>9</v>
      </c>
      <c r="B32" s="305" t="s">
        <v>179</v>
      </c>
      <c r="C32" s="347"/>
      <c r="D32" s="314"/>
      <c r="E32" s="288">
        <f>C32+D32</f>
        <v>0</v>
      </c>
      <c r="F32" s="347"/>
      <c r="G32" s="314"/>
      <c r="H32" s="288">
        <f>F32+G32</f>
        <v>0</v>
      </c>
      <c r="I32" s="347"/>
      <c r="J32" s="314"/>
      <c r="K32" s="288">
        <f>I32+J32</f>
        <v>0</v>
      </c>
      <c r="L32" s="347"/>
      <c r="M32" s="314"/>
      <c r="N32" s="288">
        <f>L32+M32</f>
        <v>0</v>
      </c>
      <c r="O32" s="347"/>
      <c r="P32" s="314"/>
      <c r="Q32" s="288">
        <f t="shared" si="11"/>
        <v>0</v>
      </c>
    </row>
    <row r="33" spans="1:17" s="152" customFormat="1" ht="17.25" customHeight="1" thickBot="1">
      <c r="A33" s="367">
        <v>10</v>
      </c>
      <c r="B33" s="368"/>
      <c r="C33" s="158"/>
      <c r="D33" s="369"/>
      <c r="E33" s="371">
        <f>SUM(C33:D33)</f>
        <v>0</v>
      </c>
      <c r="F33" s="158"/>
      <c r="G33" s="369"/>
      <c r="H33" s="371">
        <f>SUM(F33:G33)</f>
        <v>0</v>
      </c>
      <c r="I33" s="158"/>
      <c r="J33" s="369"/>
      <c r="K33" s="371">
        <f>SUM(I33:J33)</f>
        <v>0</v>
      </c>
      <c r="L33" s="158"/>
      <c r="M33" s="369"/>
      <c r="N33" s="371">
        <f>SUM(L33:M33)</f>
        <v>0</v>
      </c>
      <c r="O33" s="158"/>
      <c r="P33" s="369"/>
      <c r="Q33" s="371">
        <f>SUM(O33:P33)</f>
        <v>0</v>
      </c>
    </row>
    <row r="34" spans="1:18" s="160" customFormat="1" ht="17.25" customHeight="1" thickBot="1" thickTop="1">
      <c r="A34" s="343" t="s">
        <v>108</v>
      </c>
      <c r="B34" s="366" t="s">
        <v>180</v>
      </c>
      <c r="C34" s="365">
        <f aca="true" t="shared" si="13" ref="C34:Q34">C11+C12+C13+C23+C14+C31+C25+C24+C32+C33</f>
        <v>1628387</v>
      </c>
      <c r="D34" s="344">
        <f t="shared" si="13"/>
        <v>1082</v>
      </c>
      <c r="E34" s="778">
        <f t="shared" si="13"/>
        <v>1629469</v>
      </c>
      <c r="F34" s="365">
        <f t="shared" si="13"/>
        <v>574248</v>
      </c>
      <c r="G34" s="344">
        <f t="shared" si="13"/>
        <v>12455</v>
      </c>
      <c r="H34" s="778">
        <f t="shared" si="13"/>
        <v>586703</v>
      </c>
      <c r="I34" s="365">
        <f t="shared" si="13"/>
        <v>311683</v>
      </c>
      <c r="J34" s="344">
        <f t="shared" si="13"/>
        <v>-18945</v>
      </c>
      <c r="K34" s="778">
        <f t="shared" si="13"/>
        <v>292738</v>
      </c>
      <c r="L34" s="365">
        <f t="shared" si="13"/>
        <v>401188</v>
      </c>
      <c r="M34" s="344">
        <f t="shared" si="13"/>
        <v>8705</v>
      </c>
      <c r="N34" s="778">
        <f t="shared" si="13"/>
        <v>409893</v>
      </c>
      <c r="O34" s="365">
        <f t="shared" si="13"/>
        <v>175460</v>
      </c>
      <c r="P34" s="344">
        <f t="shared" si="13"/>
        <v>9672</v>
      </c>
      <c r="Q34" s="374">
        <f t="shared" si="13"/>
        <v>185132</v>
      </c>
      <c r="R34" s="159"/>
    </row>
    <row r="35" spans="1:21" s="88" customFormat="1" ht="17.25" customHeight="1" thickBot="1" thickTop="1">
      <c r="A35" s="144"/>
      <c r="B35" s="346" t="s">
        <v>131</v>
      </c>
      <c r="C35" s="1076"/>
      <c r="D35" s="302"/>
      <c r="E35" s="1082"/>
      <c r="F35" s="1076"/>
      <c r="G35" s="302"/>
      <c r="H35" s="1082"/>
      <c r="I35" s="1076"/>
      <c r="J35" s="302"/>
      <c r="K35" s="1082"/>
      <c r="L35" s="1076"/>
      <c r="M35" s="302"/>
      <c r="N35" s="1082"/>
      <c r="O35" s="1076"/>
      <c r="P35" s="302"/>
      <c r="Q35" s="1082"/>
      <c r="R35" s="357"/>
      <c r="S35" s="234"/>
      <c r="T35" s="234"/>
      <c r="U35" s="234"/>
    </row>
    <row r="36" spans="1:21" s="760" customFormat="1" ht="17.25" customHeight="1">
      <c r="A36" s="769" t="s">
        <v>98</v>
      </c>
      <c r="B36" s="770" t="s">
        <v>389</v>
      </c>
      <c r="C36" s="772"/>
      <c r="D36" s="771"/>
      <c r="E36" s="773">
        <f>SUM(C36:D36)</f>
        <v>0</v>
      </c>
      <c r="F36" s="772"/>
      <c r="G36" s="771"/>
      <c r="H36" s="773">
        <f>SUM(F36:G36)</f>
        <v>0</v>
      </c>
      <c r="I36" s="772"/>
      <c r="J36" s="771"/>
      <c r="K36" s="773">
        <f>SUM(I36:J36)</f>
        <v>0</v>
      </c>
      <c r="L36" s="772"/>
      <c r="M36" s="771"/>
      <c r="N36" s="773">
        <f>SUM(L36:M36)</f>
        <v>0</v>
      </c>
      <c r="O36" s="1084"/>
      <c r="P36" s="771"/>
      <c r="Q36" s="773">
        <f aca="true" t="shared" si="14" ref="Q36:Q44">SUM(O36:P36)</f>
        <v>0</v>
      </c>
      <c r="R36" s="764"/>
      <c r="S36" s="764"/>
      <c r="T36" s="764"/>
      <c r="U36" s="764"/>
    </row>
    <row r="37" spans="1:21" s="760" customFormat="1" ht="17.25" customHeight="1">
      <c r="A37" s="153" t="s">
        <v>99</v>
      </c>
      <c r="B37" s="149" t="s">
        <v>245</v>
      </c>
      <c r="C37" s="307"/>
      <c r="D37" s="139"/>
      <c r="E37" s="433">
        <f aca="true" t="shared" si="15" ref="E37:E44">C37+D37</f>
        <v>0</v>
      </c>
      <c r="F37" s="307"/>
      <c r="G37" s="139"/>
      <c r="H37" s="433">
        <f aca="true" t="shared" si="16" ref="H37:H44">F37+G37</f>
        <v>0</v>
      </c>
      <c r="I37" s="307"/>
      <c r="J37" s="139"/>
      <c r="K37" s="433">
        <f aca="true" t="shared" si="17" ref="K37:K44">I37+J37</f>
        <v>0</v>
      </c>
      <c r="L37" s="307"/>
      <c r="M37" s="139"/>
      <c r="N37" s="433">
        <f aca="true" t="shared" si="18" ref="N37:N44">L37+M37</f>
        <v>0</v>
      </c>
      <c r="O37" s="906"/>
      <c r="P37" s="139"/>
      <c r="Q37" s="433">
        <f t="shared" si="14"/>
        <v>0</v>
      </c>
      <c r="R37" s="764"/>
      <c r="S37" s="764"/>
      <c r="T37" s="764"/>
      <c r="U37" s="764"/>
    </row>
    <row r="38" spans="1:17" s="760" customFormat="1" ht="17.25" customHeight="1">
      <c r="A38" s="335" t="s">
        <v>100</v>
      </c>
      <c r="B38" s="142" t="s">
        <v>390</v>
      </c>
      <c r="C38" s="329"/>
      <c r="D38" s="321"/>
      <c r="E38" s="361">
        <f t="shared" si="15"/>
        <v>0</v>
      </c>
      <c r="F38" s="329"/>
      <c r="G38" s="321"/>
      <c r="H38" s="361">
        <f t="shared" si="16"/>
        <v>0</v>
      </c>
      <c r="I38" s="329"/>
      <c r="J38" s="321"/>
      <c r="K38" s="361">
        <f t="shared" si="17"/>
        <v>0</v>
      </c>
      <c r="L38" s="329"/>
      <c r="M38" s="321"/>
      <c r="N38" s="361">
        <f t="shared" si="18"/>
        <v>0</v>
      </c>
      <c r="O38" s="1075"/>
      <c r="P38" s="321"/>
      <c r="Q38" s="361">
        <f t="shared" si="14"/>
        <v>0</v>
      </c>
    </row>
    <row r="39" spans="1:17" s="760" customFormat="1" ht="17.25" customHeight="1" thickBot="1">
      <c r="A39" s="154" t="s">
        <v>101</v>
      </c>
      <c r="B39" s="155" t="s">
        <v>394</v>
      </c>
      <c r="C39" s="308"/>
      <c r="D39" s="151"/>
      <c r="E39" s="435">
        <f t="shared" si="15"/>
        <v>0</v>
      </c>
      <c r="F39" s="308"/>
      <c r="G39" s="151"/>
      <c r="H39" s="435">
        <f t="shared" si="16"/>
        <v>0</v>
      </c>
      <c r="I39" s="308"/>
      <c r="J39" s="151"/>
      <c r="K39" s="435">
        <f t="shared" si="17"/>
        <v>0</v>
      </c>
      <c r="L39" s="308"/>
      <c r="M39" s="151"/>
      <c r="N39" s="435">
        <f t="shared" si="18"/>
        <v>0</v>
      </c>
      <c r="O39" s="907"/>
      <c r="P39" s="151"/>
      <c r="Q39" s="435">
        <f t="shared" si="14"/>
        <v>0</v>
      </c>
    </row>
    <row r="40" spans="1:17" s="200" customFormat="1" ht="17.25" customHeight="1" thickBot="1">
      <c r="A40" s="313">
        <v>1</v>
      </c>
      <c r="B40" s="305" t="s">
        <v>177</v>
      </c>
      <c r="C40" s="347">
        <f aca="true" t="shared" si="19" ref="C40:Q40">SUM(C36:C39)</f>
        <v>0</v>
      </c>
      <c r="D40" s="314">
        <f t="shared" si="19"/>
        <v>0</v>
      </c>
      <c r="E40" s="320">
        <f t="shared" si="19"/>
        <v>0</v>
      </c>
      <c r="F40" s="347">
        <f t="shared" si="19"/>
        <v>0</v>
      </c>
      <c r="G40" s="314">
        <f t="shared" si="19"/>
        <v>0</v>
      </c>
      <c r="H40" s="320">
        <f t="shared" si="19"/>
        <v>0</v>
      </c>
      <c r="I40" s="347">
        <f t="shared" si="19"/>
        <v>0</v>
      </c>
      <c r="J40" s="314">
        <f t="shared" si="19"/>
        <v>0</v>
      </c>
      <c r="K40" s="320">
        <f t="shared" si="19"/>
        <v>0</v>
      </c>
      <c r="L40" s="347">
        <f t="shared" si="19"/>
        <v>0</v>
      </c>
      <c r="M40" s="314">
        <f t="shared" si="19"/>
        <v>0</v>
      </c>
      <c r="N40" s="320">
        <f t="shared" si="19"/>
        <v>0</v>
      </c>
      <c r="O40" s="347">
        <f t="shared" si="19"/>
        <v>0</v>
      </c>
      <c r="P40" s="314">
        <f t="shared" si="19"/>
        <v>0</v>
      </c>
      <c r="Q40" s="320">
        <f t="shared" si="19"/>
        <v>0</v>
      </c>
    </row>
    <row r="41" spans="1:17" s="173" customFormat="1" ht="17.25" customHeight="1">
      <c r="A41" s="156" t="s">
        <v>98</v>
      </c>
      <c r="B41" s="145" t="s">
        <v>416</v>
      </c>
      <c r="C41" s="306"/>
      <c r="D41" s="226"/>
      <c r="E41" s="361">
        <f t="shared" si="15"/>
        <v>0</v>
      </c>
      <c r="F41" s="306"/>
      <c r="G41" s="226"/>
      <c r="H41" s="361">
        <f t="shared" si="16"/>
        <v>0</v>
      </c>
      <c r="I41" s="306"/>
      <c r="J41" s="226"/>
      <c r="K41" s="361">
        <f t="shared" si="17"/>
        <v>0</v>
      </c>
      <c r="L41" s="306"/>
      <c r="M41" s="226"/>
      <c r="N41" s="361">
        <f t="shared" si="18"/>
        <v>0</v>
      </c>
      <c r="O41" s="1074"/>
      <c r="P41" s="226"/>
      <c r="Q41" s="360">
        <f t="shared" si="14"/>
        <v>0</v>
      </c>
    </row>
    <row r="42" spans="1:17" s="173" customFormat="1" ht="17.25" customHeight="1">
      <c r="A42" s="153" t="s">
        <v>99</v>
      </c>
      <c r="B42" s="149" t="s">
        <v>391</v>
      </c>
      <c r="C42" s="307"/>
      <c r="D42" s="139"/>
      <c r="E42" s="435">
        <f t="shared" si="15"/>
        <v>0</v>
      </c>
      <c r="F42" s="307"/>
      <c r="G42" s="139"/>
      <c r="H42" s="435">
        <f t="shared" si="16"/>
        <v>0</v>
      </c>
      <c r="I42" s="307"/>
      <c r="J42" s="139"/>
      <c r="K42" s="435">
        <f t="shared" si="17"/>
        <v>0</v>
      </c>
      <c r="L42" s="307"/>
      <c r="M42" s="139"/>
      <c r="N42" s="435">
        <f t="shared" si="18"/>
        <v>0</v>
      </c>
      <c r="O42" s="906"/>
      <c r="P42" s="139"/>
      <c r="Q42" s="433">
        <f t="shared" si="14"/>
        <v>0</v>
      </c>
    </row>
    <row r="43" spans="1:17" s="173" customFormat="1" ht="17.25" customHeight="1">
      <c r="A43" s="153" t="s">
        <v>100</v>
      </c>
      <c r="B43" s="149" t="s">
        <v>392</v>
      </c>
      <c r="C43" s="307"/>
      <c r="D43" s="139"/>
      <c r="E43" s="435">
        <f t="shared" si="15"/>
        <v>0</v>
      </c>
      <c r="F43" s="307"/>
      <c r="G43" s="139"/>
      <c r="H43" s="435">
        <f t="shared" si="16"/>
        <v>0</v>
      </c>
      <c r="I43" s="307"/>
      <c r="J43" s="139"/>
      <c r="K43" s="435">
        <f t="shared" si="17"/>
        <v>0</v>
      </c>
      <c r="L43" s="307"/>
      <c r="M43" s="139"/>
      <c r="N43" s="435">
        <f t="shared" si="18"/>
        <v>0</v>
      </c>
      <c r="O43" s="906"/>
      <c r="P43" s="139"/>
      <c r="Q43" s="433">
        <f t="shared" si="14"/>
        <v>0</v>
      </c>
    </row>
    <row r="44" spans="1:17" s="173" customFormat="1" ht="17.25" customHeight="1" thickBot="1">
      <c r="A44" s="154" t="s">
        <v>101</v>
      </c>
      <c r="B44" s="155" t="s">
        <v>175</v>
      </c>
      <c r="C44" s="308"/>
      <c r="D44" s="151"/>
      <c r="E44" s="435">
        <f t="shared" si="15"/>
        <v>0</v>
      </c>
      <c r="F44" s="308"/>
      <c r="G44" s="151"/>
      <c r="H44" s="435">
        <f t="shared" si="16"/>
        <v>0</v>
      </c>
      <c r="I44" s="308"/>
      <c r="J44" s="151"/>
      <c r="K44" s="435">
        <f t="shared" si="17"/>
        <v>0</v>
      </c>
      <c r="L44" s="308"/>
      <c r="M44" s="151"/>
      <c r="N44" s="435">
        <f t="shared" si="18"/>
        <v>0</v>
      </c>
      <c r="O44" s="907"/>
      <c r="P44" s="151"/>
      <c r="Q44" s="435">
        <f t="shared" si="14"/>
        <v>0</v>
      </c>
    </row>
    <row r="45" spans="1:17" s="200" customFormat="1" ht="17.25" customHeight="1" thickBot="1">
      <c r="A45" s="313">
        <v>2</v>
      </c>
      <c r="B45" s="305" t="s">
        <v>176</v>
      </c>
      <c r="C45" s="347">
        <f>SUM(C41:C44)</f>
        <v>0</v>
      </c>
      <c r="D45" s="314">
        <f aca="true" t="shared" si="20" ref="D45:Q45">SUM(D41:D44)</f>
        <v>0</v>
      </c>
      <c r="E45" s="316">
        <f t="shared" si="20"/>
        <v>0</v>
      </c>
      <c r="F45" s="347">
        <f t="shared" si="20"/>
        <v>0</v>
      </c>
      <c r="G45" s="314">
        <f t="shared" si="20"/>
        <v>0</v>
      </c>
      <c r="H45" s="316">
        <f t="shared" si="20"/>
        <v>0</v>
      </c>
      <c r="I45" s="347">
        <f t="shared" si="20"/>
        <v>0</v>
      </c>
      <c r="J45" s="314">
        <f t="shared" si="20"/>
        <v>0</v>
      </c>
      <c r="K45" s="316">
        <f t="shared" si="20"/>
        <v>0</v>
      </c>
      <c r="L45" s="347">
        <f t="shared" si="20"/>
        <v>0</v>
      </c>
      <c r="M45" s="314">
        <f t="shared" si="20"/>
        <v>0</v>
      </c>
      <c r="N45" s="330">
        <f t="shared" si="20"/>
        <v>0</v>
      </c>
      <c r="O45" s="347">
        <f t="shared" si="20"/>
        <v>0</v>
      </c>
      <c r="P45" s="314">
        <f t="shared" si="20"/>
        <v>0</v>
      </c>
      <c r="Q45" s="320">
        <f t="shared" si="20"/>
        <v>0</v>
      </c>
    </row>
    <row r="46" spans="1:17" s="200" customFormat="1" ht="17.25" customHeight="1" thickBot="1">
      <c r="A46" s="313">
        <v>3</v>
      </c>
      <c r="B46" s="305" t="s">
        <v>264</v>
      </c>
      <c r="C46" s="347">
        <v>82724</v>
      </c>
      <c r="D46" s="314">
        <v>3836</v>
      </c>
      <c r="E46" s="316">
        <f>SUM(C46:D46)</f>
        <v>86560</v>
      </c>
      <c r="F46" s="347">
        <v>21144</v>
      </c>
      <c r="G46" s="314">
        <v>4035</v>
      </c>
      <c r="H46" s="316">
        <f>SUM(F46:G46)</f>
        <v>25179</v>
      </c>
      <c r="I46" s="347">
        <v>3118</v>
      </c>
      <c r="J46" s="314">
        <v>-416</v>
      </c>
      <c r="K46" s="316">
        <f>SUM(I46:J46)</f>
        <v>2702</v>
      </c>
      <c r="L46" s="347">
        <v>39086</v>
      </c>
      <c r="M46" s="314">
        <v>3670</v>
      </c>
      <c r="N46" s="330">
        <f>SUM(L46:M46)</f>
        <v>42756</v>
      </c>
      <c r="O46" s="347">
        <v>4</v>
      </c>
      <c r="P46" s="314"/>
      <c r="Q46" s="320">
        <f>SUM(O46:P46)</f>
        <v>4</v>
      </c>
    </row>
    <row r="47" spans="1:17" s="173" customFormat="1" ht="17.25" customHeight="1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0" customFormat="1" ht="17.25" customHeight="1">
      <c r="A48" s="156" t="s">
        <v>98</v>
      </c>
      <c r="B48" s="142" t="s">
        <v>291</v>
      </c>
      <c r="C48" s="1074"/>
      <c r="D48" s="226"/>
      <c r="E48" s="361">
        <f>C48+D48</f>
        <v>0</v>
      </c>
      <c r="F48" s="1074"/>
      <c r="G48" s="226"/>
      <c r="H48" s="361">
        <f>F48+G48</f>
        <v>0</v>
      </c>
      <c r="I48" s="1074"/>
      <c r="J48" s="226"/>
      <c r="K48" s="361">
        <f>I48+J48</f>
        <v>0</v>
      </c>
      <c r="L48" s="1074"/>
      <c r="M48" s="226"/>
      <c r="N48" s="361">
        <f>L48+M48</f>
        <v>0</v>
      </c>
      <c r="O48" s="1074"/>
      <c r="P48" s="226"/>
      <c r="Q48" s="360">
        <f>SUM(O48:P48)</f>
        <v>0</v>
      </c>
    </row>
    <row r="49" spans="1:17" s="173" customFormat="1" ht="17.25" customHeight="1">
      <c r="A49" s="154" t="s">
        <v>99</v>
      </c>
      <c r="B49" s="334" t="s">
        <v>393</v>
      </c>
      <c r="C49" s="906"/>
      <c r="D49" s="139"/>
      <c r="E49" s="433">
        <f>C49+D49</f>
        <v>0</v>
      </c>
      <c r="F49" s="906"/>
      <c r="G49" s="139"/>
      <c r="H49" s="433">
        <f>F49+G49</f>
        <v>0</v>
      </c>
      <c r="I49" s="906"/>
      <c r="J49" s="139"/>
      <c r="K49" s="433">
        <f>I49+J49</f>
        <v>0</v>
      </c>
      <c r="L49" s="906"/>
      <c r="M49" s="139"/>
      <c r="N49" s="433">
        <f>L49+M49</f>
        <v>0</v>
      </c>
      <c r="O49" s="906"/>
      <c r="P49" s="139"/>
      <c r="Q49" s="433">
        <f>SUM(O49:P49)</f>
        <v>0</v>
      </c>
    </row>
    <row r="50" spans="1:17" s="173" customFormat="1" ht="17.25" customHeight="1" thickBot="1">
      <c r="A50" s="154" t="s">
        <v>100</v>
      </c>
      <c r="B50" s="334" t="s">
        <v>426</v>
      </c>
      <c r="C50" s="906"/>
      <c r="D50" s="139"/>
      <c r="E50" s="433">
        <f>C50+D50</f>
        <v>0</v>
      </c>
      <c r="F50" s="906"/>
      <c r="G50" s="139"/>
      <c r="H50" s="433">
        <f>F50+G50</f>
        <v>0</v>
      </c>
      <c r="I50" s="906"/>
      <c r="J50" s="139"/>
      <c r="K50" s="433">
        <f>I50+J50</f>
        <v>0</v>
      </c>
      <c r="L50" s="906"/>
      <c r="M50" s="139"/>
      <c r="N50" s="433">
        <f>L50+M50</f>
        <v>0</v>
      </c>
      <c r="O50" s="906"/>
      <c r="P50" s="139"/>
      <c r="Q50" s="433">
        <f>SUM(O50:P50)</f>
        <v>0</v>
      </c>
    </row>
    <row r="51" spans="1:17" s="200" customFormat="1" ht="17.25" customHeight="1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21" ref="E51:Q51">SUM(E48:E50)</f>
        <v>0</v>
      </c>
      <c r="F51" s="347">
        <f t="shared" si="21"/>
        <v>0</v>
      </c>
      <c r="G51" s="314">
        <f t="shared" si="21"/>
        <v>0</v>
      </c>
      <c r="H51" s="316">
        <f t="shared" si="21"/>
        <v>0</v>
      </c>
      <c r="I51" s="347">
        <f t="shared" si="21"/>
        <v>0</v>
      </c>
      <c r="J51" s="314">
        <f t="shared" si="21"/>
        <v>0</v>
      </c>
      <c r="K51" s="316">
        <f t="shared" si="21"/>
        <v>0</v>
      </c>
      <c r="L51" s="347">
        <f t="shared" si="21"/>
        <v>0</v>
      </c>
      <c r="M51" s="314">
        <f t="shared" si="21"/>
        <v>0</v>
      </c>
      <c r="N51" s="316">
        <f t="shared" si="21"/>
        <v>0</v>
      </c>
      <c r="O51" s="347">
        <f t="shared" si="21"/>
        <v>0</v>
      </c>
      <c r="P51" s="314">
        <f t="shared" si="21"/>
        <v>0</v>
      </c>
      <c r="Q51" s="320">
        <f t="shared" si="21"/>
        <v>0</v>
      </c>
    </row>
    <row r="52" spans="1:17" s="200" customFormat="1" ht="17.25" customHeight="1" thickBot="1">
      <c r="A52" s="765">
        <v>6</v>
      </c>
      <c r="B52" s="766" t="s">
        <v>295</v>
      </c>
      <c r="C52" s="1077"/>
      <c r="D52" s="339"/>
      <c r="E52" s="289">
        <f>C52+D52</f>
        <v>0</v>
      </c>
      <c r="F52" s="1083"/>
      <c r="G52" s="339"/>
      <c r="H52" s="289">
        <f>F52+G52</f>
        <v>0</v>
      </c>
      <c r="I52" s="1083"/>
      <c r="J52" s="339"/>
      <c r="K52" s="289">
        <f>I52+J52</f>
        <v>0</v>
      </c>
      <c r="L52" s="1083"/>
      <c r="M52" s="339"/>
      <c r="N52" s="289">
        <f>L52+M52</f>
        <v>0</v>
      </c>
      <c r="O52" s="1083"/>
      <c r="P52" s="339"/>
      <c r="Q52" s="289">
        <f>SUM(O52:P52)</f>
        <v>0</v>
      </c>
    </row>
    <row r="53" spans="1:17" s="173" customFormat="1" ht="17.25" customHeight="1">
      <c r="A53" s="137" t="s">
        <v>98</v>
      </c>
      <c r="B53" s="138" t="s">
        <v>395</v>
      </c>
      <c r="C53" s="1078"/>
      <c r="D53" s="140"/>
      <c r="E53" s="439">
        <f>C53+D53</f>
        <v>0</v>
      </c>
      <c r="F53" s="1078"/>
      <c r="G53" s="140"/>
      <c r="H53" s="439">
        <f>F53+G53</f>
        <v>0</v>
      </c>
      <c r="I53" s="1078"/>
      <c r="J53" s="140"/>
      <c r="K53" s="439">
        <f>I53+J53</f>
        <v>0</v>
      </c>
      <c r="L53" s="1078"/>
      <c r="M53" s="140"/>
      <c r="N53" s="439">
        <f>L53+M53</f>
        <v>0</v>
      </c>
      <c r="O53" s="1078"/>
      <c r="P53" s="140"/>
      <c r="Q53" s="439">
        <f>SUM(O53:P53)</f>
        <v>0</v>
      </c>
    </row>
    <row r="54" spans="1:17" s="173" customFormat="1" ht="17.25" customHeight="1" thickBot="1">
      <c r="A54" s="335" t="s">
        <v>99</v>
      </c>
      <c r="B54" s="142" t="s">
        <v>396</v>
      </c>
      <c r="C54" s="1075"/>
      <c r="D54" s="321"/>
      <c r="E54" s="361">
        <f>C54+D54</f>
        <v>0</v>
      </c>
      <c r="F54" s="1075"/>
      <c r="G54" s="321"/>
      <c r="H54" s="361">
        <f>F54+G54</f>
        <v>0</v>
      </c>
      <c r="I54" s="1075"/>
      <c r="J54" s="321"/>
      <c r="K54" s="361">
        <f>I54+J54</f>
        <v>0</v>
      </c>
      <c r="L54" s="1075"/>
      <c r="M54" s="321"/>
      <c r="N54" s="361">
        <f>L54+M54</f>
        <v>0</v>
      </c>
      <c r="O54" s="1075"/>
      <c r="P54" s="321"/>
      <c r="Q54" s="361">
        <f>SUM(O54:P54)</f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22" ref="D55:Q55">SUM(D53:D54)</f>
        <v>0</v>
      </c>
      <c r="E55" s="316">
        <f t="shared" si="22"/>
        <v>0</v>
      </c>
      <c r="F55" s="347">
        <f t="shared" si="22"/>
        <v>0</v>
      </c>
      <c r="G55" s="314">
        <f t="shared" si="22"/>
        <v>0</v>
      </c>
      <c r="H55" s="316">
        <f t="shared" si="22"/>
        <v>0</v>
      </c>
      <c r="I55" s="347">
        <f t="shared" si="22"/>
        <v>0</v>
      </c>
      <c r="J55" s="314">
        <f t="shared" si="22"/>
        <v>0</v>
      </c>
      <c r="K55" s="316">
        <f t="shared" si="22"/>
        <v>0</v>
      </c>
      <c r="L55" s="347">
        <f t="shared" si="22"/>
        <v>0</v>
      </c>
      <c r="M55" s="314">
        <f t="shared" si="22"/>
        <v>0</v>
      </c>
      <c r="N55" s="316">
        <f t="shared" si="22"/>
        <v>0</v>
      </c>
      <c r="O55" s="1085">
        <f t="shared" si="22"/>
        <v>0</v>
      </c>
      <c r="P55" s="1087">
        <f t="shared" si="22"/>
        <v>0</v>
      </c>
      <c r="Q55" s="1089">
        <f t="shared" si="22"/>
        <v>0</v>
      </c>
    </row>
    <row r="56" spans="1:18" s="173" customFormat="1" ht="17.25" customHeight="1" thickBot="1">
      <c r="A56" s="349">
        <v>8</v>
      </c>
      <c r="B56" s="350" t="s">
        <v>45</v>
      </c>
      <c r="C56" s="1079">
        <f>C34-C40-C45-C46-C47-C51-C52-C55-C57-C58-C59</f>
        <v>1544315</v>
      </c>
      <c r="D56" s="1081">
        <f>D34-D40-D45-D46-D47-D51-D52-D55-D57-D58-D59</f>
        <v>-2754</v>
      </c>
      <c r="E56" s="784">
        <f aca="true" t="shared" si="23" ref="E56:Q56">E34-E40-E45-E46-E47-E51-E52-E55-E57-E58-E59</f>
        <v>1541561</v>
      </c>
      <c r="F56" s="1079">
        <f t="shared" si="23"/>
        <v>552564</v>
      </c>
      <c r="G56" s="1081">
        <f t="shared" si="23"/>
        <v>8420</v>
      </c>
      <c r="H56" s="784">
        <f t="shared" si="23"/>
        <v>560984</v>
      </c>
      <c r="I56" s="1079">
        <f t="shared" si="23"/>
        <v>307817</v>
      </c>
      <c r="J56" s="1081">
        <f t="shared" si="23"/>
        <v>-18529</v>
      </c>
      <c r="K56" s="784">
        <f t="shared" si="23"/>
        <v>289288</v>
      </c>
      <c r="L56" s="1079">
        <f t="shared" si="23"/>
        <v>361878</v>
      </c>
      <c r="M56" s="1081">
        <f t="shared" si="23"/>
        <v>5035</v>
      </c>
      <c r="N56" s="784">
        <f t="shared" si="23"/>
        <v>366913</v>
      </c>
      <c r="O56" s="1086">
        <f t="shared" si="23"/>
        <v>175455</v>
      </c>
      <c r="P56" s="1088">
        <f t="shared" si="23"/>
        <v>9672</v>
      </c>
      <c r="Q56" s="783">
        <f t="shared" si="23"/>
        <v>185127</v>
      </c>
      <c r="R56" s="176"/>
    </row>
    <row r="57" spans="1:21" s="200" customFormat="1" ht="17.25" customHeight="1">
      <c r="A57" s="336" t="s">
        <v>398</v>
      </c>
      <c r="B57" s="337" t="s">
        <v>184</v>
      </c>
      <c r="C57" s="1080">
        <v>1348</v>
      </c>
      <c r="D57" s="327"/>
      <c r="E57" s="440">
        <f>SUM(C57:D57)</f>
        <v>1348</v>
      </c>
      <c r="F57" s="1080">
        <v>540</v>
      </c>
      <c r="G57" s="327"/>
      <c r="H57" s="440">
        <f>SUM(F57:G57)</f>
        <v>540</v>
      </c>
      <c r="I57" s="1080">
        <v>748</v>
      </c>
      <c r="J57" s="327"/>
      <c r="K57" s="440">
        <f>SUM(I57:J57)</f>
        <v>748</v>
      </c>
      <c r="L57" s="326">
        <v>224</v>
      </c>
      <c r="M57" s="327"/>
      <c r="N57" s="338">
        <f>SUM(L57:M57)</f>
        <v>224</v>
      </c>
      <c r="O57" s="326">
        <v>1</v>
      </c>
      <c r="P57" s="327"/>
      <c r="Q57" s="338">
        <f>SUM(O57:P57)</f>
        <v>1</v>
      </c>
      <c r="R57" s="152"/>
      <c r="S57" s="152"/>
      <c r="T57" s="152"/>
      <c r="U57" s="152"/>
    </row>
    <row r="58" spans="1:21" s="200" customFormat="1" ht="17.25" customHeight="1">
      <c r="A58" s="336" t="s">
        <v>183</v>
      </c>
      <c r="B58" s="337" t="s">
        <v>397</v>
      </c>
      <c r="C58" s="326"/>
      <c r="D58" s="327"/>
      <c r="E58" s="340">
        <f>SUM(C58:D58)</f>
        <v>0</v>
      </c>
      <c r="F58" s="326"/>
      <c r="G58" s="327"/>
      <c r="H58" s="340">
        <f>SUM(F58:G58)</f>
        <v>0</v>
      </c>
      <c r="I58" s="326"/>
      <c r="J58" s="327"/>
      <c r="K58" s="340">
        <f>SUM(I58:J58)</f>
        <v>0</v>
      </c>
      <c r="L58" s="326"/>
      <c r="M58" s="327"/>
      <c r="N58" s="340">
        <f>SUM(L58:M58)</f>
        <v>0</v>
      </c>
      <c r="O58" s="326"/>
      <c r="P58" s="327"/>
      <c r="Q58" s="338">
        <f>SUM(O58:P58)</f>
        <v>0</v>
      </c>
      <c r="R58" s="152"/>
      <c r="S58" s="152"/>
      <c r="T58" s="152"/>
      <c r="U58" s="152"/>
    </row>
    <row r="59" spans="1:21" s="200" customFormat="1" ht="17.25" customHeight="1" thickBot="1">
      <c r="A59" s="351">
        <v>10</v>
      </c>
      <c r="B59" s="352"/>
      <c r="C59" s="353"/>
      <c r="D59" s="354"/>
      <c r="E59" s="355">
        <f>SUM(C59:D59)</f>
        <v>0</v>
      </c>
      <c r="F59" s="353"/>
      <c r="G59" s="354"/>
      <c r="H59" s="355">
        <f>SUM(F59:G59)</f>
        <v>0</v>
      </c>
      <c r="I59" s="353"/>
      <c r="J59" s="354"/>
      <c r="K59" s="355">
        <f>SUM(I59:J59)</f>
        <v>0</v>
      </c>
      <c r="L59" s="353"/>
      <c r="M59" s="354"/>
      <c r="N59" s="355">
        <f>SUM(L59:M59)</f>
        <v>0</v>
      </c>
      <c r="O59" s="356"/>
      <c r="P59" s="354"/>
      <c r="Q59" s="355">
        <f>SUM(O59:P59)</f>
        <v>0</v>
      </c>
      <c r="R59" s="152"/>
      <c r="S59" s="152"/>
      <c r="T59" s="152"/>
      <c r="U59" s="152"/>
    </row>
    <row r="60" spans="1:17" s="152" customFormat="1" ht="17.25" customHeight="1" thickBot="1" thickTop="1">
      <c r="A60" s="343" t="s">
        <v>109</v>
      </c>
      <c r="B60" s="345" t="s">
        <v>182</v>
      </c>
      <c r="C60" s="779">
        <f>C40+C45+C46+C47+C51+C52+C55+C56+C57+C58+C59</f>
        <v>1628387</v>
      </c>
      <c r="D60" s="780">
        <f aca="true" t="shared" si="24" ref="D60:Q60">D40+D45+D46+D47+D51+D52+D55+D56+D57+D58+D59</f>
        <v>1082</v>
      </c>
      <c r="E60" s="363">
        <f t="shared" si="24"/>
        <v>1629469</v>
      </c>
      <c r="F60" s="364">
        <f t="shared" si="24"/>
        <v>574248</v>
      </c>
      <c r="G60" s="344">
        <f t="shared" si="24"/>
        <v>12455</v>
      </c>
      <c r="H60" s="363">
        <f t="shared" si="24"/>
        <v>586703</v>
      </c>
      <c r="I60" s="779">
        <f t="shared" si="24"/>
        <v>311683</v>
      </c>
      <c r="J60" s="780">
        <f t="shared" si="24"/>
        <v>-18945</v>
      </c>
      <c r="K60" s="363">
        <f t="shared" si="24"/>
        <v>292738</v>
      </c>
      <c r="L60" s="364">
        <f t="shared" si="24"/>
        <v>401188</v>
      </c>
      <c r="M60" s="344">
        <f t="shared" si="24"/>
        <v>8705</v>
      </c>
      <c r="N60" s="363">
        <f t="shared" si="24"/>
        <v>409893</v>
      </c>
      <c r="O60" s="364">
        <f t="shared" si="24"/>
        <v>175460</v>
      </c>
      <c r="P60" s="344">
        <f t="shared" si="24"/>
        <v>9672</v>
      </c>
      <c r="Q60" s="374">
        <f t="shared" si="24"/>
        <v>185132</v>
      </c>
    </row>
    <row r="61" spans="1:21" s="88" customFormat="1" ht="13.5" customHeight="1" thickBot="1" thickTop="1">
      <c r="A61" s="163"/>
      <c r="B61" s="164"/>
      <c r="C61" s="165"/>
      <c r="D61" s="165"/>
      <c r="E61" s="166"/>
      <c r="F61" s="165"/>
      <c r="G61" s="165"/>
      <c r="H61" s="166"/>
      <c r="I61" s="165"/>
      <c r="J61" s="165"/>
      <c r="K61" s="166"/>
      <c r="L61" s="165"/>
      <c r="M61" s="165"/>
      <c r="N61" s="166"/>
      <c r="O61" s="165"/>
      <c r="P61" s="165"/>
      <c r="Q61" s="166"/>
      <c r="R61" s="234"/>
      <c r="S61" s="234"/>
      <c r="T61" s="234"/>
      <c r="U61" s="234"/>
    </row>
    <row r="62" spans="1:17" s="173" customFormat="1" ht="17.25" customHeight="1" thickBot="1" thickTop="1">
      <c r="A62" s="167"/>
      <c r="B62" s="168" t="s">
        <v>579</v>
      </c>
      <c r="C62" s="169">
        <v>276</v>
      </c>
      <c r="D62" s="170"/>
      <c r="E62" s="171">
        <f>C62+D62</f>
        <v>276</v>
      </c>
      <c r="F62" s="169">
        <v>103.5</v>
      </c>
      <c r="G62" s="170"/>
      <c r="H62" s="171">
        <f>F62+G62</f>
        <v>103.5</v>
      </c>
      <c r="I62" s="169">
        <v>66</v>
      </c>
      <c r="J62" s="170"/>
      <c r="K62" s="171">
        <f>I62+J62</f>
        <v>66</v>
      </c>
      <c r="L62" s="169">
        <v>67</v>
      </c>
      <c r="M62" s="170"/>
      <c r="N62" s="171">
        <f>L62+M62</f>
        <v>67</v>
      </c>
      <c r="O62" s="169">
        <v>26.25</v>
      </c>
      <c r="P62" s="170"/>
      <c r="Q62" s="172">
        <f>SUM(O62:P62)</f>
        <v>26.25</v>
      </c>
    </row>
    <row r="63" spans="1:17" s="173" customFormat="1" ht="17.25" customHeight="1" thickBot="1" thickTop="1">
      <c r="A63" s="167"/>
      <c r="B63" s="168" t="s">
        <v>580</v>
      </c>
      <c r="C63" s="169">
        <v>0</v>
      </c>
      <c r="D63" s="170"/>
      <c r="E63" s="171">
        <f>C63+D63</f>
        <v>0</v>
      </c>
      <c r="F63" s="169">
        <v>0</v>
      </c>
      <c r="G63" s="170"/>
      <c r="H63" s="171">
        <f>F63+G63</f>
        <v>0</v>
      </c>
      <c r="I63" s="169">
        <v>0</v>
      </c>
      <c r="J63" s="170"/>
      <c r="K63" s="171">
        <f>I63+J63</f>
        <v>0</v>
      </c>
      <c r="L63" s="169">
        <v>0</v>
      </c>
      <c r="M63" s="170"/>
      <c r="N63" s="171">
        <f>L63+M63</f>
        <v>0</v>
      </c>
      <c r="O63" s="169">
        <v>0</v>
      </c>
      <c r="P63" s="170"/>
      <c r="Q63" s="172">
        <f>SUM(O63:P63)</f>
        <v>0</v>
      </c>
    </row>
    <row r="64" ht="16.5" thickTop="1">
      <c r="A64" s="418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5.875" style="88" customWidth="1"/>
    <col min="4" max="4" width="14.375" style="88" customWidth="1"/>
    <col min="5" max="8" width="15.875" style="88" customWidth="1"/>
    <col min="9" max="9" width="16.625" style="88" customWidth="1"/>
    <col min="10" max="10" width="17.125" style="88" customWidth="1"/>
    <col min="11" max="11" width="17.625" style="200" customWidth="1"/>
    <col min="12" max="12" width="15.875" style="88" customWidth="1"/>
    <col min="13" max="13" width="14.375" style="88" customWidth="1"/>
    <col min="14" max="14" width="15.875" style="88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303"/>
      <c r="B1" s="386"/>
      <c r="C1" s="386"/>
      <c r="D1" s="386"/>
      <c r="E1" s="386"/>
      <c r="F1" s="386"/>
      <c r="G1" s="386"/>
      <c r="H1" s="386"/>
      <c r="I1" s="386"/>
      <c r="J1" s="386"/>
      <c r="L1" s="386"/>
      <c r="M1" s="386"/>
      <c r="N1" s="386"/>
      <c r="O1" s="5"/>
      <c r="P1" s="129"/>
      <c r="Q1" s="1512" t="s">
        <v>946</v>
      </c>
    </row>
    <row r="2" spans="1:17" ht="12.75" customHeight="1">
      <c r="A2" s="303"/>
      <c r="B2" s="386"/>
      <c r="C2" s="386"/>
      <c r="D2" s="386"/>
      <c r="E2" s="386"/>
      <c r="F2" s="386"/>
      <c r="G2" s="386"/>
      <c r="H2" s="386"/>
      <c r="I2" s="386"/>
      <c r="J2" s="386"/>
      <c r="L2" s="386"/>
      <c r="M2" s="386"/>
      <c r="N2" s="386"/>
      <c r="O2" s="5"/>
      <c r="P2" s="129"/>
      <c r="Q2" s="1512" t="s">
        <v>93</v>
      </c>
    </row>
    <row r="3" spans="1:17" ht="10.5" customHeight="1">
      <c r="A3" s="303"/>
      <c r="B3" s="386"/>
      <c r="C3" s="386"/>
      <c r="D3" s="386"/>
      <c r="E3" s="386"/>
      <c r="F3" s="386"/>
      <c r="G3" s="386"/>
      <c r="H3" s="386"/>
      <c r="I3" s="386"/>
      <c r="J3" s="386"/>
      <c r="L3" s="386"/>
      <c r="M3" s="386"/>
      <c r="N3" s="386"/>
      <c r="O3" s="5"/>
      <c r="P3" s="175"/>
      <c r="Q3" s="1513" t="s">
        <v>132</v>
      </c>
    </row>
    <row r="4" spans="1:17" ht="20.25">
      <c r="A4" s="894" t="s">
        <v>654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7"/>
      <c r="P4" s="7"/>
      <c r="Q4" s="7"/>
    </row>
    <row r="5" spans="1:17" ht="18">
      <c r="A5" s="895" t="s">
        <v>561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"/>
      <c r="P5" s="8"/>
      <c r="Q5" s="8"/>
    </row>
    <row r="6" spans="1:17" ht="18.75" thickBo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"/>
      <c r="P6" s="8"/>
      <c r="Q6" s="123" t="s">
        <v>134</v>
      </c>
    </row>
    <row r="7" spans="1:17" ht="32.25" customHeight="1">
      <c r="A7" s="230" t="s">
        <v>124</v>
      </c>
      <c r="B7" s="87" t="s">
        <v>125</v>
      </c>
      <c r="C7" s="1939" t="s">
        <v>52</v>
      </c>
      <c r="D7" s="1937"/>
      <c r="E7" s="1938"/>
      <c r="F7" s="1946" t="s">
        <v>636</v>
      </c>
      <c r="G7" s="1946"/>
      <c r="H7" s="1946"/>
      <c r="I7" s="1942" t="s">
        <v>194</v>
      </c>
      <c r="J7" s="1943"/>
      <c r="K7" s="1944"/>
      <c r="L7" s="1945" t="s">
        <v>351</v>
      </c>
      <c r="M7" s="1943"/>
      <c r="N7" s="1944"/>
      <c r="O7" s="1940" t="s">
        <v>161</v>
      </c>
      <c r="P7" s="1940"/>
      <c r="Q7" s="1941"/>
    </row>
    <row r="8" spans="1:17" s="26" customFormat="1" ht="27" customHeight="1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3" customFormat="1" ht="12" thickBot="1">
      <c r="A9" s="420">
        <v>1</v>
      </c>
      <c r="B9" s="80">
        <v>2</v>
      </c>
      <c r="C9" s="897">
        <v>6</v>
      </c>
      <c r="D9" s="898">
        <v>7</v>
      </c>
      <c r="E9" s="899">
        <v>8</v>
      </c>
      <c r="F9" s="1206">
        <v>9</v>
      </c>
      <c r="G9" s="898">
        <v>10</v>
      </c>
      <c r="H9" s="1206">
        <v>11</v>
      </c>
      <c r="I9" s="897">
        <v>12</v>
      </c>
      <c r="J9" s="898">
        <v>13</v>
      </c>
      <c r="K9" s="899">
        <v>14</v>
      </c>
      <c r="L9" s="897">
        <v>15</v>
      </c>
      <c r="M9" s="898">
        <v>16</v>
      </c>
      <c r="N9" s="899">
        <v>17</v>
      </c>
      <c r="O9" s="1288">
        <v>18</v>
      </c>
      <c r="P9" s="30">
        <v>19</v>
      </c>
      <c r="Q9" s="31">
        <v>20</v>
      </c>
    </row>
    <row r="10" spans="1:17" s="26" customFormat="1" ht="18.75" thickBot="1">
      <c r="A10" s="380"/>
      <c r="B10" s="425" t="s">
        <v>129</v>
      </c>
      <c r="C10" s="381"/>
      <c r="D10" s="382"/>
      <c r="E10" s="426"/>
      <c r="F10" s="1207"/>
      <c r="G10" s="382"/>
      <c r="H10" s="1207"/>
      <c r="I10" s="381"/>
      <c r="J10" s="382"/>
      <c r="K10" s="948"/>
      <c r="L10" s="381"/>
      <c r="M10" s="382"/>
      <c r="N10" s="426"/>
      <c r="O10" s="1289"/>
      <c r="P10" s="9"/>
      <c r="Q10" s="10"/>
    </row>
    <row r="11" spans="1:17" s="173" customFormat="1" ht="17.25" customHeight="1" thickBot="1">
      <c r="A11" s="313">
        <v>1</v>
      </c>
      <c r="B11" s="305" t="s">
        <v>113</v>
      </c>
      <c r="C11" s="347">
        <v>207358</v>
      </c>
      <c r="D11" s="314">
        <v>254</v>
      </c>
      <c r="E11" s="315">
        <f>C11+D11</f>
        <v>207612</v>
      </c>
      <c r="F11" s="330">
        <v>135514</v>
      </c>
      <c r="G11" s="314">
        <v>8703</v>
      </c>
      <c r="H11" s="1296">
        <f>F11+G11</f>
        <v>144217</v>
      </c>
      <c r="I11" s="347">
        <f>'önállóan működő'!C11+'önállóan működő'!F11+'önállóan működő'!I11+'önállóan működő'!L11+'önállóan működő'!O11+'önállóan gazd.'!C11+'önállóan gazd.'!F11</f>
        <v>2252118</v>
      </c>
      <c r="J11" s="314">
        <f>'önállóan működő'!D11+'önállóan működő'!G11+'önállóan működő'!J11+'önállóan működő'!M11+'önállóan működő'!P11+'önállóan gazd.'!D11+'önállóan gazd.'!G11</f>
        <v>17229</v>
      </c>
      <c r="K11" s="320">
        <f>'önállóan működő'!E11+'önállóan működő'!H11+'önállóan működő'!K11+'önállóan működő'!N11+'önállóan működő'!Q11+'önállóan gazd.'!E11+'önállóan gazd.'!H11</f>
        <v>2269347</v>
      </c>
      <c r="L11" s="319">
        <v>1056037</v>
      </c>
      <c r="M11" s="314">
        <f>166+6639</f>
        <v>6805</v>
      </c>
      <c r="N11" s="315">
        <f>L11+M11</f>
        <v>1062842</v>
      </c>
      <c r="O11" s="432">
        <f aca="true" t="shared" si="0" ref="O11:O34">I11+L11</f>
        <v>3308155</v>
      </c>
      <c r="P11" s="290">
        <f aca="true" t="shared" si="1" ref="P11:P34">J11+M11</f>
        <v>24034</v>
      </c>
      <c r="Q11" s="288">
        <f aca="true" t="shared" si="2" ref="Q11:Q34">K11+N11</f>
        <v>3332189</v>
      </c>
    </row>
    <row r="12" spans="1:18" s="174" customFormat="1" ht="17.25" customHeight="1" thickBot="1">
      <c r="A12" s="317">
        <v>2</v>
      </c>
      <c r="B12" s="325" t="s">
        <v>202</v>
      </c>
      <c r="C12" s="347">
        <v>47682</v>
      </c>
      <c r="D12" s="314">
        <v>970</v>
      </c>
      <c r="E12" s="315">
        <f>SUM(C12:D12)</f>
        <v>48652</v>
      </c>
      <c r="F12" s="314">
        <v>29735</v>
      </c>
      <c r="G12" s="314">
        <v>1523</v>
      </c>
      <c r="H12" s="1295">
        <f>SUM(F12:G12)</f>
        <v>31258</v>
      </c>
      <c r="I12" s="347">
        <f>'önállóan működő'!C12+'önállóan működő'!F12+'önállóan működő'!I12+'önállóan működő'!L12+'önállóan működő'!O12+'önállóan gazd.'!C12+'önállóan gazd.'!F12</f>
        <v>516644</v>
      </c>
      <c r="J12" s="314">
        <f>'önállóan működő'!D12+'önállóan működő'!G12+'önállóan működő'!J12+'önállóan működő'!M12+'önállóan működő'!P12+'önállóan gazd.'!D12+'önállóan gazd.'!G12</f>
        <v>4656</v>
      </c>
      <c r="K12" s="320">
        <f>'önállóan működő'!E12+'önállóan működő'!H12+'önállóan működő'!K12+'önállóan működő'!N12+'önállóan működő'!Q12+'önállóan gazd.'!E12+'önállóan gazd.'!H12</f>
        <v>521300</v>
      </c>
      <c r="L12" s="319">
        <v>234485</v>
      </c>
      <c r="M12" s="314">
        <f>28-6222+55</f>
        <v>-6139</v>
      </c>
      <c r="N12" s="315">
        <f>SUM(L12:M12)</f>
        <v>228346</v>
      </c>
      <c r="O12" s="432">
        <f t="shared" si="0"/>
        <v>751129</v>
      </c>
      <c r="P12" s="290">
        <f t="shared" si="1"/>
        <v>-1483</v>
      </c>
      <c r="Q12" s="288">
        <f t="shared" si="2"/>
        <v>749646</v>
      </c>
      <c r="R12" s="229"/>
    </row>
    <row r="13" spans="1:17" s="200" customFormat="1" ht="17.25" customHeight="1" thickBot="1">
      <c r="A13" s="317">
        <v>3</v>
      </c>
      <c r="B13" s="305" t="s">
        <v>116</v>
      </c>
      <c r="C13" s="347">
        <v>686334</v>
      </c>
      <c r="D13" s="314">
        <v>30041</v>
      </c>
      <c r="E13" s="315">
        <f>C13+D13</f>
        <v>716375</v>
      </c>
      <c r="F13" s="316">
        <v>267951</v>
      </c>
      <c r="G13" s="314">
        <v>3683</v>
      </c>
      <c r="H13" s="1295">
        <f>F13+G13</f>
        <v>271634</v>
      </c>
      <c r="I13" s="347">
        <f>'önállóan működő'!C13+'önállóan működő'!F13+'önállóan működő'!I13+'önállóan működő'!L13+'önállóan működő'!O13+'önállóan gazd.'!C13+'önállóan gazd.'!F13</f>
        <v>1643988</v>
      </c>
      <c r="J13" s="314">
        <f>'önállóan működő'!D13+'önállóan működő'!G13+'önállóan működő'!J13+'önállóan működő'!M13+'önállóan működő'!P13+'önállóan gazd.'!D13+'önállóan gazd.'!G13</f>
        <v>33234</v>
      </c>
      <c r="K13" s="320">
        <f>'önállóan működő'!E13+'önállóan működő'!H13+'önállóan működő'!K13+'önállóan működő'!N13+'önállóan működő'!Q13+'önállóan gazd.'!E13+'önállóan gazd.'!H13</f>
        <v>1677222</v>
      </c>
      <c r="L13" s="319">
        <v>250626</v>
      </c>
      <c r="M13" s="314">
        <f>1211-10551+4360</f>
        <v>-4980</v>
      </c>
      <c r="N13" s="315">
        <f>L13+M13</f>
        <v>245646</v>
      </c>
      <c r="O13" s="432">
        <f t="shared" si="0"/>
        <v>1894614</v>
      </c>
      <c r="P13" s="290">
        <f t="shared" si="1"/>
        <v>28254</v>
      </c>
      <c r="Q13" s="288">
        <f t="shared" si="2"/>
        <v>1922868</v>
      </c>
    </row>
    <row r="14" spans="1:17" s="200" customFormat="1" ht="17.25" customHeight="1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30">
        <f>SUM(F14:G14)</f>
        <v>0</v>
      </c>
      <c r="I14" s="347">
        <f>'önállóan működő'!C14+'önállóan működő'!F14+'önállóan működő'!I14+'önállóan működő'!L14+'önállóan működő'!O14+'önállóan gazd.'!C14+'önállóan gazd.'!F14</f>
        <v>0</v>
      </c>
      <c r="J14" s="314">
        <f>'önállóan működő'!D14+'önállóan működő'!G14+'önállóan működő'!J14+'önállóan működő'!M14+'önállóan működő'!P14+'önállóan gazd.'!D14+'önállóan gazd.'!G14</f>
        <v>0</v>
      </c>
      <c r="K14" s="320">
        <f>'önállóan működő'!E14+'önállóan működő'!H14+'önállóan működő'!K14+'önállóan működő'!N14+'önállóan működő'!Q14+'önállóan gazd.'!E14+'önállóan gazd.'!H14</f>
        <v>0</v>
      </c>
      <c r="L14" s="319">
        <v>2736</v>
      </c>
      <c r="M14" s="316">
        <f>-2736+46</f>
        <v>-2690</v>
      </c>
      <c r="N14" s="320">
        <f>SUM(L14:M14)</f>
        <v>46</v>
      </c>
      <c r="O14" s="432">
        <f t="shared" si="0"/>
        <v>2736</v>
      </c>
      <c r="P14" s="290">
        <f t="shared" si="1"/>
        <v>-2690</v>
      </c>
      <c r="Q14" s="288">
        <f t="shared" si="2"/>
        <v>46</v>
      </c>
    </row>
    <row r="15" spans="1:17" s="173" customFormat="1" ht="17.25" customHeight="1">
      <c r="A15" s="156" t="s">
        <v>98</v>
      </c>
      <c r="B15" s="145" t="s">
        <v>383</v>
      </c>
      <c r="C15" s="227"/>
      <c r="D15" s="226"/>
      <c r="E15" s="240">
        <f>C15+D15</f>
        <v>0</v>
      </c>
      <c r="F15" s="239"/>
      <c r="G15" s="226"/>
      <c r="H15" s="1210">
        <f aca="true" t="shared" si="3" ref="H15:H22">F15+G15</f>
        <v>0</v>
      </c>
      <c r="I15" s="1074">
        <f>'önállóan működő'!C15+'önállóan működő'!F15+'önállóan működő'!I15+'önállóan működő'!L15+'önállóan működő'!O15+'önállóan gazd.'!C15+'önállóan gazd.'!F15</f>
        <v>0</v>
      </c>
      <c r="J15" s="226">
        <f>'önállóan működő'!D15+'önállóan működő'!G15+'önállóan működő'!J15+'önállóan működő'!M15+'önállóan működő'!P15+'önállóan gazd.'!D15+'önállóan gazd.'!G15</f>
        <v>0</v>
      </c>
      <c r="K15" s="228">
        <f>'önállóan működő'!E15+'önállóan működő'!H15+'önállóan működő'!K15+'önállóan működő'!N15+'önállóan működő'!Q15+'önállóan gazd.'!E15+'önállóan gazd.'!H15</f>
        <v>0</v>
      </c>
      <c r="L15" s="227"/>
      <c r="M15" s="226"/>
      <c r="N15" s="240">
        <f>L15+M15</f>
        <v>0</v>
      </c>
      <c r="O15" s="1290">
        <f t="shared" si="0"/>
        <v>0</v>
      </c>
      <c r="P15" s="301">
        <f t="shared" si="1"/>
        <v>0</v>
      </c>
      <c r="Q15" s="360">
        <f t="shared" si="2"/>
        <v>0</v>
      </c>
    </row>
    <row r="16" spans="1:17" s="173" customFormat="1" ht="17.25" customHeight="1">
      <c r="A16" s="153" t="s">
        <v>99</v>
      </c>
      <c r="B16" s="149" t="s">
        <v>626</v>
      </c>
      <c r="C16" s="143"/>
      <c r="D16" s="139"/>
      <c r="E16" s="240">
        <f>C16+D16</f>
        <v>0</v>
      </c>
      <c r="F16" s="141"/>
      <c r="G16" s="139"/>
      <c r="H16" s="1210">
        <f t="shared" si="3"/>
        <v>0</v>
      </c>
      <c r="I16" s="1074">
        <f>'önállóan működő'!C16+'önállóan működő'!F16+'önállóan működő'!I16+'önállóan működő'!L16+'önállóan működő'!O16+'önállóan gazd.'!C16+'önállóan gazd.'!F16</f>
        <v>0</v>
      </c>
      <c r="J16" s="226">
        <f>'önállóan működő'!D16+'önállóan működő'!G16+'önállóan működő'!J16+'önállóan működő'!M16+'önállóan működő'!P16+'önállóan gazd.'!D16+'önállóan gazd.'!G16</f>
        <v>0</v>
      </c>
      <c r="K16" s="228">
        <f>'önállóan működő'!E16+'önállóan működő'!H16+'önállóan működő'!K16+'önállóan működő'!N16+'önállóan működő'!Q16+'önállóan gazd.'!E16+'önállóan gazd.'!H16</f>
        <v>0</v>
      </c>
      <c r="L16" s="143"/>
      <c r="M16" s="139"/>
      <c r="N16" s="240">
        <f>L16+M16</f>
        <v>0</v>
      </c>
      <c r="O16" s="1290">
        <f t="shared" si="0"/>
        <v>0</v>
      </c>
      <c r="P16" s="301">
        <f t="shared" si="1"/>
        <v>0</v>
      </c>
      <c r="Q16" s="360">
        <f t="shared" si="2"/>
        <v>0</v>
      </c>
    </row>
    <row r="17" spans="1:17" s="173" customFormat="1" ht="17.25" customHeight="1">
      <c r="A17" s="153" t="s">
        <v>100</v>
      </c>
      <c r="B17" s="149" t="s">
        <v>627</v>
      </c>
      <c r="C17" s="143"/>
      <c r="D17" s="139"/>
      <c r="E17" s="240">
        <f aca="true" t="shared" si="4" ref="E17:E22">C17+D17</f>
        <v>0</v>
      </c>
      <c r="F17" s="141"/>
      <c r="G17" s="139"/>
      <c r="H17" s="1210">
        <f t="shared" si="3"/>
        <v>0</v>
      </c>
      <c r="I17" s="1074">
        <f>'önállóan működő'!C17+'önállóan működő'!F17+'önállóan működő'!I17+'önállóan működő'!L17+'önállóan működő'!O17+'önállóan gazd.'!C17+'önállóan gazd.'!F17</f>
        <v>0</v>
      </c>
      <c r="J17" s="226">
        <f>'önállóan működő'!D17+'önállóan működő'!G17+'önállóan működő'!J17+'önállóan működő'!M17+'önállóan működő'!P17+'önállóan gazd.'!D17+'önállóan gazd.'!G17</f>
        <v>0</v>
      </c>
      <c r="K17" s="228">
        <f>'önállóan működő'!E17+'önállóan működő'!H17+'önállóan működő'!K17+'önállóan működő'!N17+'önállóan működő'!Q17+'önállóan gazd.'!E17+'önállóan gazd.'!H17</f>
        <v>0</v>
      </c>
      <c r="L17" s="143"/>
      <c r="M17" s="139"/>
      <c r="N17" s="240">
        <f aca="true" t="shared" si="5" ref="N17:N22">L17+M17</f>
        <v>0</v>
      </c>
      <c r="O17" s="1290">
        <f t="shared" si="0"/>
        <v>0</v>
      </c>
      <c r="P17" s="301">
        <f t="shared" si="1"/>
        <v>0</v>
      </c>
      <c r="Q17" s="360">
        <f t="shared" si="2"/>
        <v>0</v>
      </c>
    </row>
    <row r="18" spans="1:17" s="173" customFormat="1" ht="17.25" customHeight="1">
      <c r="A18" s="153" t="s">
        <v>101</v>
      </c>
      <c r="B18" s="147" t="s">
        <v>384</v>
      </c>
      <c r="C18" s="143"/>
      <c r="D18" s="139"/>
      <c r="E18" s="240">
        <f t="shared" si="4"/>
        <v>0</v>
      </c>
      <c r="F18" s="141"/>
      <c r="G18" s="139"/>
      <c r="H18" s="1210">
        <f t="shared" si="3"/>
        <v>0</v>
      </c>
      <c r="I18" s="1074">
        <f>'önállóan működő'!C18+'önállóan működő'!F18+'önállóan működő'!I18+'önállóan működő'!L18+'önállóan működő'!O18+'önállóan gazd.'!C18+'önállóan gazd.'!F18</f>
        <v>0</v>
      </c>
      <c r="J18" s="226">
        <f>'önállóan működő'!D18+'önállóan működő'!G18+'önállóan működő'!J18+'önállóan működő'!M18+'önállóan működő'!P18+'önállóan gazd.'!D18+'önállóan gazd.'!G18</f>
        <v>0</v>
      </c>
      <c r="K18" s="228">
        <f>'önállóan működő'!E18+'önállóan működő'!H18+'önállóan működő'!K18+'önállóan működő'!N18+'önállóan működő'!Q18+'önállóan gazd.'!E18+'önállóan gazd.'!H18</f>
        <v>0</v>
      </c>
      <c r="L18" s="143">
        <v>78</v>
      </c>
      <c r="M18" s="139">
        <v>116</v>
      </c>
      <c r="N18" s="240">
        <f t="shared" si="5"/>
        <v>194</v>
      </c>
      <c r="O18" s="1290">
        <f t="shared" si="0"/>
        <v>78</v>
      </c>
      <c r="P18" s="301">
        <f t="shared" si="1"/>
        <v>116</v>
      </c>
      <c r="Q18" s="360">
        <f t="shared" si="2"/>
        <v>194</v>
      </c>
    </row>
    <row r="19" spans="1:17" s="173" customFormat="1" ht="17.25" customHeight="1">
      <c r="A19" s="148" t="s">
        <v>192</v>
      </c>
      <c r="B19" s="149" t="s">
        <v>628</v>
      </c>
      <c r="C19" s="141"/>
      <c r="D19" s="139"/>
      <c r="E19" s="240">
        <f>C19+D19</f>
        <v>0</v>
      </c>
      <c r="F19" s="141"/>
      <c r="G19" s="139"/>
      <c r="H19" s="1210">
        <f t="shared" si="3"/>
        <v>0</v>
      </c>
      <c r="I19" s="1074">
        <f>'önállóan működő'!C19+'önállóan működő'!F19+'önállóan működő'!I19+'önállóan működő'!L19+'önállóan működő'!O19+'önállóan gazd.'!C19+'önállóan gazd.'!F19</f>
        <v>0</v>
      </c>
      <c r="J19" s="226">
        <f>'önállóan működő'!D19+'önállóan működő'!G19+'önállóan működő'!J19+'önállóan működő'!M19+'önállóan működő'!P19+'önállóan gazd.'!D19+'önállóan gazd.'!G19</f>
        <v>0</v>
      </c>
      <c r="K19" s="228">
        <f>'önállóan működő'!E19+'önállóan működő'!H19+'önállóan működő'!K19+'önállóan működő'!N19+'önállóan működő'!Q19+'önállóan gazd.'!E19+'önállóan gazd.'!H19</f>
        <v>0</v>
      </c>
      <c r="L19" s="143"/>
      <c r="M19" s="139"/>
      <c r="N19" s="240">
        <f>L19+M19</f>
        <v>0</v>
      </c>
      <c r="O19" s="1290">
        <f t="shared" si="0"/>
        <v>0</v>
      </c>
      <c r="P19" s="301">
        <f t="shared" si="1"/>
        <v>0</v>
      </c>
      <c r="Q19" s="360">
        <f t="shared" si="2"/>
        <v>0</v>
      </c>
    </row>
    <row r="20" spans="1:17" s="173" customFormat="1" ht="17.25" customHeight="1">
      <c r="A20" s="148" t="s">
        <v>339</v>
      </c>
      <c r="B20" s="149" t="s">
        <v>629</v>
      </c>
      <c r="C20" s="141"/>
      <c r="D20" s="139"/>
      <c r="E20" s="240">
        <f t="shared" si="4"/>
        <v>0</v>
      </c>
      <c r="F20" s="141"/>
      <c r="G20" s="139"/>
      <c r="H20" s="1210">
        <f t="shared" si="3"/>
        <v>0</v>
      </c>
      <c r="I20" s="1074">
        <f>'önállóan működő'!C20+'önállóan működő'!F20+'önállóan működő'!I20+'önállóan működő'!L20+'önállóan működő'!O20+'önállóan gazd.'!C20+'önállóan gazd.'!F20</f>
        <v>0</v>
      </c>
      <c r="J20" s="226">
        <f>'önállóan működő'!D20+'önállóan működő'!G20+'önállóan működő'!J20+'önállóan működő'!M20+'önállóan működő'!P20+'önállóan gazd.'!D20+'önállóan gazd.'!G20</f>
        <v>0</v>
      </c>
      <c r="K20" s="228">
        <f>'önállóan működő'!E20+'önállóan működő'!H20+'önállóan működő'!K20+'önállóan működő'!N20+'önállóan működő'!Q20+'önállóan gazd.'!E20+'önállóan gazd.'!H20</f>
        <v>0</v>
      </c>
      <c r="L20" s="143"/>
      <c r="M20" s="139"/>
      <c r="N20" s="240">
        <f t="shared" si="5"/>
        <v>0</v>
      </c>
      <c r="O20" s="1290">
        <f t="shared" si="0"/>
        <v>0</v>
      </c>
      <c r="P20" s="301">
        <f t="shared" si="1"/>
        <v>0</v>
      </c>
      <c r="Q20" s="360">
        <f t="shared" si="2"/>
        <v>0</v>
      </c>
    </row>
    <row r="21" spans="1:17" s="173" customFormat="1" ht="17.25" customHeight="1">
      <c r="A21" s="148" t="s">
        <v>340</v>
      </c>
      <c r="B21" s="147" t="s">
        <v>385</v>
      </c>
      <c r="C21" s="885"/>
      <c r="D21" s="139"/>
      <c r="E21" s="360">
        <f t="shared" si="4"/>
        <v>0</v>
      </c>
      <c r="F21" s="885"/>
      <c r="G21" s="139"/>
      <c r="H21" s="1208">
        <f t="shared" si="3"/>
        <v>0</v>
      </c>
      <c r="I21" s="1074">
        <f>'önállóan működő'!C21+'önállóan működő'!F21+'önállóan működő'!I21+'önállóan működő'!L21+'önállóan működő'!O21+'önállóan gazd.'!C21+'önállóan gazd.'!F21</f>
        <v>0</v>
      </c>
      <c r="J21" s="226">
        <f>'önállóan működő'!D21+'önállóan működő'!G21+'önállóan működő'!J21+'önállóan működő'!M21+'önállóan működő'!P21+'önállóan gazd.'!D21+'önállóan gazd.'!G21</f>
        <v>0</v>
      </c>
      <c r="K21" s="228">
        <f>'önállóan működő'!E21+'önállóan működő'!H21+'önállóan működő'!K21+'önállóan működő'!N21+'önállóan működő'!Q21+'önállóan gazd.'!E21+'önállóan gazd.'!H21</f>
        <v>0</v>
      </c>
      <c r="L21" s="143">
        <v>336</v>
      </c>
      <c r="M21" s="139">
        <v>323</v>
      </c>
      <c r="N21" s="240">
        <f t="shared" si="5"/>
        <v>659</v>
      </c>
      <c r="O21" s="1290">
        <f t="shared" si="0"/>
        <v>336</v>
      </c>
      <c r="P21" s="301">
        <f t="shared" si="1"/>
        <v>323</v>
      </c>
      <c r="Q21" s="360">
        <f t="shared" si="2"/>
        <v>659</v>
      </c>
    </row>
    <row r="22" spans="1:17" s="173" customFormat="1" ht="15" customHeight="1" thickBot="1">
      <c r="A22" s="16" t="s">
        <v>69</v>
      </c>
      <c r="B22" s="334" t="s">
        <v>386</v>
      </c>
      <c r="C22" s="886"/>
      <c r="D22" s="151"/>
      <c r="E22" s="360">
        <f t="shared" si="4"/>
        <v>0</v>
      </c>
      <c r="F22" s="886"/>
      <c r="G22" s="151"/>
      <c r="H22" s="1208">
        <f t="shared" si="3"/>
        <v>0</v>
      </c>
      <c r="I22" s="1074">
        <f>'önállóan működő'!C22+'önállóan működő'!F22+'önállóan működő'!I22+'önállóan működő'!L22+'önállóan működő'!O22+'önállóan gazd.'!C22+'önállóan gazd.'!F22</f>
        <v>0</v>
      </c>
      <c r="J22" s="226">
        <f>'önállóan működő'!D22+'önállóan működő'!G22+'önállóan működő'!J22+'önállóan működő'!M22+'önállóan működő'!P22+'önállóan gazd.'!D22+'önállóan gazd.'!G22</f>
        <v>0</v>
      </c>
      <c r="K22" s="228">
        <f>'önállóan működő'!E22+'önállóan működő'!H22+'önállóan működő'!K22+'önállóan működő'!N22+'önállóan működő'!Q22+'önállóan gazd.'!E22+'önállóan gazd.'!H22</f>
        <v>0</v>
      </c>
      <c r="L22" s="907"/>
      <c r="M22" s="151"/>
      <c r="N22" s="360">
        <f t="shared" si="5"/>
        <v>0</v>
      </c>
      <c r="O22" s="1290">
        <f t="shared" si="0"/>
        <v>0</v>
      </c>
      <c r="P22" s="301">
        <f t="shared" si="1"/>
        <v>0</v>
      </c>
      <c r="Q22" s="360">
        <f t="shared" si="2"/>
        <v>0</v>
      </c>
    </row>
    <row r="23" spans="1:17" s="200" customFormat="1" ht="17.25" customHeight="1" thickBot="1">
      <c r="A23" s="317">
        <v>5</v>
      </c>
      <c r="B23" s="305" t="s">
        <v>171</v>
      </c>
      <c r="C23" s="330">
        <f aca="true" t="shared" si="6" ref="C23:N23">SUM(C15:C22)</f>
        <v>0</v>
      </c>
      <c r="D23" s="314">
        <f t="shared" si="6"/>
        <v>0</v>
      </c>
      <c r="E23" s="330">
        <f t="shared" si="6"/>
        <v>0</v>
      </c>
      <c r="F23" s="347">
        <f>SUM(F15:F22)</f>
        <v>0</v>
      </c>
      <c r="G23" s="314">
        <f>SUM(G15:G22)</f>
        <v>0</v>
      </c>
      <c r="H23" s="330">
        <f>SUM(H15:H22)</f>
        <v>0</v>
      </c>
      <c r="I23" s="347">
        <f t="shared" si="6"/>
        <v>0</v>
      </c>
      <c r="J23" s="314">
        <f t="shared" si="6"/>
        <v>0</v>
      </c>
      <c r="K23" s="320">
        <f t="shared" si="6"/>
        <v>0</v>
      </c>
      <c r="L23" s="347">
        <f t="shared" si="6"/>
        <v>414</v>
      </c>
      <c r="M23" s="314">
        <f t="shared" si="6"/>
        <v>439</v>
      </c>
      <c r="N23" s="320">
        <f t="shared" si="6"/>
        <v>853</v>
      </c>
      <c r="O23" s="432">
        <f t="shared" si="0"/>
        <v>414</v>
      </c>
      <c r="P23" s="290">
        <f t="shared" si="1"/>
        <v>439</v>
      </c>
      <c r="Q23" s="288">
        <f t="shared" si="2"/>
        <v>853</v>
      </c>
    </row>
    <row r="24" spans="1:17" s="173" customFormat="1" ht="17.25" customHeight="1" thickBot="1">
      <c r="A24" s="313">
        <v>6</v>
      </c>
      <c r="B24" s="305" t="s">
        <v>174</v>
      </c>
      <c r="C24" s="318">
        <v>8571</v>
      </c>
      <c r="D24" s="314"/>
      <c r="E24" s="288">
        <f aca="true" t="shared" si="7" ref="E24:E30">C24+D24</f>
        <v>8571</v>
      </c>
      <c r="F24" s="330">
        <v>24468</v>
      </c>
      <c r="G24" s="314">
        <v>-1073</v>
      </c>
      <c r="H24" s="1296">
        <f aca="true" t="shared" si="8" ref="H24:H30">F24+G24</f>
        <v>23395</v>
      </c>
      <c r="I24" s="347">
        <f>'önállóan működő'!C24+'önállóan működő'!F24+'önállóan működő'!I24+'önállóan működő'!L24+'önállóan működő'!O24+'önállóan gazd.'!C24+'önállóan gazd.'!F24</f>
        <v>85829</v>
      </c>
      <c r="J24" s="314">
        <f>'önállóan működő'!D24+'önállóan működő'!G24+'önállóan működő'!J24+'önállóan működő'!M24+'önállóan működő'!P24+'önállóan gazd.'!D24+'önállóan gazd.'!G24</f>
        <v>1951</v>
      </c>
      <c r="K24" s="320">
        <f>'önállóan működő'!E24+'önállóan működő'!H24+'önállóan működő'!K24+'önállóan működő'!N24+'önállóan működő'!Q24+'önállóan gazd.'!E24+'önállóan gazd.'!H24</f>
        <v>87780</v>
      </c>
      <c r="L24" s="347">
        <v>35657</v>
      </c>
      <c r="M24" s="314">
        <f>-3519+8479+320</f>
        <v>5280</v>
      </c>
      <c r="N24" s="288">
        <f aca="true" t="shared" si="9" ref="N24:N30">L24+M24</f>
        <v>40937</v>
      </c>
      <c r="O24" s="432">
        <f t="shared" si="0"/>
        <v>121486</v>
      </c>
      <c r="P24" s="290">
        <f t="shared" si="1"/>
        <v>7231</v>
      </c>
      <c r="Q24" s="288">
        <f t="shared" si="2"/>
        <v>128717</v>
      </c>
    </row>
    <row r="25" spans="1:17" s="200" customFormat="1" ht="17.25" customHeight="1" thickBot="1">
      <c r="A25" s="313">
        <v>7</v>
      </c>
      <c r="B25" s="305" t="s">
        <v>435</v>
      </c>
      <c r="C25" s="347"/>
      <c r="D25" s="314"/>
      <c r="E25" s="288">
        <f t="shared" si="7"/>
        <v>0</v>
      </c>
      <c r="F25" s="330"/>
      <c r="G25" s="314">
        <v>10185</v>
      </c>
      <c r="H25" s="1296">
        <f t="shared" si="8"/>
        <v>10185</v>
      </c>
      <c r="I25" s="347">
        <f>'önállóan működő'!C25+'önállóan működő'!F25+'önállóan működő'!I25+'önállóan működő'!L25+'önállóan működő'!O25+'önállóan gazd.'!C25+'önállóan gazd.'!F25</f>
        <v>0</v>
      </c>
      <c r="J25" s="314">
        <f>'önállóan működő'!D25+'önállóan működő'!G25+'önállóan működő'!J25+'önállóan működő'!M25+'önállóan működő'!P25+'önállóan gazd.'!D25+'önállóan gazd.'!G25</f>
        <v>10185</v>
      </c>
      <c r="K25" s="320">
        <f>'önállóan működő'!E25+'önállóan működő'!H25+'önállóan működő'!K25+'önállóan működő'!N25+'önállóan működő'!Q25+'önállóan gazd.'!E25+'önállóan gazd.'!H25</f>
        <v>10185</v>
      </c>
      <c r="L25" s="347">
        <v>2540</v>
      </c>
      <c r="M25" s="314"/>
      <c r="N25" s="288">
        <f t="shared" si="9"/>
        <v>2540</v>
      </c>
      <c r="O25" s="432">
        <f t="shared" si="0"/>
        <v>2540</v>
      </c>
      <c r="P25" s="290">
        <f t="shared" si="1"/>
        <v>10185</v>
      </c>
      <c r="Q25" s="288">
        <f t="shared" si="2"/>
        <v>12725</v>
      </c>
    </row>
    <row r="26" spans="1:17" s="173" customFormat="1" ht="17.25" customHeight="1">
      <c r="A26" s="156" t="s">
        <v>98</v>
      </c>
      <c r="B26" s="149" t="s">
        <v>632</v>
      </c>
      <c r="C26" s="1074"/>
      <c r="D26" s="226"/>
      <c r="E26" s="360">
        <f t="shared" si="7"/>
        <v>0</v>
      </c>
      <c r="F26" s="887"/>
      <c r="G26" s="226"/>
      <c r="H26" s="1208">
        <f t="shared" si="8"/>
        <v>0</v>
      </c>
      <c r="I26" s="1074">
        <f>'önállóan működő'!C26+'önállóan működő'!F26+'önállóan működő'!I26+'önállóan működő'!L26+'önállóan működő'!O26+'önállóan gazd.'!C26+'önállóan gazd.'!F26</f>
        <v>0</v>
      </c>
      <c r="J26" s="226">
        <f>'önállóan működő'!D26+'önállóan működő'!G26+'önállóan működő'!J26+'önállóan működő'!M26+'önállóan működő'!P26+'önállóan gazd.'!D26+'önállóan gazd.'!G26</f>
        <v>0</v>
      </c>
      <c r="K26" s="228">
        <f>'önállóan működő'!E26+'önállóan működő'!H26+'önállóan működő'!K26+'önállóan működő'!N26+'önállóan működő'!Q26+'önállóan gazd.'!E26+'önállóan gazd.'!H26</f>
        <v>0</v>
      </c>
      <c r="L26" s="1074"/>
      <c r="M26" s="226"/>
      <c r="N26" s="360">
        <f t="shared" si="9"/>
        <v>0</v>
      </c>
      <c r="O26" s="1290">
        <f t="shared" si="0"/>
        <v>0</v>
      </c>
      <c r="P26" s="301">
        <f t="shared" si="1"/>
        <v>0</v>
      </c>
      <c r="Q26" s="360">
        <f t="shared" si="2"/>
        <v>0</v>
      </c>
    </row>
    <row r="27" spans="1:17" s="173" customFormat="1" ht="17.25" customHeight="1">
      <c r="A27" s="156" t="s">
        <v>99</v>
      </c>
      <c r="B27" s="149" t="s">
        <v>630</v>
      </c>
      <c r="C27" s="1074"/>
      <c r="D27" s="226"/>
      <c r="E27" s="360">
        <f t="shared" si="7"/>
        <v>0</v>
      </c>
      <c r="F27" s="887"/>
      <c r="G27" s="226"/>
      <c r="H27" s="1208">
        <f t="shared" si="8"/>
        <v>0</v>
      </c>
      <c r="I27" s="1074">
        <f>'önállóan működő'!C27+'önállóan működő'!F27+'önállóan működő'!I27+'önállóan működő'!L27+'önállóan működő'!O27+'önállóan gazd.'!C27+'önállóan gazd.'!F27</f>
        <v>0</v>
      </c>
      <c r="J27" s="226">
        <f>'önállóan működő'!D27+'önállóan működő'!G27+'önállóan működő'!J27+'önállóan működő'!M27+'önállóan működő'!P27+'önállóan gazd.'!D27+'önállóan gazd.'!G27</f>
        <v>0</v>
      </c>
      <c r="K27" s="228">
        <f>'önállóan működő'!E27+'önállóan működő'!H27+'önállóan működő'!K27+'önállóan működő'!N27+'önállóan működő'!Q27+'önállóan gazd.'!E27+'önállóan gazd.'!H27</f>
        <v>0</v>
      </c>
      <c r="L27" s="1074"/>
      <c r="M27" s="226"/>
      <c r="N27" s="360">
        <f t="shared" si="9"/>
        <v>0</v>
      </c>
      <c r="O27" s="1290">
        <f t="shared" si="0"/>
        <v>0</v>
      </c>
      <c r="P27" s="301">
        <f t="shared" si="1"/>
        <v>0</v>
      </c>
      <c r="Q27" s="360">
        <f t="shared" si="2"/>
        <v>0</v>
      </c>
    </row>
    <row r="28" spans="1:17" s="173" customFormat="1" ht="17.25" customHeight="1">
      <c r="A28" s="156" t="s">
        <v>100</v>
      </c>
      <c r="B28" s="147" t="s">
        <v>387</v>
      </c>
      <c r="C28" s="1074"/>
      <c r="D28" s="226"/>
      <c r="E28" s="360">
        <f t="shared" si="7"/>
        <v>0</v>
      </c>
      <c r="F28" s="887"/>
      <c r="G28" s="226"/>
      <c r="H28" s="1208">
        <f t="shared" si="8"/>
        <v>0</v>
      </c>
      <c r="I28" s="1074">
        <f>'önállóan működő'!C28+'önállóan működő'!F28+'önállóan működő'!I28+'önállóan működő'!L28+'önállóan működő'!O28+'önállóan gazd.'!C28+'önállóan gazd.'!F28</f>
        <v>0</v>
      </c>
      <c r="J28" s="226">
        <f>'önállóan működő'!D28+'önállóan működő'!G28+'önállóan működő'!J28+'önállóan működő'!M28+'önállóan működő'!P28+'önállóan gazd.'!D28+'önállóan gazd.'!G28</f>
        <v>0</v>
      </c>
      <c r="K28" s="228">
        <f>'önállóan működő'!E28+'önállóan működő'!H28+'önállóan működő'!K28+'önállóan működő'!N28+'önállóan működő'!Q28+'önállóan gazd.'!E28+'önállóan gazd.'!H28</f>
        <v>0</v>
      </c>
      <c r="L28" s="1074"/>
      <c r="M28" s="226"/>
      <c r="N28" s="360">
        <f t="shared" si="9"/>
        <v>0</v>
      </c>
      <c r="O28" s="1290">
        <f t="shared" si="0"/>
        <v>0</v>
      </c>
      <c r="P28" s="301">
        <f t="shared" si="1"/>
        <v>0</v>
      </c>
      <c r="Q28" s="360">
        <f t="shared" si="2"/>
        <v>0</v>
      </c>
    </row>
    <row r="29" spans="1:17" s="173" customFormat="1" ht="17.25" customHeight="1">
      <c r="A29" s="156" t="s">
        <v>101</v>
      </c>
      <c r="B29" s="149" t="s">
        <v>631</v>
      </c>
      <c r="C29" s="1074"/>
      <c r="D29" s="226"/>
      <c r="E29" s="1208">
        <f t="shared" si="7"/>
        <v>0</v>
      </c>
      <c r="F29" s="143"/>
      <c r="G29" s="139"/>
      <c r="H29" s="433">
        <f t="shared" si="8"/>
        <v>0</v>
      </c>
      <c r="I29" s="1074">
        <f>'önállóan működő'!C29+'önállóan működő'!F29+'önállóan működő'!I29+'önállóan működő'!L29+'önállóan működő'!O29+'önállóan gazd.'!C29+'önállóan gazd.'!F29</f>
        <v>0</v>
      </c>
      <c r="J29" s="226">
        <f>'önállóan működő'!D29+'önállóan működő'!G29+'önállóan működő'!J29+'önállóan működő'!M29+'önállóan működő'!P29+'önállóan gazd.'!D29+'önállóan gazd.'!G29</f>
        <v>0</v>
      </c>
      <c r="K29" s="228">
        <f>'önállóan működő'!E29+'önállóan működő'!H29+'önállóan működő'!K29+'önállóan működő'!N29+'önállóan működő'!Q29+'önállóan gazd.'!E29+'önállóan gazd.'!H29</f>
        <v>0</v>
      </c>
      <c r="L29" s="1074"/>
      <c r="M29" s="226"/>
      <c r="N29" s="360">
        <f t="shared" si="9"/>
        <v>0</v>
      </c>
      <c r="O29" s="1290">
        <f t="shared" si="0"/>
        <v>0</v>
      </c>
      <c r="P29" s="301">
        <f t="shared" si="1"/>
        <v>0</v>
      </c>
      <c r="Q29" s="360">
        <f t="shared" si="2"/>
        <v>0</v>
      </c>
    </row>
    <row r="30" spans="1:17" s="173" customFormat="1" ht="17.25" customHeight="1" thickBot="1">
      <c r="A30" s="335" t="s">
        <v>192</v>
      </c>
      <c r="B30" s="147" t="s">
        <v>388</v>
      </c>
      <c r="C30" s="1075"/>
      <c r="D30" s="321"/>
      <c r="E30" s="1209">
        <f t="shared" si="7"/>
        <v>0</v>
      </c>
      <c r="F30" s="323"/>
      <c r="G30" s="321"/>
      <c r="H30" s="361">
        <f t="shared" si="8"/>
        <v>0</v>
      </c>
      <c r="I30" s="1074">
        <f>'önállóan működő'!C30+'önállóan működő'!F30+'önállóan működő'!I30+'önállóan működő'!L30+'önállóan működő'!O30+'önállóan gazd.'!C30+'önállóan gazd.'!F30</f>
        <v>0</v>
      </c>
      <c r="J30" s="226">
        <f>'önállóan működő'!D30+'önállóan működő'!G30+'önállóan működő'!J30+'önállóan működő'!M30+'önállóan működő'!P30+'önállóan gazd.'!D30+'önállóan gazd.'!G30</f>
        <v>0</v>
      </c>
      <c r="K30" s="228">
        <f>'önállóan működő'!E30+'önállóan működő'!H30+'önállóan működő'!K30+'önállóan működő'!N30+'önállóan működő'!Q30+'önállóan gazd.'!E30+'önállóan gazd.'!H30</f>
        <v>0</v>
      </c>
      <c r="L30" s="1075"/>
      <c r="M30" s="321"/>
      <c r="N30" s="361">
        <f t="shared" si="9"/>
        <v>0</v>
      </c>
      <c r="O30" s="1290">
        <f t="shared" si="0"/>
        <v>0</v>
      </c>
      <c r="P30" s="301">
        <f t="shared" si="1"/>
        <v>0</v>
      </c>
      <c r="Q30" s="360">
        <f t="shared" si="2"/>
        <v>0</v>
      </c>
    </row>
    <row r="31" spans="1:17" s="200" customFormat="1" ht="17.25" customHeight="1" thickBot="1">
      <c r="A31" s="313">
        <v>8</v>
      </c>
      <c r="B31" s="305" t="s">
        <v>173</v>
      </c>
      <c r="C31" s="347">
        <f aca="true" t="shared" si="10" ref="C31:N31">SUM(C26:C30)</f>
        <v>0</v>
      </c>
      <c r="D31" s="314">
        <f t="shared" si="10"/>
        <v>0</v>
      </c>
      <c r="E31" s="330">
        <f t="shared" si="10"/>
        <v>0</v>
      </c>
      <c r="F31" s="319">
        <f t="shared" si="10"/>
        <v>0</v>
      </c>
      <c r="G31" s="314">
        <f t="shared" si="10"/>
        <v>0</v>
      </c>
      <c r="H31" s="320">
        <f t="shared" si="10"/>
        <v>0</v>
      </c>
      <c r="I31" s="347">
        <f t="shared" si="10"/>
        <v>0</v>
      </c>
      <c r="J31" s="314">
        <f t="shared" si="10"/>
        <v>0</v>
      </c>
      <c r="K31" s="320">
        <f t="shared" si="10"/>
        <v>0</v>
      </c>
      <c r="L31" s="347">
        <f t="shared" si="10"/>
        <v>0</v>
      </c>
      <c r="M31" s="314">
        <f t="shared" si="10"/>
        <v>0</v>
      </c>
      <c r="N31" s="320">
        <f t="shared" si="10"/>
        <v>0</v>
      </c>
      <c r="O31" s="432">
        <f t="shared" si="0"/>
        <v>0</v>
      </c>
      <c r="P31" s="290">
        <f t="shared" si="1"/>
        <v>0</v>
      </c>
      <c r="Q31" s="288">
        <f t="shared" si="2"/>
        <v>0</v>
      </c>
    </row>
    <row r="32" spans="1:17" s="173" customFormat="1" ht="17.25" customHeight="1" thickBot="1">
      <c r="A32" s="313">
        <v>9</v>
      </c>
      <c r="B32" s="305" t="s">
        <v>179</v>
      </c>
      <c r="C32" s="347"/>
      <c r="D32" s="314"/>
      <c r="E32" s="1296">
        <f>C32+D32</f>
        <v>0</v>
      </c>
      <c r="F32" s="319"/>
      <c r="G32" s="314"/>
      <c r="H32" s="288">
        <f>F32+G32</f>
        <v>0</v>
      </c>
      <c r="I32" s="347">
        <f>'önállóan működő'!C32+'önállóan működő'!F32+'önállóan működő'!I32+'önállóan működő'!L32+'önállóan működő'!O32+'önállóan gazd.'!C32+'önállóan gazd.'!F32</f>
        <v>0</v>
      </c>
      <c r="J32" s="314">
        <f>'önállóan működő'!D32+'önállóan működő'!G32+'önállóan működő'!J32+'önállóan működő'!M32+'önállóan működő'!P32+'önállóan gazd.'!D32+'önállóan gazd.'!G32</f>
        <v>0</v>
      </c>
      <c r="K32" s="320">
        <f>'önállóan működő'!E32+'önállóan működő'!H32+'önállóan működő'!K32+'önállóan működő'!N32+'önállóan működő'!Q32+'önállóan gazd.'!E32+'önállóan gazd.'!H32</f>
        <v>0</v>
      </c>
      <c r="L32" s="347"/>
      <c r="M32" s="314"/>
      <c r="N32" s="288">
        <f>L32+M32</f>
        <v>0</v>
      </c>
      <c r="O32" s="432">
        <f t="shared" si="0"/>
        <v>0</v>
      </c>
      <c r="P32" s="290">
        <f t="shared" si="1"/>
        <v>0</v>
      </c>
      <c r="Q32" s="288">
        <f t="shared" si="2"/>
        <v>0</v>
      </c>
    </row>
    <row r="33" spans="1:17" s="152" customFormat="1" ht="17.25" customHeight="1" thickBot="1">
      <c r="A33" s="367">
        <v>10</v>
      </c>
      <c r="B33" s="368"/>
      <c r="C33" s="158"/>
      <c r="D33" s="369"/>
      <c r="E33" s="293">
        <f>SUM(C33:D33)</f>
        <v>0</v>
      </c>
      <c r="F33" s="1306"/>
      <c r="G33" s="369"/>
      <c r="H33" s="1106">
        <f>SUM(F33:G33)</f>
        <v>0</v>
      </c>
      <c r="I33" s="1090">
        <f>'önállóan működő'!C33+'önállóan működő'!F33+'önállóan működő'!I33+'önállóan működő'!L33+'önállóan működő'!O33+'önállóan gazd.'!C33+'önállóan gazd.'!F33</f>
        <v>0</v>
      </c>
      <c r="J33" s="375">
        <f>'önállóan működő'!D33+'önállóan működő'!G33+'önállóan működő'!J33+'önállóan működő'!M33+'önállóan működő'!P33+'önállóan gazd.'!D33+'önállóan gazd.'!G33</f>
        <v>0</v>
      </c>
      <c r="K33" s="376">
        <f>'önállóan működő'!E33+'önállóan működő'!H33+'önállóan működő'!K33+'önállóan működő'!N33+'önállóan működő'!Q33+'önállóan gazd.'!E33+'önállóan gazd.'!H33</f>
        <v>0</v>
      </c>
      <c r="L33" s="158"/>
      <c r="M33" s="369"/>
      <c r="N33" s="1106">
        <f>SUM(L33:M33)</f>
        <v>0</v>
      </c>
      <c r="O33" s="432">
        <f t="shared" si="0"/>
        <v>0</v>
      </c>
      <c r="P33" s="290">
        <f t="shared" si="1"/>
        <v>0</v>
      </c>
      <c r="Q33" s="288">
        <f t="shared" si="2"/>
        <v>0</v>
      </c>
    </row>
    <row r="34" spans="1:18" s="160" customFormat="1" ht="17.25" customHeight="1" thickBot="1" thickTop="1">
      <c r="A34" s="343" t="s">
        <v>108</v>
      </c>
      <c r="B34" s="366" t="s">
        <v>180</v>
      </c>
      <c r="C34" s="365">
        <f aca="true" t="shared" si="11" ref="C34:K34">C11+C12+C13+C23+C14+C31+C25+C24+C32+C33</f>
        <v>949945</v>
      </c>
      <c r="D34" s="344">
        <f t="shared" si="11"/>
        <v>31265</v>
      </c>
      <c r="E34" s="778">
        <f t="shared" si="11"/>
        <v>981210</v>
      </c>
      <c r="F34" s="364">
        <f t="shared" si="11"/>
        <v>457668</v>
      </c>
      <c r="G34" s="344">
        <f t="shared" si="11"/>
        <v>23021</v>
      </c>
      <c r="H34" s="374">
        <f t="shared" si="11"/>
        <v>480689</v>
      </c>
      <c r="I34" s="365">
        <f t="shared" si="11"/>
        <v>4498579</v>
      </c>
      <c r="J34" s="344">
        <f t="shared" si="11"/>
        <v>67255</v>
      </c>
      <c r="K34" s="374">
        <f t="shared" si="11"/>
        <v>4565834</v>
      </c>
      <c r="L34" s="365">
        <f>L11+L12+L13+L23+L14+L31+L25+L24+L32+L33</f>
        <v>1582495</v>
      </c>
      <c r="M34" s="344">
        <f>M11+M12+M13+M23+M14+M31+M25+M24+M32+M33</f>
        <v>-1285</v>
      </c>
      <c r="N34" s="374">
        <f>N11+N12+N13+N23+N14+N31+N25+N24+N32+N33</f>
        <v>1581210</v>
      </c>
      <c r="O34" s="1291">
        <f t="shared" si="0"/>
        <v>6081074</v>
      </c>
      <c r="P34" s="378">
        <f t="shared" si="1"/>
        <v>65970</v>
      </c>
      <c r="Q34" s="379">
        <f t="shared" si="2"/>
        <v>6147044</v>
      </c>
      <c r="R34" s="159"/>
    </row>
    <row r="35" spans="1:18" s="88" customFormat="1" ht="19.5" customHeight="1" thickBot="1" thickTop="1">
      <c r="A35" s="144"/>
      <c r="B35" s="346" t="s">
        <v>131</v>
      </c>
      <c r="C35" s="1076"/>
      <c r="D35" s="302"/>
      <c r="E35" s="1297"/>
      <c r="F35" s="1307"/>
      <c r="G35" s="302"/>
      <c r="H35" s="1082"/>
      <c r="I35" s="1283"/>
      <c r="J35" s="1284"/>
      <c r="K35" s="1285"/>
      <c r="L35" s="1076"/>
      <c r="M35" s="302"/>
      <c r="N35" s="1082"/>
      <c r="O35" s="1292"/>
      <c r="P35" s="362"/>
      <c r="Q35" s="1098"/>
      <c r="R35" s="161"/>
    </row>
    <row r="36" spans="1:17" s="760" customFormat="1" ht="17.25" customHeight="1">
      <c r="A36" s="769" t="s">
        <v>98</v>
      </c>
      <c r="B36" s="770" t="s">
        <v>389</v>
      </c>
      <c r="C36" s="772"/>
      <c r="D36" s="771"/>
      <c r="E36" s="1298">
        <f>SUM(C36:D36)</f>
        <v>0</v>
      </c>
      <c r="F36" s="1308"/>
      <c r="G36" s="771"/>
      <c r="H36" s="773">
        <f>SUM(F36:G36)</f>
        <v>0</v>
      </c>
      <c r="I36" s="1074">
        <f>'önállóan működő'!C36+'önállóan működő'!F36+'önállóan működő'!I36+'önállóan működő'!L36+'önállóan működő'!O36+'önállóan gazd.'!C36+'önállóan gazd.'!F36</f>
        <v>0</v>
      </c>
      <c r="J36" s="226">
        <f>'önállóan működő'!D36+'önállóan működő'!G36+'önállóan működő'!J36+'önállóan működő'!M36+'önállóan működő'!P36+'önállóan gazd.'!D36+'önállóan gazd.'!G36</f>
        <v>0</v>
      </c>
      <c r="K36" s="228">
        <f>'önállóan működő'!E36+'önállóan működő'!H36+'önállóan működő'!K36+'önállóan működő'!N36+'önállóan működő'!Q36+'önállóan gazd.'!E36+'önállóan gazd.'!H36</f>
        <v>0</v>
      </c>
      <c r="L36" s="1084"/>
      <c r="M36" s="771"/>
      <c r="N36" s="773">
        <f>SUM(L36:M36)</f>
        <v>0</v>
      </c>
      <c r="O36" s="1290">
        <f aca="true" t="shared" si="12" ref="O36:O55">I36+L36</f>
        <v>0</v>
      </c>
      <c r="P36" s="301">
        <f aca="true" t="shared" si="13" ref="P36:P55">J36+M36</f>
        <v>0</v>
      </c>
      <c r="Q36" s="360">
        <f aca="true" t="shared" si="14" ref="Q36:Q55">K36+N36</f>
        <v>0</v>
      </c>
    </row>
    <row r="37" spans="1:17" s="760" customFormat="1" ht="17.25" customHeight="1">
      <c r="A37" s="153" t="s">
        <v>99</v>
      </c>
      <c r="B37" s="149" t="s">
        <v>245</v>
      </c>
      <c r="C37" s="307"/>
      <c r="D37" s="139"/>
      <c r="E37" s="1299">
        <f aca="true" t="shared" si="15" ref="E37:E44">C37+D37</f>
        <v>0</v>
      </c>
      <c r="F37" s="143"/>
      <c r="G37" s="139"/>
      <c r="H37" s="433">
        <f>F37+G37</f>
        <v>0</v>
      </c>
      <c r="I37" s="1074">
        <f>'önállóan működő'!C37+'önállóan működő'!F37+'önállóan működő'!I37+'önállóan működő'!L37+'önállóan működő'!O37+'önállóan gazd.'!C37+'önállóan gazd.'!F37</f>
        <v>0</v>
      </c>
      <c r="J37" s="226">
        <f>'önállóan működő'!D37+'önállóan működő'!G37+'önállóan működő'!J37+'önállóan működő'!M37+'önállóan működő'!P37+'önállóan gazd.'!D37+'önállóan gazd.'!G37</f>
        <v>0</v>
      </c>
      <c r="K37" s="228">
        <f>'önállóan működő'!E37+'önállóan működő'!H37+'önállóan működő'!K37+'önállóan működő'!N37+'önállóan működő'!Q37+'önállóan gazd.'!E37+'önállóan gazd.'!H37</f>
        <v>0</v>
      </c>
      <c r="L37" s="906"/>
      <c r="M37" s="139"/>
      <c r="N37" s="433">
        <f aca="true" t="shared" si="16" ref="N37:N44">L37+M37</f>
        <v>0</v>
      </c>
      <c r="O37" s="1290">
        <f t="shared" si="12"/>
        <v>0</v>
      </c>
      <c r="P37" s="301">
        <f t="shared" si="13"/>
        <v>0</v>
      </c>
      <c r="Q37" s="360">
        <f t="shared" si="14"/>
        <v>0</v>
      </c>
    </row>
    <row r="38" spans="1:17" s="760" customFormat="1" ht="17.25" customHeight="1">
      <c r="A38" s="335" t="s">
        <v>100</v>
      </c>
      <c r="B38" s="142" t="s">
        <v>390</v>
      </c>
      <c r="C38" s="329"/>
      <c r="D38" s="321"/>
      <c r="E38" s="1209">
        <f t="shared" si="15"/>
        <v>0</v>
      </c>
      <c r="F38" s="227"/>
      <c r="G38" s="321"/>
      <c r="H38" s="361">
        <f>F38+G38</f>
        <v>0</v>
      </c>
      <c r="I38" s="1074">
        <f>'önállóan működő'!C38+'önállóan működő'!F38+'önállóan működő'!I38+'önállóan működő'!L38+'önállóan működő'!O38+'önállóan gazd.'!C38+'önállóan gazd.'!F38</f>
        <v>0</v>
      </c>
      <c r="J38" s="226">
        <f>'önállóan működő'!D38+'önállóan működő'!G38+'önállóan működő'!J38+'önállóan működő'!M38+'önállóan működő'!P38+'önállóan gazd.'!D38+'önállóan gazd.'!G38</f>
        <v>0</v>
      </c>
      <c r="K38" s="228">
        <f>'önállóan működő'!E38+'önállóan működő'!H38+'önállóan működő'!K38+'önállóan működő'!N38+'önállóan működő'!Q38+'önállóan gazd.'!E38+'önállóan gazd.'!H38</f>
        <v>0</v>
      </c>
      <c r="L38" s="1075"/>
      <c r="M38" s="321"/>
      <c r="N38" s="361">
        <f t="shared" si="16"/>
        <v>0</v>
      </c>
      <c r="O38" s="1290">
        <f t="shared" si="12"/>
        <v>0</v>
      </c>
      <c r="P38" s="301">
        <f t="shared" si="13"/>
        <v>0</v>
      </c>
      <c r="Q38" s="360">
        <f t="shared" si="14"/>
        <v>0</v>
      </c>
    </row>
    <row r="39" spans="1:17" s="760" customFormat="1" ht="17.25" customHeight="1" thickBot="1">
      <c r="A39" s="154" t="s">
        <v>101</v>
      </c>
      <c r="B39" s="155" t="s">
        <v>394</v>
      </c>
      <c r="C39" s="308"/>
      <c r="D39" s="151"/>
      <c r="E39" s="1300">
        <f t="shared" si="15"/>
        <v>0</v>
      </c>
      <c r="F39" s="907"/>
      <c r="G39" s="151"/>
      <c r="H39" s="435">
        <f>F39+G39</f>
        <v>0</v>
      </c>
      <c r="I39" s="1074">
        <f>'önállóan működő'!C39+'önállóan működő'!F39+'önállóan működő'!I39+'önállóan működő'!L39+'önállóan működő'!O39+'önállóan gazd.'!C39+'önállóan gazd.'!F39</f>
        <v>0</v>
      </c>
      <c r="J39" s="226">
        <f>'önállóan működő'!D39+'önállóan működő'!G39+'önállóan működő'!J39+'önállóan működő'!M39+'önállóan működő'!P39+'önállóan gazd.'!D39+'önállóan gazd.'!G39</f>
        <v>0</v>
      </c>
      <c r="K39" s="228">
        <f>'önállóan működő'!E39+'önállóan működő'!H39+'önállóan működő'!K39+'önállóan működő'!N39+'önállóan működő'!Q39+'önállóan gazd.'!E39+'önállóan gazd.'!H39</f>
        <v>0</v>
      </c>
      <c r="L39" s="907">
        <v>20074</v>
      </c>
      <c r="M39" s="151">
        <v>1123</v>
      </c>
      <c r="N39" s="435">
        <f t="shared" si="16"/>
        <v>21197</v>
      </c>
      <c r="O39" s="1290">
        <f t="shared" si="12"/>
        <v>20074</v>
      </c>
      <c r="P39" s="301">
        <f t="shared" si="13"/>
        <v>1123</v>
      </c>
      <c r="Q39" s="360">
        <f t="shared" si="14"/>
        <v>21197</v>
      </c>
    </row>
    <row r="40" spans="1:17" s="200" customFormat="1" ht="17.25" customHeight="1" thickBot="1">
      <c r="A40" s="313">
        <v>1</v>
      </c>
      <c r="B40" s="305" t="s">
        <v>177</v>
      </c>
      <c r="C40" s="347">
        <f aca="true" t="shared" si="17" ref="C40:N40">SUM(C36:C39)</f>
        <v>0</v>
      </c>
      <c r="D40" s="314">
        <f t="shared" si="17"/>
        <v>0</v>
      </c>
      <c r="E40" s="330">
        <f t="shared" si="17"/>
        <v>0</v>
      </c>
      <c r="F40" s="347">
        <f>SUM(F36:F39)</f>
        <v>0</v>
      </c>
      <c r="G40" s="314">
        <f>SUM(G36:G39)</f>
        <v>0</v>
      </c>
      <c r="H40" s="320">
        <f>SUM(H36:H39)</f>
        <v>0</v>
      </c>
      <c r="I40" s="347">
        <f t="shared" si="17"/>
        <v>0</v>
      </c>
      <c r="J40" s="314">
        <f t="shared" si="17"/>
        <v>0</v>
      </c>
      <c r="K40" s="320">
        <f t="shared" si="17"/>
        <v>0</v>
      </c>
      <c r="L40" s="347">
        <f t="shared" si="17"/>
        <v>20074</v>
      </c>
      <c r="M40" s="314">
        <f t="shared" si="17"/>
        <v>1123</v>
      </c>
      <c r="N40" s="320">
        <f t="shared" si="17"/>
        <v>21197</v>
      </c>
      <c r="O40" s="432">
        <f t="shared" si="12"/>
        <v>20074</v>
      </c>
      <c r="P40" s="290">
        <f t="shared" si="13"/>
        <v>1123</v>
      </c>
      <c r="Q40" s="288">
        <f t="shared" si="14"/>
        <v>21197</v>
      </c>
    </row>
    <row r="41" spans="1:17" s="173" customFormat="1" ht="17.25" customHeight="1">
      <c r="A41" s="156" t="s">
        <v>98</v>
      </c>
      <c r="B41" s="145" t="s">
        <v>416</v>
      </c>
      <c r="C41" s="306"/>
      <c r="D41" s="226"/>
      <c r="E41" s="1209">
        <f t="shared" si="15"/>
        <v>0</v>
      </c>
      <c r="F41" s="1074"/>
      <c r="G41" s="226"/>
      <c r="H41" s="361">
        <f>F41+G41</f>
        <v>0</v>
      </c>
      <c r="I41" s="1074">
        <f>'önállóan működő'!C41+'önállóan működő'!F41+'önállóan működő'!I41+'önállóan működő'!L41+'önállóan működő'!O41+'önállóan gazd.'!C41+'önállóan gazd.'!F41</f>
        <v>0</v>
      </c>
      <c r="J41" s="226">
        <f>'önállóan működő'!D41+'önállóan működő'!G41+'önállóan működő'!J41+'önállóan működő'!M41+'önállóan működő'!P41+'önállóan gazd.'!D41+'önállóan gazd.'!G41</f>
        <v>0</v>
      </c>
      <c r="K41" s="228">
        <f>'önállóan működő'!E41+'önállóan működő'!H41+'önállóan működő'!K41+'önállóan működő'!N41+'önállóan működő'!Q41+'önállóan gazd.'!E41+'önállóan gazd.'!H41</f>
        <v>0</v>
      </c>
      <c r="L41" s="1074"/>
      <c r="M41" s="226"/>
      <c r="N41" s="361">
        <f t="shared" si="16"/>
        <v>0</v>
      </c>
      <c r="O41" s="1290">
        <f t="shared" si="12"/>
        <v>0</v>
      </c>
      <c r="P41" s="301">
        <f t="shared" si="13"/>
        <v>0</v>
      </c>
      <c r="Q41" s="360">
        <f t="shared" si="14"/>
        <v>0</v>
      </c>
    </row>
    <row r="42" spans="1:17" s="173" customFormat="1" ht="17.25" customHeight="1">
      <c r="A42" s="153" t="s">
        <v>99</v>
      </c>
      <c r="B42" s="149" t="s">
        <v>391</v>
      </c>
      <c r="C42" s="307"/>
      <c r="D42" s="139"/>
      <c r="E42" s="1300">
        <f t="shared" si="15"/>
        <v>0</v>
      </c>
      <c r="F42" s="906"/>
      <c r="G42" s="139"/>
      <c r="H42" s="435">
        <f>F42+G42</f>
        <v>0</v>
      </c>
      <c r="I42" s="1074">
        <f>'önállóan működő'!C42+'önállóan működő'!F42+'önállóan működő'!I42+'önállóan működő'!L42+'önállóan működő'!O42+'önállóan gazd.'!C42+'önállóan gazd.'!F42</f>
        <v>0</v>
      </c>
      <c r="J42" s="226">
        <f>'önállóan működő'!D42+'önállóan működő'!G42+'önállóan működő'!J42+'önállóan működő'!M42+'önállóan működő'!P42+'önállóan gazd.'!D42+'önállóan gazd.'!G42</f>
        <v>0</v>
      </c>
      <c r="K42" s="228">
        <f>'önállóan működő'!E42+'önállóan működő'!H42+'önállóan működő'!K42+'önállóan működő'!N42+'önállóan működő'!Q42+'önállóan gazd.'!E42+'önállóan gazd.'!H42</f>
        <v>0</v>
      </c>
      <c r="L42" s="906"/>
      <c r="M42" s="139"/>
      <c r="N42" s="435">
        <f t="shared" si="16"/>
        <v>0</v>
      </c>
      <c r="O42" s="1290">
        <f t="shared" si="12"/>
        <v>0</v>
      </c>
      <c r="P42" s="301">
        <f t="shared" si="13"/>
        <v>0</v>
      </c>
      <c r="Q42" s="360">
        <f t="shared" si="14"/>
        <v>0</v>
      </c>
    </row>
    <row r="43" spans="1:17" s="173" customFormat="1" ht="17.25" customHeight="1">
      <c r="A43" s="153" t="s">
        <v>100</v>
      </c>
      <c r="B43" s="149" t="s">
        <v>392</v>
      </c>
      <c r="C43" s="307"/>
      <c r="D43" s="139"/>
      <c r="E43" s="1300">
        <f t="shared" si="15"/>
        <v>0</v>
      </c>
      <c r="F43" s="906"/>
      <c r="G43" s="139"/>
      <c r="H43" s="435">
        <f>F43+G43</f>
        <v>0</v>
      </c>
      <c r="I43" s="1074">
        <f>'önállóan működő'!C43+'önállóan működő'!F43+'önállóan működő'!I43+'önállóan működő'!L43+'önállóan működő'!O43+'önállóan gazd.'!C43+'önállóan gazd.'!F43</f>
        <v>0</v>
      </c>
      <c r="J43" s="226">
        <f>'önállóan működő'!D43+'önállóan működő'!G43+'önállóan működő'!J43+'önállóan működő'!M43+'önállóan működő'!P43+'önállóan gazd.'!D43+'önállóan gazd.'!G43</f>
        <v>0</v>
      </c>
      <c r="K43" s="228">
        <f>'önállóan működő'!E43+'önállóan működő'!H43+'önállóan működő'!K43+'önállóan működő'!N43+'önállóan működő'!Q43+'önállóan gazd.'!E43+'önállóan gazd.'!H43</f>
        <v>0</v>
      </c>
      <c r="L43" s="906"/>
      <c r="M43" s="139"/>
      <c r="N43" s="435">
        <f t="shared" si="16"/>
        <v>0</v>
      </c>
      <c r="O43" s="1290">
        <f t="shared" si="12"/>
        <v>0</v>
      </c>
      <c r="P43" s="301">
        <f t="shared" si="13"/>
        <v>0</v>
      </c>
      <c r="Q43" s="360">
        <f t="shared" si="14"/>
        <v>0</v>
      </c>
    </row>
    <row r="44" spans="1:17" s="173" customFormat="1" ht="17.25" customHeight="1" thickBot="1">
      <c r="A44" s="154" t="s">
        <v>101</v>
      </c>
      <c r="B44" s="155" t="s">
        <v>175</v>
      </c>
      <c r="C44" s="308"/>
      <c r="D44" s="151"/>
      <c r="E44" s="1300">
        <f t="shared" si="15"/>
        <v>0</v>
      </c>
      <c r="F44" s="907"/>
      <c r="G44" s="151"/>
      <c r="H44" s="435">
        <f>F44+G44</f>
        <v>0</v>
      </c>
      <c r="I44" s="1074">
        <f>'önállóan működő'!C44+'önállóan működő'!F44+'önállóan működő'!I44+'önállóan működő'!L44+'önállóan működő'!O44+'önállóan gazd.'!C44+'önállóan gazd.'!F44</f>
        <v>0</v>
      </c>
      <c r="J44" s="226">
        <f>'önállóan működő'!D44+'önállóan működő'!G44+'önállóan működő'!J44+'önállóan működő'!M44+'önállóan működő'!P44+'önállóan gazd.'!D44+'önállóan gazd.'!G44</f>
        <v>0</v>
      </c>
      <c r="K44" s="228">
        <f>'önállóan működő'!E44+'önállóan működő'!H44+'önállóan működő'!K44+'önállóan működő'!N44+'önállóan működő'!Q44+'önállóan gazd.'!E44+'önállóan gazd.'!H44</f>
        <v>0</v>
      </c>
      <c r="L44" s="907">
        <v>65</v>
      </c>
      <c r="M44" s="151">
        <v>5</v>
      </c>
      <c r="N44" s="435">
        <f t="shared" si="16"/>
        <v>70</v>
      </c>
      <c r="O44" s="1290">
        <f t="shared" si="12"/>
        <v>65</v>
      </c>
      <c r="P44" s="301">
        <f t="shared" si="13"/>
        <v>5</v>
      </c>
      <c r="Q44" s="360">
        <f t="shared" si="14"/>
        <v>70</v>
      </c>
    </row>
    <row r="45" spans="1:17" s="200" customFormat="1" ht="17.25" customHeight="1" thickBot="1">
      <c r="A45" s="313">
        <v>2</v>
      </c>
      <c r="B45" s="305" t="s">
        <v>176</v>
      </c>
      <c r="C45" s="318">
        <f aca="true" t="shared" si="18" ref="C45:N45">SUM(C41:C44)</f>
        <v>0</v>
      </c>
      <c r="D45" s="314">
        <f t="shared" si="18"/>
        <v>0</v>
      </c>
      <c r="E45" s="330">
        <f t="shared" si="18"/>
        <v>0</v>
      </c>
      <c r="F45" s="347">
        <f>SUM(F41:F44)</f>
        <v>0</v>
      </c>
      <c r="G45" s="314">
        <f>SUM(G41:G44)</f>
        <v>0</v>
      </c>
      <c r="H45" s="320">
        <f>SUM(H41:H44)</f>
        <v>0</v>
      </c>
      <c r="I45" s="347">
        <f t="shared" si="18"/>
        <v>0</v>
      </c>
      <c r="J45" s="314">
        <f t="shared" si="18"/>
        <v>0</v>
      </c>
      <c r="K45" s="320">
        <f t="shared" si="18"/>
        <v>0</v>
      </c>
      <c r="L45" s="347">
        <f t="shared" si="18"/>
        <v>65</v>
      </c>
      <c r="M45" s="314">
        <f t="shared" si="18"/>
        <v>5</v>
      </c>
      <c r="N45" s="320">
        <f t="shared" si="18"/>
        <v>70</v>
      </c>
      <c r="O45" s="432">
        <f t="shared" si="12"/>
        <v>65</v>
      </c>
      <c r="P45" s="290">
        <f t="shared" si="13"/>
        <v>5</v>
      </c>
      <c r="Q45" s="288">
        <f t="shared" si="14"/>
        <v>70</v>
      </c>
    </row>
    <row r="46" spans="1:17" s="200" customFormat="1" ht="17.25" customHeight="1" thickBot="1">
      <c r="A46" s="313">
        <v>3</v>
      </c>
      <c r="B46" s="305" t="s">
        <v>264</v>
      </c>
      <c r="C46" s="347">
        <v>289795</v>
      </c>
      <c r="D46" s="314">
        <v>70793</v>
      </c>
      <c r="E46" s="330">
        <f>SUM(C46:D46)</f>
        <v>360588</v>
      </c>
      <c r="F46" s="347">
        <v>110144</v>
      </c>
      <c r="G46" s="314"/>
      <c r="H46" s="320">
        <f>SUM(F46:G46)</f>
        <v>110144</v>
      </c>
      <c r="I46" s="347">
        <f>'önállóan működő'!C46+'önállóan működő'!F46+'önállóan működő'!I46+'önállóan működő'!L46+'önállóan működő'!O46+'önállóan gazd.'!C46+'önállóan gazd.'!F46</f>
        <v>546015</v>
      </c>
      <c r="J46" s="314">
        <f>'önállóan működő'!D46+'önállóan működő'!G46+'önállóan működő'!J46+'önállóan működő'!M46+'önállóan működő'!P46+'önállóan gazd.'!D46+'önállóan gazd.'!G46</f>
        <v>81918</v>
      </c>
      <c r="K46" s="320">
        <f>'önállóan működő'!E46+'önállóan működő'!H46+'önállóan működő'!K46+'önállóan működő'!N46+'önállóan működő'!Q46+'önállóan gazd.'!E46+'önállóan gazd.'!H46</f>
        <v>627933</v>
      </c>
      <c r="L46" s="347">
        <v>7215</v>
      </c>
      <c r="M46" s="314">
        <v>3104</v>
      </c>
      <c r="N46" s="320">
        <f>SUM(L46:M46)</f>
        <v>10319</v>
      </c>
      <c r="O46" s="432">
        <f t="shared" si="12"/>
        <v>553230</v>
      </c>
      <c r="P46" s="290">
        <f t="shared" si="13"/>
        <v>85022</v>
      </c>
      <c r="Q46" s="288">
        <f t="shared" si="14"/>
        <v>638252</v>
      </c>
    </row>
    <row r="47" spans="1:17" s="173" customFormat="1" ht="17.25" customHeight="1" thickBot="1">
      <c r="A47" s="313">
        <v>4</v>
      </c>
      <c r="B47" s="305" t="s">
        <v>285</v>
      </c>
      <c r="C47" s="347"/>
      <c r="D47" s="314"/>
      <c r="E47" s="330">
        <f>SUM(C47:D47)</f>
        <v>0</v>
      </c>
      <c r="F47" s="347"/>
      <c r="G47" s="314"/>
      <c r="H47" s="320">
        <f>SUM(F47:G47)</f>
        <v>0</v>
      </c>
      <c r="I47" s="347">
        <f>'önállóan működő'!C47+'önállóan működő'!F47+'önállóan működő'!I47+'önállóan működő'!L47+'önállóan működő'!O47+'önállóan gazd.'!C47+'önállóan gazd.'!F47</f>
        <v>0</v>
      </c>
      <c r="J47" s="314">
        <f>'önállóan működő'!D47+'önállóan működő'!G47+'önállóan működő'!J47+'önállóan működő'!M47+'önállóan működő'!P47+'önállóan gazd.'!D47+'önállóan gazd.'!G47</f>
        <v>0</v>
      </c>
      <c r="K47" s="320">
        <f>'önállóan működő'!E47+'önállóan működő'!H47+'önállóan működő'!K47+'önállóan működő'!N47+'önállóan működő'!Q47+'önállóan gazd.'!E47+'önállóan gazd.'!H47</f>
        <v>0</v>
      </c>
      <c r="L47" s="347"/>
      <c r="M47" s="314"/>
      <c r="N47" s="320">
        <f>SUM(L47:M47)</f>
        <v>0</v>
      </c>
      <c r="O47" s="432">
        <f t="shared" si="12"/>
        <v>0</v>
      </c>
      <c r="P47" s="290">
        <f t="shared" si="13"/>
        <v>0</v>
      </c>
      <c r="Q47" s="288">
        <f t="shared" si="14"/>
        <v>0</v>
      </c>
    </row>
    <row r="48" spans="1:17" s="760" customFormat="1" ht="17.25" customHeight="1">
      <c r="A48" s="156" t="s">
        <v>98</v>
      </c>
      <c r="B48" s="142" t="s">
        <v>291</v>
      </c>
      <c r="C48" s="1074"/>
      <c r="D48" s="226"/>
      <c r="E48" s="1209">
        <f>C48+D48</f>
        <v>0</v>
      </c>
      <c r="F48" s="1074"/>
      <c r="G48" s="226"/>
      <c r="H48" s="361">
        <f>F48+G48</f>
        <v>0</v>
      </c>
      <c r="I48" s="1074">
        <f>'önállóan működő'!C48+'önállóan működő'!F48+'önállóan működő'!I48+'önállóan működő'!L48+'önállóan működő'!O48+'önállóan gazd.'!C48+'önállóan gazd.'!F48</f>
        <v>0</v>
      </c>
      <c r="J48" s="226">
        <f>'önállóan működő'!D48+'önállóan működő'!G48+'önállóan működő'!J48+'önállóan működő'!M48+'önállóan működő'!P48+'önállóan gazd.'!D48+'önállóan gazd.'!G48</f>
        <v>0</v>
      </c>
      <c r="K48" s="228">
        <f>'önállóan működő'!E48+'önállóan működő'!H48+'önállóan működő'!K48+'önállóan működő'!N48+'önállóan működő'!Q48+'önállóan gazd.'!E48+'önállóan gazd.'!H48</f>
        <v>0</v>
      </c>
      <c r="L48" s="1074"/>
      <c r="M48" s="226"/>
      <c r="N48" s="361">
        <f>L48+M48</f>
        <v>0</v>
      </c>
      <c r="O48" s="1290">
        <f t="shared" si="12"/>
        <v>0</v>
      </c>
      <c r="P48" s="301">
        <f t="shared" si="13"/>
        <v>0</v>
      </c>
      <c r="Q48" s="360">
        <f t="shared" si="14"/>
        <v>0</v>
      </c>
    </row>
    <row r="49" spans="1:17" s="173" customFormat="1" ht="17.25" customHeight="1">
      <c r="A49" s="154" t="s">
        <v>99</v>
      </c>
      <c r="B49" s="334" t="s">
        <v>393</v>
      </c>
      <c r="C49" s="906"/>
      <c r="D49" s="139"/>
      <c r="E49" s="1299">
        <f>C49+D49</f>
        <v>0</v>
      </c>
      <c r="F49" s="906"/>
      <c r="G49" s="139"/>
      <c r="H49" s="433">
        <f>F49+G49</f>
        <v>0</v>
      </c>
      <c r="I49" s="1074">
        <f>'önállóan működő'!C49+'önállóan működő'!F49+'önállóan működő'!I49+'önállóan működő'!L49+'önállóan működő'!O49+'önállóan gazd.'!C49+'önállóan gazd.'!F49</f>
        <v>0</v>
      </c>
      <c r="J49" s="226">
        <f>'önállóan működő'!D49+'önállóan működő'!G49+'önállóan működő'!J49+'önállóan működő'!M49+'önállóan működő'!P49+'önállóan gazd.'!D49+'önállóan gazd.'!G49</f>
        <v>0</v>
      </c>
      <c r="K49" s="228">
        <f>'önállóan működő'!E49+'önállóan működő'!H49+'önállóan működő'!K49+'önállóan működő'!N49+'önállóan működő'!Q49+'önállóan gazd.'!E49+'önállóan gazd.'!H49</f>
        <v>0</v>
      </c>
      <c r="L49" s="906"/>
      <c r="M49" s="139"/>
      <c r="N49" s="433">
        <f>L49+M49</f>
        <v>0</v>
      </c>
      <c r="O49" s="1290">
        <f t="shared" si="12"/>
        <v>0</v>
      </c>
      <c r="P49" s="301">
        <f t="shared" si="13"/>
        <v>0</v>
      </c>
      <c r="Q49" s="360">
        <f t="shared" si="14"/>
        <v>0</v>
      </c>
    </row>
    <row r="50" spans="1:17" s="173" customFormat="1" ht="17.25" customHeight="1" thickBot="1">
      <c r="A50" s="154" t="s">
        <v>100</v>
      </c>
      <c r="B50" s="334" t="s">
        <v>426</v>
      </c>
      <c r="C50" s="906"/>
      <c r="D50" s="139"/>
      <c r="E50" s="1299">
        <f>C50+D50</f>
        <v>0</v>
      </c>
      <c r="F50" s="906"/>
      <c r="G50" s="139"/>
      <c r="H50" s="433">
        <f>F50+G50</f>
        <v>0</v>
      </c>
      <c r="I50" s="1074">
        <f>'önállóan működő'!C50+'önállóan működő'!F50+'önállóan működő'!I50+'önállóan működő'!L50+'önállóan működő'!O50+'önállóan gazd.'!C50+'önállóan gazd.'!F50</f>
        <v>0</v>
      </c>
      <c r="J50" s="226">
        <f>'önállóan működő'!D50+'önállóan működő'!G50+'önállóan működő'!J50+'önállóan működő'!M50+'önállóan működő'!P50+'önállóan gazd.'!D50+'önállóan gazd.'!G50</f>
        <v>0</v>
      </c>
      <c r="K50" s="228">
        <f>'önállóan működő'!E50+'önállóan működő'!H50+'önállóan működő'!K50+'önállóan működő'!N50+'önállóan működő'!Q50+'önállóan gazd.'!E50+'önállóan gazd.'!H50</f>
        <v>0</v>
      </c>
      <c r="L50" s="906"/>
      <c r="M50" s="139"/>
      <c r="N50" s="433">
        <f>L50+M50</f>
        <v>0</v>
      </c>
      <c r="O50" s="1290">
        <f t="shared" si="12"/>
        <v>0</v>
      </c>
      <c r="P50" s="301">
        <f t="shared" si="13"/>
        <v>0</v>
      </c>
      <c r="Q50" s="360">
        <f t="shared" si="14"/>
        <v>0</v>
      </c>
    </row>
    <row r="51" spans="1:17" s="200" customFormat="1" ht="17.25" customHeight="1" thickBot="1">
      <c r="A51" s="313">
        <v>5</v>
      </c>
      <c r="B51" s="305" t="s">
        <v>178</v>
      </c>
      <c r="C51" s="347">
        <f aca="true" t="shared" si="19" ref="C51:N51">SUM(C48:C50)</f>
        <v>0</v>
      </c>
      <c r="D51" s="314">
        <f t="shared" si="19"/>
        <v>0</v>
      </c>
      <c r="E51" s="330">
        <f t="shared" si="19"/>
        <v>0</v>
      </c>
      <c r="F51" s="347">
        <f>SUM(F48:F50)</f>
        <v>0</v>
      </c>
      <c r="G51" s="314">
        <f>SUM(G48:G50)</f>
        <v>0</v>
      </c>
      <c r="H51" s="320">
        <f>SUM(H48:H50)</f>
        <v>0</v>
      </c>
      <c r="I51" s="347">
        <f t="shared" si="19"/>
        <v>0</v>
      </c>
      <c r="J51" s="314">
        <f t="shared" si="19"/>
        <v>0</v>
      </c>
      <c r="K51" s="320">
        <f t="shared" si="19"/>
        <v>0</v>
      </c>
      <c r="L51" s="347">
        <f t="shared" si="19"/>
        <v>0</v>
      </c>
      <c r="M51" s="314">
        <f t="shared" si="19"/>
        <v>0</v>
      </c>
      <c r="N51" s="320">
        <f t="shared" si="19"/>
        <v>0</v>
      </c>
      <c r="O51" s="432">
        <f t="shared" si="12"/>
        <v>0</v>
      </c>
      <c r="P51" s="290">
        <f t="shared" si="13"/>
        <v>0</v>
      </c>
      <c r="Q51" s="288">
        <f t="shared" si="14"/>
        <v>0</v>
      </c>
    </row>
    <row r="52" spans="1:17" s="200" customFormat="1" ht="17.25" customHeight="1" thickBot="1">
      <c r="A52" s="765">
        <v>6</v>
      </c>
      <c r="B52" s="766" t="s">
        <v>295</v>
      </c>
      <c r="C52" s="1083"/>
      <c r="D52" s="339"/>
      <c r="E52" s="1301">
        <f>C52+D52</f>
        <v>0</v>
      </c>
      <c r="F52" s="1083"/>
      <c r="G52" s="339"/>
      <c r="H52" s="289">
        <f>F52+G52</f>
        <v>0</v>
      </c>
      <c r="I52" s="347">
        <f>'önállóan működő'!C52+'önállóan működő'!F52+'önállóan működő'!I52+'önállóan működő'!L52+'önállóan működő'!O52+'önállóan gazd.'!C52+'önállóan gazd.'!F52</f>
        <v>0</v>
      </c>
      <c r="J52" s="314">
        <f>'önállóan működő'!D52+'önállóan működő'!G52+'önállóan működő'!J52+'önállóan működő'!M52+'önállóan működő'!P52+'önállóan gazd.'!D52+'önállóan gazd.'!G52</f>
        <v>0</v>
      </c>
      <c r="K52" s="320">
        <f>'önállóan működő'!E52+'önállóan működő'!H52+'önállóan működő'!K52+'önállóan működő'!N52+'önállóan működő'!Q52+'önállóan gazd.'!E52+'önállóan gazd.'!H52</f>
        <v>0</v>
      </c>
      <c r="L52" s="1083">
        <v>1194</v>
      </c>
      <c r="M52" s="339">
        <v>15</v>
      </c>
      <c r="N52" s="289">
        <f>L52+M52</f>
        <v>1209</v>
      </c>
      <c r="O52" s="432">
        <f t="shared" si="12"/>
        <v>1194</v>
      </c>
      <c r="P52" s="290">
        <f t="shared" si="13"/>
        <v>15</v>
      </c>
      <c r="Q52" s="288">
        <f t="shared" si="14"/>
        <v>1209</v>
      </c>
    </row>
    <row r="53" spans="1:17" s="173" customFormat="1" ht="17.25" customHeight="1">
      <c r="A53" s="137" t="s">
        <v>98</v>
      </c>
      <c r="B53" s="138" t="s">
        <v>395</v>
      </c>
      <c r="C53" s="1078"/>
      <c r="D53" s="140"/>
      <c r="E53" s="1302">
        <f>C53+D53</f>
        <v>0</v>
      </c>
      <c r="F53" s="1078"/>
      <c r="G53" s="140"/>
      <c r="H53" s="439">
        <f>F53+G53</f>
        <v>0</v>
      </c>
      <c r="I53" s="1074">
        <f>'önállóan működő'!C53+'önállóan működő'!F53+'önállóan működő'!I53+'önállóan működő'!L53+'önállóan működő'!O53+'önállóan gazd.'!C53+'önállóan gazd.'!F53</f>
        <v>0</v>
      </c>
      <c r="J53" s="226">
        <f>'önállóan működő'!D53+'önállóan működő'!G53+'önállóan működő'!J53+'önállóan működő'!M53+'önállóan működő'!P53+'önállóan gazd.'!D53+'önállóan gazd.'!G53</f>
        <v>0</v>
      </c>
      <c r="K53" s="228">
        <f>'önállóan működő'!E53+'önállóan működő'!H53+'önállóan működő'!K53+'önállóan működő'!N53+'önállóan működő'!Q53+'önállóan gazd.'!E53+'önállóan gazd.'!H53</f>
        <v>0</v>
      </c>
      <c r="L53" s="1078"/>
      <c r="M53" s="140"/>
      <c r="N53" s="439">
        <f>L53+M53</f>
        <v>0</v>
      </c>
      <c r="O53" s="1290">
        <f t="shared" si="12"/>
        <v>0</v>
      </c>
      <c r="P53" s="301">
        <f t="shared" si="13"/>
        <v>0</v>
      </c>
      <c r="Q53" s="360">
        <f t="shared" si="14"/>
        <v>0</v>
      </c>
    </row>
    <row r="54" spans="1:17" s="173" customFormat="1" ht="17.25" customHeight="1" thickBot="1">
      <c r="A54" s="335" t="s">
        <v>99</v>
      </c>
      <c r="B54" s="142" t="s">
        <v>396</v>
      </c>
      <c r="C54" s="1075"/>
      <c r="D54" s="321"/>
      <c r="E54" s="1209">
        <f>C54+D54</f>
        <v>0</v>
      </c>
      <c r="F54" s="1075"/>
      <c r="G54" s="321"/>
      <c r="H54" s="361">
        <f>F54+G54</f>
        <v>0</v>
      </c>
      <c r="I54" s="1074">
        <f>'önállóan működő'!C54+'önállóan működő'!F54+'önállóan működő'!I54+'önállóan működő'!L54+'önállóan működő'!O54+'önállóan gazd.'!C54+'önállóan gazd.'!F54</f>
        <v>0</v>
      </c>
      <c r="J54" s="226">
        <f>'önállóan működő'!D54+'önállóan működő'!G54+'önállóan működő'!J54+'önállóan működő'!M54+'önállóan működő'!P54+'önállóan gazd.'!D54+'önállóan gazd.'!G54</f>
        <v>0</v>
      </c>
      <c r="K54" s="228">
        <f>'önállóan működő'!E54+'önállóan működő'!H54+'önállóan működő'!K54+'önállóan működő'!N54+'önállóan működő'!Q54+'önállóan gazd.'!E54+'önállóan gazd.'!H54</f>
        <v>0</v>
      </c>
      <c r="L54" s="1075"/>
      <c r="M54" s="321"/>
      <c r="N54" s="361">
        <f>L54+M54</f>
        <v>0</v>
      </c>
      <c r="O54" s="1290">
        <f t="shared" si="12"/>
        <v>0</v>
      </c>
      <c r="P54" s="301">
        <f t="shared" si="13"/>
        <v>0</v>
      </c>
      <c r="Q54" s="360">
        <f t="shared" si="14"/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 aca="true" t="shared" si="20" ref="C55:N55">SUM(C53:C54)</f>
        <v>0</v>
      </c>
      <c r="D55" s="314">
        <f t="shared" si="20"/>
        <v>0</v>
      </c>
      <c r="E55" s="330">
        <f t="shared" si="20"/>
        <v>0</v>
      </c>
      <c r="F55" s="347">
        <f>SUM(F53:F54)</f>
        <v>0</v>
      </c>
      <c r="G55" s="314">
        <f>SUM(G53:G54)</f>
        <v>0</v>
      </c>
      <c r="H55" s="320">
        <f>SUM(H53:H54)</f>
        <v>0</v>
      </c>
      <c r="I55" s="347">
        <f>SUM(I53:I54)</f>
        <v>0</v>
      </c>
      <c r="J55" s="314">
        <f t="shared" si="20"/>
        <v>0</v>
      </c>
      <c r="K55" s="320">
        <f t="shared" si="20"/>
        <v>0</v>
      </c>
      <c r="L55" s="1085">
        <f t="shared" si="20"/>
        <v>0</v>
      </c>
      <c r="M55" s="1087">
        <f t="shared" si="20"/>
        <v>0</v>
      </c>
      <c r="N55" s="1089">
        <f t="shared" si="20"/>
        <v>0</v>
      </c>
      <c r="O55" s="432">
        <f t="shared" si="12"/>
        <v>0</v>
      </c>
      <c r="P55" s="290">
        <f t="shared" si="13"/>
        <v>0</v>
      </c>
      <c r="Q55" s="288">
        <f t="shared" si="14"/>
        <v>0</v>
      </c>
    </row>
    <row r="56" spans="1:19" s="173" customFormat="1" ht="17.25" customHeight="1" thickBot="1">
      <c r="A56" s="349">
        <v>8</v>
      </c>
      <c r="B56" s="350" t="s">
        <v>45</v>
      </c>
      <c r="C56" s="1079">
        <f aca="true" t="shared" si="21" ref="C56:N56">C34-C40-C45-C46-C47-C51-C52-C55-C57-C58-C59</f>
        <v>656084</v>
      </c>
      <c r="D56" s="1081">
        <f t="shared" si="21"/>
        <v>-39528</v>
      </c>
      <c r="E56" s="1303">
        <f t="shared" si="21"/>
        <v>616556</v>
      </c>
      <c r="F56" s="1079">
        <f>F34-F40-F45-F46-F47-F51-F52-F55-F57-F58-F59</f>
        <v>347055</v>
      </c>
      <c r="G56" s="1081">
        <f>G34-G40-G45-G46-G47-G51-G52-G55-G57-G58-G59</f>
        <v>23021</v>
      </c>
      <c r="H56" s="1278">
        <f>H34-H40-H45-H46-H47-H51-H52-H55-H57-H58-H59</f>
        <v>370076</v>
      </c>
      <c r="I56" s="1079">
        <f t="shared" si="21"/>
        <v>3945168</v>
      </c>
      <c r="J56" s="1081">
        <f t="shared" si="21"/>
        <v>-14663</v>
      </c>
      <c r="K56" s="1278">
        <f t="shared" si="21"/>
        <v>3930505</v>
      </c>
      <c r="L56" s="1086">
        <f t="shared" si="21"/>
        <v>1550478</v>
      </c>
      <c r="M56" s="1088">
        <f t="shared" si="21"/>
        <v>-5532</v>
      </c>
      <c r="N56" s="783">
        <f t="shared" si="21"/>
        <v>1544946</v>
      </c>
      <c r="O56" s="1277">
        <f>O34-O40-O45-O46-O47-O51-O52-O55-O57-O58-O59</f>
        <v>5495646</v>
      </c>
      <c r="P56" s="1088">
        <f>P34-P40-P45-P46-P47-P51-P52-P55-P57-P58-P59</f>
        <v>-20195</v>
      </c>
      <c r="Q56" s="783">
        <f>Q34-Q40-Q45-Q46-Q47-Q51-Q52-Q55-Q57-Q58-Q59</f>
        <v>5475451</v>
      </c>
      <c r="R56" s="176"/>
      <c r="S56" s="177">
        <f>SUM(I56:J56)</f>
        <v>3930505</v>
      </c>
    </row>
    <row r="57" spans="1:17" s="200" customFormat="1" ht="17.25" customHeight="1">
      <c r="A57" s="336" t="s">
        <v>398</v>
      </c>
      <c r="B57" s="337" t="s">
        <v>184</v>
      </c>
      <c r="C57" s="1080">
        <v>4066</v>
      </c>
      <c r="D57" s="327"/>
      <c r="E57" s="1304">
        <f>SUM(C57:D57)</f>
        <v>4066</v>
      </c>
      <c r="F57" s="1080">
        <v>469</v>
      </c>
      <c r="G57" s="327"/>
      <c r="H57" s="440">
        <f>SUM(F57:G57)</f>
        <v>469</v>
      </c>
      <c r="I57" s="1280">
        <f>'önállóan működő'!C57+'önállóan működő'!F57+'önállóan működő'!I57+'önállóan működő'!L57+'önállóan működő'!O57+'önállóan gazd.'!C57+'önállóan gazd.'!F57</f>
        <v>7396</v>
      </c>
      <c r="J57" s="1281">
        <f>'önállóan működő'!D57+'önállóan működő'!G57+'önállóan működő'!J57+'önállóan működő'!M57+'önállóan működő'!P57+'önállóan gazd.'!D57+'önállóan gazd.'!G57</f>
        <v>0</v>
      </c>
      <c r="K57" s="1282">
        <f>'önállóan működő'!E57+'önállóan működő'!H57+'önállóan működő'!K57+'önállóan működő'!N57+'önállóan működő'!Q57+'önállóan gazd.'!E57+'önállóan gazd.'!H57</f>
        <v>7396</v>
      </c>
      <c r="L57" s="1280">
        <v>3469</v>
      </c>
      <c r="M57" s="1281"/>
      <c r="N57" s="805">
        <f>SUM(L57:M57)</f>
        <v>3469</v>
      </c>
      <c r="O57" s="1293">
        <f aca="true" t="shared" si="22" ref="O57:Q59">I57+L57</f>
        <v>10865</v>
      </c>
      <c r="P57" s="1164">
        <f t="shared" si="22"/>
        <v>0</v>
      </c>
      <c r="Q57" s="805">
        <f t="shared" si="22"/>
        <v>10865</v>
      </c>
    </row>
    <row r="58" spans="1:17" s="200" customFormat="1" ht="17.25" customHeight="1">
      <c r="A58" s="336" t="s">
        <v>183</v>
      </c>
      <c r="B58" s="337" t="s">
        <v>397</v>
      </c>
      <c r="C58" s="1080"/>
      <c r="D58" s="327"/>
      <c r="E58" s="1301">
        <f>SUM(C58:D58)</f>
        <v>0</v>
      </c>
      <c r="F58" s="1080"/>
      <c r="G58" s="327"/>
      <c r="H58" s="289">
        <f>SUM(F58:G58)</f>
        <v>0</v>
      </c>
      <c r="I58" s="1080">
        <f>'önállóan működő'!C58+'önállóan működő'!F58+'önállóan működő'!I58+'önállóan működő'!L58+'önállóan működő'!O58+'önállóan gazd.'!C58+'önállóan gazd.'!F58</f>
        <v>0</v>
      </c>
      <c r="J58" s="327">
        <f>'önállóan működő'!D58+'önállóan működő'!G58+'önállóan működő'!J58+'önállóan működő'!M58+'önállóan működő'!P58+'önállóan gazd.'!D58+'önállóan gazd.'!G58</f>
        <v>0</v>
      </c>
      <c r="K58" s="1109">
        <f>'önállóan működő'!E58+'önállóan működő'!H58+'önállóan működő'!K58+'önállóan működő'!N58+'önállóan működő'!Q58+'önállóan gazd.'!E58+'önállóan gazd.'!H58</f>
        <v>0</v>
      </c>
      <c r="L58" s="1080"/>
      <c r="M58" s="327"/>
      <c r="N58" s="440">
        <f>SUM(L58:M58)</f>
        <v>0</v>
      </c>
      <c r="O58" s="1294">
        <f t="shared" si="22"/>
        <v>0</v>
      </c>
      <c r="P58" s="292">
        <f t="shared" si="22"/>
        <v>0</v>
      </c>
      <c r="Q58" s="440">
        <f t="shared" si="22"/>
        <v>0</v>
      </c>
    </row>
    <row r="59" spans="1:17" s="200" customFormat="1" ht="17.25" customHeight="1" thickBot="1">
      <c r="A59" s="351">
        <v>10</v>
      </c>
      <c r="B59" s="352"/>
      <c r="C59" s="353"/>
      <c r="D59" s="354"/>
      <c r="E59" s="1305">
        <f>SUM(C59:D59)</f>
        <v>0</v>
      </c>
      <c r="F59" s="353"/>
      <c r="G59" s="354"/>
      <c r="H59" s="355">
        <f>SUM(F59:G59)</f>
        <v>0</v>
      </c>
      <c r="I59" s="1145">
        <f>'önállóan működő'!C59+'önállóan működő'!F59+'önállóan működő'!I59+'önállóan működő'!L59+'önállóan működő'!O59+'önállóan gazd.'!C59+'önállóan gazd.'!F59</f>
        <v>0</v>
      </c>
      <c r="J59" s="354">
        <f>'önállóan működő'!D59+'önállóan működő'!G59+'önállóan működő'!J59+'önállóan működő'!M59+'önállóan működő'!P59+'önállóan gazd.'!D59+'önállóan gazd.'!G59</f>
        <v>0</v>
      </c>
      <c r="K59" s="1286">
        <f>'önállóan működő'!E59+'önállóan működő'!H59+'önállóan működő'!K59+'önállóan működő'!N59+'önállóan működő'!Q59+'önállóan gazd.'!E59+'önállóan gazd.'!H59</f>
        <v>0</v>
      </c>
      <c r="L59" s="353"/>
      <c r="M59" s="354"/>
      <c r="N59" s="355">
        <f>SUM(L59:M59)</f>
        <v>0</v>
      </c>
      <c r="O59" s="445">
        <f t="shared" si="22"/>
        <v>0</v>
      </c>
      <c r="P59" s="1287">
        <f t="shared" si="22"/>
        <v>0</v>
      </c>
      <c r="Q59" s="446">
        <f t="shared" si="22"/>
        <v>0</v>
      </c>
    </row>
    <row r="60" spans="1:17" s="152" customFormat="1" ht="17.25" customHeight="1" thickBot="1" thickTop="1">
      <c r="A60" s="343" t="s">
        <v>109</v>
      </c>
      <c r="B60" s="345" t="s">
        <v>182</v>
      </c>
      <c r="C60" s="364">
        <f aca="true" t="shared" si="23" ref="C60:N60">C40+C45+C46+C47+C51+C52+C55+C56+C57+C58+C59</f>
        <v>949945</v>
      </c>
      <c r="D60" s="344">
        <f t="shared" si="23"/>
        <v>31265</v>
      </c>
      <c r="E60" s="778">
        <f t="shared" si="23"/>
        <v>981210</v>
      </c>
      <c r="F60" s="364">
        <f>F40+F45+F46+F47+F51+F52+F55+F56+F57+F58+F59</f>
        <v>457668</v>
      </c>
      <c r="G60" s="344">
        <f>G40+G45+G46+G47+G51+G52+G55+G56+G57+G58+G59</f>
        <v>23021</v>
      </c>
      <c r="H60" s="374">
        <f>H40+H45+H46+H47+H51+H52+H55+H56+H57+H58+H59</f>
        <v>480689</v>
      </c>
      <c r="I60" s="1276">
        <f t="shared" si="23"/>
        <v>4498579</v>
      </c>
      <c r="J60" s="344">
        <f t="shared" si="23"/>
        <v>67255</v>
      </c>
      <c r="K60" s="374">
        <f t="shared" si="23"/>
        <v>4565834</v>
      </c>
      <c r="L60" s="364">
        <f t="shared" si="23"/>
        <v>1582495</v>
      </c>
      <c r="M60" s="344">
        <f t="shared" si="23"/>
        <v>-1285</v>
      </c>
      <c r="N60" s="374">
        <f t="shared" si="23"/>
        <v>1581210</v>
      </c>
      <c r="O60" s="778">
        <f>O40+O45+O46+O47+O51+O52+O55+O56+O57+O58+O59</f>
        <v>6081074</v>
      </c>
      <c r="P60" s="780">
        <f>P40+P45+P46+P47+P51+P52+P55+P56+P57+P58+P59</f>
        <v>65970</v>
      </c>
      <c r="Q60" s="374">
        <f>Q40+Q45+Q46+Q47+Q51+Q52+Q55+Q56+Q57+Q58+Q59</f>
        <v>6147044</v>
      </c>
    </row>
    <row r="61" spans="1:17" s="88" customFormat="1" ht="13.5" customHeight="1" thickBot="1" thickTop="1">
      <c r="A61" s="163"/>
      <c r="B61" s="164"/>
      <c r="C61" s="165"/>
      <c r="D61" s="165"/>
      <c r="E61" s="166"/>
      <c r="F61" s="165"/>
      <c r="G61" s="165"/>
      <c r="H61" s="166"/>
      <c r="I61" s="165"/>
      <c r="J61" s="165"/>
      <c r="K61" s="166"/>
      <c r="L61" s="165"/>
      <c r="M61" s="165"/>
      <c r="N61" s="166"/>
      <c r="O61" s="165"/>
      <c r="P61" s="165"/>
      <c r="Q61" s="166"/>
    </row>
    <row r="62" spans="1:17" s="173" customFormat="1" ht="17.25" customHeight="1" thickBot="1" thickTop="1">
      <c r="A62" s="167"/>
      <c r="B62" s="168" t="s">
        <v>579</v>
      </c>
      <c r="C62" s="169">
        <v>63.5</v>
      </c>
      <c r="D62" s="170"/>
      <c r="E62" s="171">
        <f>C62+D62</f>
        <v>63.5</v>
      </c>
      <c r="F62" s="169">
        <v>27.75</v>
      </c>
      <c r="G62" s="170"/>
      <c r="H62" s="171">
        <f>F62+G62</f>
        <v>27.75</v>
      </c>
      <c r="I62" s="1279">
        <f>'önállóan működő'!C62+'önállóan működő'!F62+'önállóan működő'!I62+'önállóan működő'!L62+'önállóan működő'!O62+'önállóan gazd.'!C62+'önállóan gazd.'!F62</f>
        <v>630</v>
      </c>
      <c r="J62" s="197">
        <f>'önállóan működő'!D62+'önállóan működő'!G62+'önállóan működő'!J62+'önállóan működő'!M62+'önállóan működő'!P62+'önállóan gazd.'!D62+'önállóan gazd.'!G62</f>
        <v>0</v>
      </c>
      <c r="K62" s="938">
        <f>'önállóan működő'!E62+'önállóan működő'!H62+'önállóan működő'!K62+'önállóan működő'!N62+'önállóan működő'!Q62+'önállóan gazd.'!E62+'önállóan gazd.'!H62</f>
        <v>630</v>
      </c>
      <c r="L62" s="169">
        <v>184</v>
      </c>
      <c r="M62" s="170"/>
      <c r="N62" s="171">
        <f>L62+M62</f>
        <v>184</v>
      </c>
      <c r="O62" s="196">
        <f aca="true" t="shared" si="24" ref="O62:Q63">I62+L62</f>
        <v>814</v>
      </c>
      <c r="P62" s="197">
        <f t="shared" si="24"/>
        <v>0</v>
      </c>
      <c r="Q62" s="198">
        <f t="shared" si="24"/>
        <v>814</v>
      </c>
    </row>
    <row r="63" spans="1:17" s="173" customFormat="1" ht="17.25" customHeight="1" thickBot="1" thickTop="1">
      <c r="A63" s="167"/>
      <c r="B63" s="168" t="s">
        <v>580</v>
      </c>
      <c r="C63" s="169">
        <v>0</v>
      </c>
      <c r="D63" s="170"/>
      <c r="E63" s="171">
        <f>C63+D63</f>
        <v>0</v>
      </c>
      <c r="F63" s="169">
        <v>0</v>
      </c>
      <c r="G63" s="170"/>
      <c r="H63" s="171">
        <f>F63+G63</f>
        <v>0</v>
      </c>
      <c r="I63" s="1279">
        <f>'önállóan működő'!C63+'önállóan működő'!F63+'önállóan működő'!I63+'önállóan működő'!L63+'önállóan működő'!O63+'önállóan gazd.'!C63+'önállóan gazd.'!F63</f>
        <v>0</v>
      </c>
      <c r="J63" s="197">
        <f>'önállóan működő'!D63+'önállóan működő'!G63+'önállóan működő'!J63+'önállóan működő'!M63+'önállóan működő'!P63+'önállóan gazd.'!D63+'önállóan gazd.'!G63</f>
        <v>0</v>
      </c>
      <c r="K63" s="938">
        <f>'önállóan működő'!E63+'önállóan működő'!H63+'önállóan működő'!K63+'önállóan működő'!N63+'önállóan működő'!Q63+'önállóan gazd.'!E63+'önállóan gazd.'!H63</f>
        <v>0</v>
      </c>
      <c r="L63" s="169">
        <v>0</v>
      </c>
      <c r="M63" s="170"/>
      <c r="N63" s="171">
        <f>L63+M63</f>
        <v>0</v>
      </c>
      <c r="O63" s="196">
        <f t="shared" si="24"/>
        <v>0</v>
      </c>
      <c r="P63" s="197">
        <f t="shared" si="24"/>
        <v>0</v>
      </c>
      <c r="Q63" s="198">
        <f t="shared" si="24"/>
        <v>0</v>
      </c>
    </row>
    <row r="64" ht="16.5" thickTop="1">
      <c r="A64" s="418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1105" customWidth="1"/>
    <col min="2" max="2" width="78.375" style="760" customWidth="1"/>
    <col min="3" max="14" width="14.875" style="760" customWidth="1"/>
    <col min="15" max="17" width="14.875" style="764" customWidth="1"/>
    <col min="18" max="16384" width="9.375" style="762" customWidth="1"/>
  </cols>
  <sheetData>
    <row r="1" spans="1:17" s="2" customFormat="1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942"/>
      <c r="O1" s="400"/>
      <c r="P1" s="400"/>
      <c r="Q1" s="892" t="s">
        <v>947</v>
      </c>
    </row>
    <row r="2" spans="1:17" s="2" customFormat="1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942"/>
      <c r="O2" s="400"/>
      <c r="P2" s="400"/>
      <c r="Q2" s="892" t="s">
        <v>93</v>
      </c>
    </row>
    <row r="3" spans="1:17" s="2" customFormat="1" ht="15.7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942"/>
      <c r="O3" s="400"/>
      <c r="P3" s="400"/>
      <c r="Q3" s="892" t="s">
        <v>123</v>
      </c>
    </row>
    <row r="4" spans="1:17" s="3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s="4" customFormat="1" ht="18.75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62" s="2" customFormat="1" ht="16.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896"/>
      <c r="O6" s="896"/>
      <c r="P6" s="896"/>
      <c r="Q6" s="896" t="s">
        <v>134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17" s="57" customFormat="1" ht="18">
      <c r="A7" s="230" t="s">
        <v>124</v>
      </c>
      <c r="B7" s="87" t="s">
        <v>125</v>
      </c>
      <c r="C7" s="1952" t="s">
        <v>354</v>
      </c>
      <c r="D7" s="1953"/>
      <c r="E7" s="1953"/>
      <c r="F7" s="1952" t="s">
        <v>51</v>
      </c>
      <c r="G7" s="1953"/>
      <c r="H7" s="1954"/>
      <c r="I7" s="1936" t="s">
        <v>135</v>
      </c>
      <c r="J7" s="1937"/>
      <c r="K7" s="1938"/>
      <c r="L7" s="1936" t="s">
        <v>136</v>
      </c>
      <c r="M7" s="1937"/>
      <c r="N7" s="1938"/>
      <c r="O7" s="1947" t="s">
        <v>59</v>
      </c>
      <c r="P7" s="1948"/>
      <c r="Q7" s="1949"/>
    </row>
    <row r="8" spans="1:17" s="57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58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59" customFormat="1" ht="16.5" thickBot="1">
      <c r="A10" s="380"/>
      <c r="B10" s="346" t="s">
        <v>129</v>
      </c>
      <c r="C10" s="1099"/>
      <c r="D10" s="1100"/>
      <c r="E10" s="1101"/>
      <c r="F10" s="1102"/>
      <c r="G10" s="1103"/>
      <c r="H10" s="1101"/>
      <c r="I10" s="1102"/>
      <c r="J10" s="1103"/>
      <c r="K10" s="1101"/>
      <c r="L10" s="1104"/>
      <c r="M10" s="1113"/>
      <c r="N10" s="1112"/>
      <c r="O10" s="1104"/>
      <c r="P10" s="1113"/>
      <c r="Q10" s="1114"/>
    </row>
    <row r="11" spans="1:17" s="59" customFormat="1" ht="15" customHeight="1" thickBot="1">
      <c r="A11" s="313">
        <v>1</v>
      </c>
      <c r="B11" s="305" t="s">
        <v>113</v>
      </c>
      <c r="C11" s="314">
        <v>79250</v>
      </c>
      <c r="D11" s="314">
        <v>15767</v>
      </c>
      <c r="E11" s="358">
        <f>SUM(C11:D11)</f>
        <v>95017</v>
      </c>
      <c r="F11" s="314">
        <v>78163</v>
      </c>
      <c r="G11" s="314"/>
      <c r="H11" s="358">
        <f>SUM(F11:G11)</f>
        <v>78163</v>
      </c>
      <c r="I11" s="314">
        <v>9033</v>
      </c>
      <c r="J11" s="314">
        <v>-642</v>
      </c>
      <c r="K11" s="358">
        <f aca="true" t="shared" si="0" ref="K11:K16">SUM(I11:J11)</f>
        <v>8391</v>
      </c>
      <c r="L11" s="314">
        <v>27874</v>
      </c>
      <c r="M11" s="314">
        <v>1471</v>
      </c>
      <c r="N11" s="318">
        <f aca="true" t="shared" si="1" ref="N11:N16">SUM(L11:M11)</f>
        <v>29345</v>
      </c>
      <c r="O11" s="1128">
        <v>13251</v>
      </c>
      <c r="P11" s="387">
        <v>225</v>
      </c>
      <c r="Q11" s="1116">
        <f aca="true" t="shared" si="2" ref="Q11:Q16">SUM(O11:P11)</f>
        <v>13476</v>
      </c>
    </row>
    <row r="12" spans="1:17" s="59" customFormat="1" ht="16.5" thickBot="1">
      <c r="A12" s="317">
        <v>2</v>
      </c>
      <c r="B12" s="305" t="s">
        <v>202</v>
      </c>
      <c r="C12" s="316">
        <v>16479</v>
      </c>
      <c r="D12" s="314">
        <v>2346</v>
      </c>
      <c r="E12" s="358">
        <f>SUM(C12:D12)</f>
        <v>18825</v>
      </c>
      <c r="F12" s="316">
        <v>16044</v>
      </c>
      <c r="G12" s="314"/>
      <c r="H12" s="358">
        <f>SUM(F12:G12)</f>
        <v>16044</v>
      </c>
      <c r="I12" s="316">
        <v>2937</v>
      </c>
      <c r="J12" s="314">
        <v>144</v>
      </c>
      <c r="K12" s="358">
        <f t="shared" si="0"/>
        <v>3081</v>
      </c>
      <c r="L12" s="316">
        <v>15196</v>
      </c>
      <c r="M12" s="314">
        <v>256</v>
      </c>
      <c r="N12" s="358">
        <f t="shared" si="1"/>
        <v>15452</v>
      </c>
      <c r="O12" s="1128">
        <v>4890</v>
      </c>
      <c r="P12" s="387">
        <v>36</v>
      </c>
      <c r="Q12" s="1116">
        <f t="shared" si="2"/>
        <v>4926</v>
      </c>
    </row>
    <row r="13" spans="1:17" s="63" customFormat="1" ht="16.5" thickBot="1">
      <c r="A13" s="317">
        <v>3</v>
      </c>
      <c r="B13" s="305" t="s">
        <v>116</v>
      </c>
      <c r="C13" s="316">
        <v>521976</v>
      </c>
      <c r="D13" s="314">
        <v>-137700</v>
      </c>
      <c r="E13" s="358">
        <f>SUM(C13:D13)</f>
        <v>384276</v>
      </c>
      <c r="F13" s="314">
        <v>2550</v>
      </c>
      <c r="G13" s="314"/>
      <c r="H13" s="358">
        <f>SUM(F13:G13)</f>
        <v>2550</v>
      </c>
      <c r="I13" s="314">
        <v>15848</v>
      </c>
      <c r="J13" s="314">
        <v>598</v>
      </c>
      <c r="K13" s="358">
        <f t="shared" si="0"/>
        <v>16446</v>
      </c>
      <c r="L13" s="314">
        <v>116153</v>
      </c>
      <c r="M13" s="314">
        <v>-6812</v>
      </c>
      <c r="N13" s="318">
        <f t="shared" si="1"/>
        <v>109341</v>
      </c>
      <c r="O13" s="1128">
        <v>108485</v>
      </c>
      <c r="P13" s="387">
        <v>-204</v>
      </c>
      <c r="Q13" s="1116">
        <f t="shared" si="2"/>
        <v>108281</v>
      </c>
    </row>
    <row r="14" spans="1:17" s="63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47"/>
      <c r="P14" s="314"/>
      <c r="Q14" s="320">
        <f t="shared" si="2"/>
        <v>0</v>
      </c>
    </row>
    <row r="15" spans="1:17" s="59" customFormat="1" ht="15.75">
      <c r="A15" s="156" t="s">
        <v>98</v>
      </c>
      <c r="B15" s="145" t="s">
        <v>383</v>
      </c>
      <c r="C15" s="226">
        <v>157855</v>
      </c>
      <c r="D15" s="226"/>
      <c r="E15" s="389">
        <f>C15+D15</f>
        <v>157855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06">
        <f t="shared" si="1"/>
        <v>0</v>
      </c>
      <c r="O15" s="1126"/>
      <c r="P15" s="390"/>
      <c r="Q15" s="1115">
        <f t="shared" si="2"/>
        <v>0</v>
      </c>
    </row>
    <row r="16" spans="1:17" s="59" customFormat="1" ht="15.75">
      <c r="A16" s="153" t="s">
        <v>99</v>
      </c>
      <c r="B16" s="149" t="s">
        <v>626</v>
      </c>
      <c r="C16" s="307"/>
      <c r="D16" s="139"/>
      <c r="E16" s="228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06">
        <f t="shared" si="1"/>
        <v>0</v>
      </c>
      <c r="O16" s="1125"/>
      <c r="P16" s="392"/>
      <c r="Q16" s="1115">
        <f t="shared" si="2"/>
        <v>0</v>
      </c>
    </row>
    <row r="17" spans="1:17" s="59" customFormat="1" ht="15.7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06">
        <f aca="true" t="shared" si="6" ref="N17:N22">SUM(L17:M17)</f>
        <v>0</v>
      </c>
      <c r="O17" s="1125"/>
      <c r="P17" s="392"/>
      <c r="Q17" s="1115">
        <f aca="true" t="shared" si="7" ref="Q17:Q22">SUM(O17:P17)</f>
        <v>0</v>
      </c>
    </row>
    <row r="18" spans="1:87" s="2" customFormat="1" ht="15.75">
      <c r="A18" s="153" t="s">
        <v>101</v>
      </c>
      <c r="B18" s="149" t="s">
        <v>384</v>
      </c>
      <c r="C18" s="906">
        <v>5270</v>
      </c>
      <c r="D18" s="139">
        <v>135</v>
      </c>
      <c r="E18" s="228">
        <f t="shared" si="3"/>
        <v>5405</v>
      </c>
      <c r="F18" s="307"/>
      <c r="G18" s="139"/>
      <c r="H18" s="228">
        <f t="shared" si="4"/>
        <v>0</v>
      </c>
      <c r="I18" s="139">
        <v>17642</v>
      </c>
      <c r="J18" s="139"/>
      <c r="K18" s="389">
        <f t="shared" si="5"/>
        <v>17642</v>
      </c>
      <c r="L18" s="139">
        <v>650</v>
      </c>
      <c r="M18" s="139"/>
      <c r="N18" s="306">
        <f t="shared" si="6"/>
        <v>650</v>
      </c>
      <c r="O18" s="1125"/>
      <c r="P18" s="392"/>
      <c r="Q18" s="1115">
        <f t="shared" si="7"/>
        <v>0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</row>
    <row r="19" spans="1:17" s="59" customFormat="1" ht="15.7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139"/>
      <c r="M19" s="139"/>
      <c r="N19" s="306">
        <f>SUM(L19:M19)</f>
        <v>0</v>
      </c>
      <c r="O19" s="1125"/>
      <c r="P19" s="392"/>
      <c r="Q19" s="1115">
        <f>SUM(O19:P19)</f>
        <v>0</v>
      </c>
    </row>
    <row r="20" spans="1:17" s="59" customFormat="1" ht="15.7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887">
        <f t="shared" si="6"/>
        <v>0</v>
      </c>
      <c r="O20" s="1125"/>
      <c r="P20" s="392"/>
      <c r="Q20" s="1115">
        <f t="shared" si="7"/>
        <v>0</v>
      </c>
    </row>
    <row r="21" spans="1:17" s="59" customFormat="1" ht="15.7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/>
      <c r="G21" s="226"/>
      <c r="H21" s="228">
        <f t="shared" si="4"/>
        <v>0</v>
      </c>
      <c r="I21" s="306">
        <v>72665</v>
      </c>
      <c r="J21" s="226"/>
      <c r="K21" s="228">
        <f t="shared" si="5"/>
        <v>72665</v>
      </c>
      <c r="L21" s="306">
        <v>39330</v>
      </c>
      <c r="M21" s="226">
        <v>1402</v>
      </c>
      <c r="N21" s="887">
        <f t="shared" si="6"/>
        <v>40732</v>
      </c>
      <c r="O21" s="1126"/>
      <c r="P21" s="390"/>
      <c r="Q21" s="1115">
        <f t="shared" si="7"/>
        <v>0</v>
      </c>
    </row>
    <row r="22" spans="1:17" s="59" customFormat="1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1142"/>
      <c r="J22" s="393"/>
      <c r="K22" s="1115">
        <f t="shared" si="5"/>
        <v>0</v>
      </c>
      <c r="L22" s="308"/>
      <c r="M22" s="151"/>
      <c r="N22" s="887">
        <f t="shared" si="6"/>
        <v>0</v>
      </c>
      <c r="O22" s="1127"/>
      <c r="P22" s="393"/>
      <c r="Q22" s="1115">
        <f t="shared" si="7"/>
        <v>0</v>
      </c>
    </row>
    <row r="23" spans="1:17" s="63" customFormat="1" ht="16.5" thickBot="1">
      <c r="A23" s="317">
        <v>5</v>
      </c>
      <c r="B23" s="305" t="s">
        <v>171</v>
      </c>
      <c r="C23" s="347">
        <f aca="true" t="shared" si="8" ref="C23:Q23">SUM(C15:C22)</f>
        <v>163125</v>
      </c>
      <c r="D23" s="314">
        <f t="shared" si="8"/>
        <v>135</v>
      </c>
      <c r="E23" s="320">
        <f t="shared" si="8"/>
        <v>163260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90307</v>
      </c>
      <c r="J23" s="314">
        <f t="shared" si="8"/>
        <v>0</v>
      </c>
      <c r="K23" s="320">
        <f t="shared" si="8"/>
        <v>90307</v>
      </c>
      <c r="L23" s="347">
        <f t="shared" si="8"/>
        <v>39980</v>
      </c>
      <c r="M23" s="314">
        <f t="shared" si="8"/>
        <v>1402</v>
      </c>
      <c r="N23" s="320">
        <f t="shared" si="8"/>
        <v>41382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44" s="2" customFormat="1" ht="16.5" thickBot="1">
      <c r="A24" s="313">
        <v>6</v>
      </c>
      <c r="B24" s="305" t="s">
        <v>174</v>
      </c>
      <c r="C24" s="318">
        <v>200</v>
      </c>
      <c r="D24" s="314">
        <v>2568</v>
      </c>
      <c r="E24" s="320">
        <f aca="true" t="shared" si="9" ref="E24:E30">SUM(C24:D24)</f>
        <v>2768</v>
      </c>
      <c r="F24" s="318"/>
      <c r="G24" s="314"/>
      <c r="H24" s="320">
        <f aca="true" t="shared" si="10" ref="H24:H30">SUM(F24:G24)</f>
        <v>0</v>
      </c>
      <c r="I24" s="318">
        <v>43345</v>
      </c>
      <c r="J24" s="314">
        <v>-18095</v>
      </c>
      <c r="K24" s="320">
        <f aca="true" t="shared" si="11" ref="K24:K30">SUM(I24:J24)</f>
        <v>25250</v>
      </c>
      <c r="L24" s="318">
        <v>3500</v>
      </c>
      <c r="M24" s="314">
        <v>-2000</v>
      </c>
      <c r="N24" s="330">
        <f aca="true" t="shared" si="12" ref="N24:N30">SUM(L24:M24)</f>
        <v>1500</v>
      </c>
      <c r="O24" s="1128"/>
      <c r="P24" s="387"/>
      <c r="Q24" s="1116">
        <f aca="true" t="shared" si="13" ref="Q24:Q30">SUM(O24:P24)</f>
        <v>0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s="131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>
        <v>11060</v>
      </c>
      <c r="J25" s="314"/>
      <c r="K25" s="320">
        <f t="shared" si="11"/>
        <v>11060</v>
      </c>
      <c r="L25" s="330"/>
      <c r="M25" s="314"/>
      <c r="N25" s="330">
        <f t="shared" si="12"/>
        <v>0</v>
      </c>
      <c r="O25" s="1128"/>
      <c r="P25" s="387"/>
      <c r="Q25" s="1116">
        <f t="shared" si="13"/>
        <v>0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s="2" customFormat="1" ht="15.7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887">
        <f t="shared" si="12"/>
        <v>0</v>
      </c>
      <c r="O26" s="1126"/>
      <c r="P26" s="390"/>
      <c r="Q26" s="1115">
        <f t="shared" si="13"/>
        <v>0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1:44" s="2" customFormat="1" ht="15.7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887">
        <f t="shared" si="12"/>
        <v>0</v>
      </c>
      <c r="O27" s="1126"/>
      <c r="P27" s="390"/>
      <c r="Q27" s="1115">
        <f t="shared" si="13"/>
        <v>0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1:44" s="2" customFormat="1" ht="15.7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139"/>
      <c r="N28" s="887">
        <f t="shared" si="12"/>
        <v>0</v>
      </c>
      <c r="O28" s="1126"/>
      <c r="P28" s="390"/>
      <c r="Q28" s="1115">
        <f t="shared" si="13"/>
        <v>0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44" s="2" customFormat="1" ht="15.75">
      <c r="A29" s="156" t="s">
        <v>101</v>
      </c>
      <c r="B29" s="149" t="s">
        <v>631</v>
      </c>
      <c r="C29" s="306">
        <v>10954</v>
      </c>
      <c r="D29" s="226">
        <v>379</v>
      </c>
      <c r="E29" s="228">
        <f t="shared" si="9"/>
        <v>11333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887">
        <f t="shared" si="12"/>
        <v>0</v>
      </c>
      <c r="O29" s="1126"/>
      <c r="P29" s="390"/>
      <c r="Q29" s="1115">
        <f t="shared" si="13"/>
        <v>0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44" s="2" customFormat="1" ht="16.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>
        <v>147683</v>
      </c>
      <c r="J30" s="321">
        <v>18605</v>
      </c>
      <c r="K30" s="324">
        <f t="shared" si="11"/>
        <v>166288</v>
      </c>
      <c r="L30" s="329"/>
      <c r="M30" s="321"/>
      <c r="N30" s="157">
        <f t="shared" si="12"/>
        <v>0</v>
      </c>
      <c r="O30" s="1129"/>
      <c r="P30" s="396"/>
      <c r="Q30" s="1117">
        <f t="shared" si="13"/>
        <v>0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1:44" s="131" customFormat="1" ht="16.5" thickBot="1">
      <c r="A31" s="313">
        <v>8</v>
      </c>
      <c r="B31" s="305" t="s">
        <v>173</v>
      </c>
      <c r="C31" s="347">
        <f aca="true" t="shared" si="14" ref="C31:Q31">SUM(C26:C30)</f>
        <v>10954</v>
      </c>
      <c r="D31" s="314">
        <f t="shared" si="14"/>
        <v>379</v>
      </c>
      <c r="E31" s="320">
        <f t="shared" si="14"/>
        <v>11333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147683</v>
      </c>
      <c r="J31" s="314">
        <f t="shared" si="14"/>
        <v>18605</v>
      </c>
      <c r="K31" s="320">
        <f t="shared" si="14"/>
        <v>166288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17" s="2" customFormat="1" ht="16.5" thickBot="1">
      <c r="A32" s="313">
        <v>9</v>
      </c>
      <c r="B32" s="305" t="s">
        <v>179</v>
      </c>
      <c r="C32" s="318">
        <v>38585</v>
      </c>
      <c r="D32" s="314">
        <v>72111</v>
      </c>
      <c r="E32" s="320">
        <f>SUM(C32:D32)</f>
        <v>110696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30">
        <f>SUM(L32:M32)</f>
        <v>0</v>
      </c>
      <c r="O32" s="1128"/>
      <c r="P32" s="387"/>
      <c r="Q32" s="1116">
        <f>SUM(O32:P32)</f>
        <v>0</v>
      </c>
    </row>
    <row r="33" spans="1:17" s="35" customFormat="1" ht="16.5" thickBot="1">
      <c r="A33" s="367">
        <v>10</v>
      </c>
      <c r="B33" s="368"/>
      <c r="C33" s="934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293">
        <f>SUM(L33:M33)</f>
        <v>0</v>
      </c>
      <c r="O33" s="158"/>
      <c r="P33" s="369"/>
      <c r="Q33" s="1106">
        <f>SUM(O33:P33)</f>
        <v>0</v>
      </c>
    </row>
    <row r="34" spans="1:17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830569</v>
      </c>
      <c r="D34" s="344">
        <f t="shared" si="15"/>
        <v>-44394</v>
      </c>
      <c r="E34" s="778">
        <f t="shared" si="15"/>
        <v>786175</v>
      </c>
      <c r="F34" s="365">
        <f t="shared" si="15"/>
        <v>96757</v>
      </c>
      <c r="G34" s="344">
        <f t="shared" si="15"/>
        <v>0</v>
      </c>
      <c r="H34" s="778">
        <f t="shared" si="15"/>
        <v>96757</v>
      </c>
      <c r="I34" s="365">
        <f t="shared" si="15"/>
        <v>320213</v>
      </c>
      <c r="J34" s="344">
        <f t="shared" si="15"/>
        <v>610</v>
      </c>
      <c r="K34" s="778">
        <f t="shared" si="15"/>
        <v>320823</v>
      </c>
      <c r="L34" s="365">
        <f t="shared" si="15"/>
        <v>202703</v>
      </c>
      <c r="M34" s="344">
        <f t="shared" si="15"/>
        <v>-5683</v>
      </c>
      <c r="N34" s="778">
        <f t="shared" si="15"/>
        <v>197020</v>
      </c>
      <c r="O34" s="365">
        <f t="shared" si="15"/>
        <v>126626</v>
      </c>
      <c r="P34" s="344">
        <f t="shared" si="15"/>
        <v>57</v>
      </c>
      <c r="Q34" s="374">
        <f t="shared" si="15"/>
        <v>126683</v>
      </c>
    </row>
    <row r="35" spans="1:21" s="2" customFormat="1" ht="17.25" thickBot="1" thickTop="1">
      <c r="A35" s="144"/>
      <c r="B35" s="346" t="s">
        <v>131</v>
      </c>
      <c r="C35" s="1076"/>
      <c r="D35" s="302"/>
      <c r="E35" s="1107"/>
      <c r="F35" s="888"/>
      <c r="G35" s="302"/>
      <c r="H35" s="1107"/>
      <c r="I35" s="935"/>
      <c r="J35" s="302"/>
      <c r="K35" s="1107"/>
      <c r="L35" s="935"/>
      <c r="M35" s="302"/>
      <c r="N35" s="888"/>
      <c r="O35" s="1076"/>
      <c r="P35" s="302"/>
      <c r="Q35" s="1107"/>
      <c r="R35" s="199"/>
      <c r="S35" s="199"/>
      <c r="T35" s="199"/>
      <c r="U35" s="199"/>
    </row>
    <row r="36" spans="1:17" s="2" customFormat="1" ht="15.75">
      <c r="A36" s="769" t="s">
        <v>98</v>
      </c>
      <c r="B36" s="770" t="s">
        <v>389</v>
      </c>
      <c r="C36" s="1084"/>
      <c r="D36" s="771"/>
      <c r="E36" s="776">
        <f aca="true" t="shared" si="16" ref="E36:E44"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5">
        <f>SUM(L36:M36)</f>
        <v>0</v>
      </c>
      <c r="O36" s="1130"/>
      <c r="P36" s="774"/>
      <c r="Q36" s="1118">
        <f>SUM(O36:P36)</f>
        <v>0</v>
      </c>
    </row>
    <row r="37" spans="1:17" s="2" customFormat="1" ht="15.7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885">
        <f>SUM(L37:M37)</f>
        <v>0</v>
      </c>
      <c r="O37" s="1125"/>
      <c r="P37" s="392"/>
      <c r="Q37" s="1119">
        <f>SUM(O37:P37)</f>
        <v>0</v>
      </c>
    </row>
    <row r="38" spans="1:17" s="2" customFormat="1" ht="15.75">
      <c r="A38" s="335" t="s">
        <v>100</v>
      </c>
      <c r="B38" s="142" t="s">
        <v>390</v>
      </c>
      <c r="C38" s="1075"/>
      <c r="D38" s="321"/>
      <c r="E38" s="324">
        <f t="shared" si="16"/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157">
        <f>SUM(L38:M38)</f>
        <v>0</v>
      </c>
      <c r="O38" s="1129"/>
      <c r="P38" s="396"/>
      <c r="Q38" s="1117">
        <f>SUM(O38:P38)</f>
        <v>0</v>
      </c>
    </row>
    <row r="39" spans="1:17" s="2" customFormat="1" ht="16.5" thickBot="1">
      <c r="A39" s="154" t="s">
        <v>101</v>
      </c>
      <c r="B39" s="155" t="s">
        <v>394</v>
      </c>
      <c r="C39" s="907"/>
      <c r="D39" s="151"/>
      <c r="E39" s="238">
        <f>SUM(C39:D39)</f>
        <v>0</v>
      </c>
      <c r="F39" s="886"/>
      <c r="G39" s="151"/>
      <c r="H39" s="238">
        <f>SUM(F39:G39)</f>
        <v>0</v>
      </c>
      <c r="I39" s="907">
        <v>16</v>
      </c>
      <c r="J39" s="151"/>
      <c r="K39" s="238">
        <f>SUM(I39:J39)</f>
        <v>16</v>
      </c>
      <c r="L39" s="907"/>
      <c r="M39" s="151"/>
      <c r="N39" s="886">
        <f>SUM(L39:M39)</f>
        <v>0</v>
      </c>
      <c r="O39" s="1127"/>
      <c r="P39" s="393"/>
      <c r="Q39" s="1120">
        <f>SUM(O39:P39)</f>
        <v>0</v>
      </c>
    </row>
    <row r="40" spans="1:17" s="131" customFormat="1" ht="16.5" thickBot="1">
      <c r="A40" s="313">
        <v>1</v>
      </c>
      <c r="B40" s="305" t="s">
        <v>177</v>
      </c>
      <c r="C40" s="347">
        <f aca="true" t="shared" si="17" ref="C40:Q40">SUM(C36:C39)</f>
        <v>0</v>
      </c>
      <c r="D40" s="314">
        <f t="shared" si="17"/>
        <v>0</v>
      </c>
      <c r="E40" s="320">
        <f t="shared" si="17"/>
        <v>0</v>
      </c>
      <c r="F40" s="347">
        <f t="shared" si="17"/>
        <v>0</v>
      </c>
      <c r="G40" s="314">
        <f t="shared" si="17"/>
        <v>0</v>
      </c>
      <c r="H40" s="320">
        <f t="shared" si="17"/>
        <v>0</v>
      </c>
      <c r="I40" s="347">
        <f t="shared" si="17"/>
        <v>16</v>
      </c>
      <c r="J40" s="314">
        <f t="shared" si="17"/>
        <v>0</v>
      </c>
      <c r="K40" s="320">
        <f t="shared" si="17"/>
        <v>16</v>
      </c>
      <c r="L40" s="347">
        <f t="shared" si="17"/>
        <v>0</v>
      </c>
      <c r="M40" s="314">
        <f t="shared" si="17"/>
        <v>0</v>
      </c>
      <c r="N40" s="320">
        <f t="shared" si="17"/>
        <v>0</v>
      </c>
      <c r="O40" s="347">
        <f t="shared" si="17"/>
        <v>0</v>
      </c>
      <c r="P40" s="314">
        <f t="shared" si="17"/>
        <v>0</v>
      </c>
      <c r="Q40" s="320">
        <f t="shared" si="17"/>
        <v>0</v>
      </c>
    </row>
    <row r="41" spans="1:17" s="2" customFormat="1" ht="15.75">
      <c r="A41" s="156" t="s">
        <v>98</v>
      </c>
      <c r="B41" s="145" t="s">
        <v>416</v>
      </c>
      <c r="C41" s="1074"/>
      <c r="D41" s="226"/>
      <c r="E41" s="228">
        <f t="shared" si="16"/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887">
        <f>SUM(L41:M41)</f>
        <v>0</v>
      </c>
      <c r="O41" s="1126"/>
      <c r="P41" s="390"/>
      <c r="Q41" s="1115">
        <f>SUM(O41:P41)</f>
        <v>0</v>
      </c>
    </row>
    <row r="42" spans="1:17" s="2" customFormat="1" ht="15.7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885">
        <f>SUM(L42:M42)</f>
        <v>0</v>
      </c>
      <c r="O42" s="1125"/>
      <c r="P42" s="392"/>
      <c r="Q42" s="1119">
        <f>SUM(O42:P42)</f>
        <v>0</v>
      </c>
    </row>
    <row r="43" spans="1:17" s="2" customFormat="1" ht="15.7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885">
        <f>SUM(L43:M43)</f>
        <v>0</v>
      </c>
      <c r="O43" s="1125"/>
      <c r="P43" s="392"/>
      <c r="Q43" s="1119">
        <f>SUM(O43:P43)</f>
        <v>0</v>
      </c>
    </row>
    <row r="44" spans="1:17" s="2" customFormat="1" ht="16.5" thickBot="1">
      <c r="A44" s="154" t="s">
        <v>101</v>
      </c>
      <c r="B44" s="155" t="s">
        <v>175</v>
      </c>
      <c r="C44" s="907">
        <v>2167</v>
      </c>
      <c r="D44" s="151">
        <v>259</v>
      </c>
      <c r="E44" s="238">
        <f t="shared" si="16"/>
        <v>2426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886">
        <f>SUM(L44:M44)</f>
        <v>0</v>
      </c>
      <c r="O44" s="1127"/>
      <c r="P44" s="393"/>
      <c r="Q44" s="1120">
        <f>SUM(O44:P44)</f>
        <v>0</v>
      </c>
    </row>
    <row r="45" spans="1:17" s="131" customFormat="1" ht="16.5" thickBot="1">
      <c r="A45" s="313">
        <v>2</v>
      </c>
      <c r="B45" s="305" t="s">
        <v>176</v>
      </c>
      <c r="C45" s="347">
        <f>SUM(C41:C44)</f>
        <v>2167</v>
      </c>
      <c r="D45" s="314">
        <f aca="true" t="shared" si="18" ref="D45:Q45">SUM(D41:D44)</f>
        <v>259</v>
      </c>
      <c r="E45" s="316">
        <f t="shared" si="18"/>
        <v>2426</v>
      </c>
      <c r="F45" s="347">
        <f t="shared" si="18"/>
        <v>0</v>
      </c>
      <c r="G45" s="314">
        <f t="shared" si="18"/>
        <v>0</v>
      </c>
      <c r="H45" s="316">
        <f t="shared" si="18"/>
        <v>0</v>
      </c>
      <c r="I45" s="347">
        <f t="shared" si="18"/>
        <v>0</v>
      </c>
      <c r="J45" s="314">
        <f t="shared" si="18"/>
        <v>0</v>
      </c>
      <c r="K45" s="316">
        <f t="shared" si="18"/>
        <v>0</v>
      </c>
      <c r="L45" s="347">
        <f t="shared" si="18"/>
        <v>0</v>
      </c>
      <c r="M45" s="314">
        <f t="shared" si="18"/>
        <v>0</v>
      </c>
      <c r="N45" s="330">
        <f t="shared" si="18"/>
        <v>0</v>
      </c>
      <c r="O45" s="347">
        <f t="shared" si="18"/>
        <v>0</v>
      </c>
      <c r="P45" s="314">
        <f t="shared" si="18"/>
        <v>0</v>
      </c>
      <c r="Q45" s="320">
        <f t="shared" si="18"/>
        <v>0</v>
      </c>
    </row>
    <row r="46" spans="1:17" s="131" customFormat="1" ht="16.5" thickBot="1">
      <c r="A46" s="313">
        <v>3</v>
      </c>
      <c r="B46" s="305" t="s">
        <v>264</v>
      </c>
      <c r="C46" s="347">
        <v>59782</v>
      </c>
      <c r="D46" s="314">
        <v>6954</v>
      </c>
      <c r="E46" s="316">
        <f>SUM(C46:D46)</f>
        <v>66736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>
        <v>258</v>
      </c>
      <c r="M46" s="314">
        <v>123</v>
      </c>
      <c r="N46" s="330">
        <f>SUM(L46:M46)</f>
        <v>381</v>
      </c>
      <c r="O46" s="347">
        <v>1372</v>
      </c>
      <c r="P46" s="314">
        <v>508</v>
      </c>
      <c r="Q46" s="320">
        <f>SUM(O46:P46)</f>
        <v>1880</v>
      </c>
    </row>
    <row r="47" spans="1:17" s="2" customFormat="1" ht="16.5" thickBot="1">
      <c r="A47" s="313">
        <v>4</v>
      </c>
      <c r="B47" s="305" t="s">
        <v>285</v>
      </c>
      <c r="C47" s="347"/>
      <c r="D47" s="314">
        <v>103</v>
      </c>
      <c r="E47" s="316">
        <f>SUM(C47:D47)</f>
        <v>103</v>
      </c>
      <c r="F47" s="347"/>
      <c r="G47" s="314"/>
      <c r="H47" s="316">
        <f>SUM(F47:G47)</f>
        <v>0</v>
      </c>
      <c r="I47" s="347">
        <v>48</v>
      </c>
      <c r="J47" s="314"/>
      <c r="K47" s="316">
        <f>SUM(I47:J47)</f>
        <v>48</v>
      </c>
      <c r="L47" s="347">
        <v>113</v>
      </c>
      <c r="M47" s="314"/>
      <c r="N47" s="330">
        <f>SUM(L47:M47)</f>
        <v>113</v>
      </c>
      <c r="O47" s="347"/>
      <c r="P47" s="314"/>
      <c r="Q47" s="320">
        <f>SUM(O47:P47)</f>
        <v>0</v>
      </c>
    </row>
    <row r="48" spans="1:17" s="2" customFormat="1" ht="15.7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887">
        <f>SUM(L48:M48)</f>
        <v>0</v>
      </c>
      <c r="O48" s="1126"/>
      <c r="P48" s="390"/>
      <c r="Q48" s="1115">
        <f>SUM(O48:P48)</f>
        <v>0</v>
      </c>
    </row>
    <row r="49" spans="1:17" s="2" customFormat="1" ht="15.7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885">
        <f>SUM(L49:M49)</f>
        <v>0</v>
      </c>
      <c r="O49" s="1125"/>
      <c r="P49" s="392"/>
      <c r="Q49" s="1119">
        <f>SUM(O49:P49)</f>
        <v>0</v>
      </c>
    </row>
    <row r="50" spans="1:17" s="2" customFormat="1" ht="16.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885">
        <f>SUM(L50:M50)</f>
        <v>0</v>
      </c>
      <c r="O50" s="1125"/>
      <c r="P50" s="392"/>
      <c r="Q50" s="1119">
        <f>SUM(O50:P50)</f>
        <v>0</v>
      </c>
    </row>
    <row r="51" spans="1:17" s="131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9" ref="E51:Q51">SUM(E48:E50)</f>
        <v>0</v>
      </c>
      <c r="F51" s="347">
        <f t="shared" si="19"/>
        <v>0</v>
      </c>
      <c r="G51" s="314">
        <f t="shared" si="19"/>
        <v>0</v>
      </c>
      <c r="H51" s="316">
        <f t="shared" si="19"/>
        <v>0</v>
      </c>
      <c r="I51" s="347">
        <f t="shared" si="19"/>
        <v>0</v>
      </c>
      <c r="J51" s="314">
        <f t="shared" si="19"/>
        <v>0</v>
      </c>
      <c r="K51" s="316">
        <f t="shared" si="19"/>
        <v>0</v>
      </c>
      <c r="L51" s="347">
        <f t="shared" si="19"/>
        <v>0</v>
      </c>
      <c r="M51" s="314">
        <f t="shared" si="19"/>
        <v>0</v>
      </c>
      <c r="N51" s="316">
        <f t="shared" si="19"/>
        <v>0</v>
      </c>
      <c r="O51" s="347">
        <f t="shared" si="19"/>
        <v>0</v>
      </c>
      <c r="P51" s="314">
        <f t="shared" si="19"/>
        <v>0</v>
      </c>
      <c r="Q51" s="320">
        <f t="shared" si="19"/>
        <v>0</v>
      </c>
    </row>
    <row r="52" spans="1:17" s="131" customFormat="1" ht="16.5" thickBot="1">
      <c r="A52" s="765">
        <v>6</v>
      </c>
      <c r="B52" s="766" t="s">
        <v>295</v>
      </c>
      <c r="C52" s="1077"/>
      <c r="D52" s="339">
        <v>16</v>
      </c>
      <c r="E52" s="332">
        <f>SUM(C52:D52)</f>
        <v>16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1083"/>
      <c r="M52" s="339"/>
      <c r="N52" s="333">
        <f>SUM(L52:M52)</f>
        <v>0</v>
      </c>
      <c r="O52" s="1131"/>
      <c r="P52" s="759"/>
      <c r="Q52" s="1121">
        <f>SUM(O52:P52)</f>
        <v>0</v>
      </c>
    </row>
    <row r="53" spans="1:17" s="2" customFormat="1" ht="15.75">
      <c r="A53" s="137" t="s">
        <v>98</v>
      </c>
      <c r="B53" s="138" t="s">
        <v>395</v>
      </c>
      <c r="C53" s="1078">
        <v>954</v>
      </c>
      <c r="D53" s="140">
        <v>379</v>
      </c>
      <c r="E53" s="195">
        <f>SUM(C53:D53)</f>
        <v>1333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1078"/>
      <c r="M53" s="140"/>
      <c r="N53" s="889">
        <f>SUM(L53:M53)</f>
        <v>0</v>
      </c>
      <c r="O53" s="1132"/>
      <c r="P53" s="401"/>
      <c r="Q53" s="1122">
        <f>SUM(O53:P53)</f>
        <v>0</v>
      </c>
    </row>
    <row r="54" spans="1:17" s="2" customFormat="1" ht="16.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157">
        <f>SUM(L54:M54)</f>
        <v>0</v>
      </c>
      <c r="O54" s="1129"/>
      <c r="P54" s="396"/>
      <c r="Q54" s="1117">
        <f>SUM(O54:P54)</f>
        <v>0</v>
      </c>
    </row>
    <row r="55" spans="1:17" s="131" customFormat="1" ht="17.25" customHeight="1" thickBot="1">
      <c r="A55" s="313">
        <v>7</v>
      </c>
      <c r="B55" s="305" t="s">
        <v>181</v>
      </c>
      <c r="C55" s="347">
        <f>SUM(C53:C54)</f>
        <v>954</v>
      </c>
      <c r="D55" s="314">
        <f aca="true" t="shared" si="20" ref="D55:Q55">SUM(D53:D54)</f>
        <v>379</v>
      </c>
      <c r="E55" s="316">
        <f t="shared" si="20"/>
        <v>1333</v>
      </c>
      <c r="F55" s="347">
        <f t="shared" si="20"/>
        <v>0</v>
      </c>
      <c r="G55" s="314">
        <f t="shared" si="20"/>
        <v>0</v>
      </c>
      <c r="H55" s="316">
        <f t="shared" si="20"/>
        <v>0</v>
      </c>
      <c r="I55" s="347">
        <f t="shared" si="20"/>
        <v>0</v>
      </c>
      <c r="J55" s="314">
        <f t="shared" si="20"/>
        <v>0</v>
      </c>
      <c r="K55" s="316">
        <f t="shared" si="20"/>
        <v>0</v>
      </c>
      <c r="L55" s="347">
        <f t="shared" si="20"/>
        <v>0</v>
      </c>
      <c r="M55" s="314">
        <f t="shared" si="20"/>
        <v>0</v>
      </c>
      <c r="N55" s="316">
        <f t="shared" si="20"/>
        <v>0</v>
      </c>
      <c r="O55" s="1085">
        <f t="shared" si="20"/>
        <v>0</v>
      </c>
      <c r="P55" s="1087">
        <f t="shared" si="20"/>
        <v>0</v>
      </c>
      <c r="Q55" s="1089">
        <f t="shared" si="20"/>
        <v>0</v>
      </c>
    </row>
    <row r="56" spans="1:17" s="2" customFormat="1" ht="19.5" customHeight="1" thickBot="1">
      <c r="A56" s="716">
        <v>8</v>
      </c>
      <c r="B56" s="717" t="s">
        <v>46</v>
      </c>
      <c r="C56" s="1110">
        <f>C34-C40-C45-C46-C47-C51-C52-C55-C57-C58-C59</f>
        <v>-1232334</v>
      </c>
      <c r="D56" s="1111">
        <f>D34-D40-D45-D46-D47-D51-D52-D55-D57-D58-D59</f>
        <v>-124216</v>
      </c>
      <c r="E56" s="1108">
        <f aca="true" t="shared" si="21" ref="E56:Q56">E34-E40-E45-E46-E47-E51-E52-E55-E57-E58-E59</f>
        <v>-1356550</v>
      </c>
      <c r="F56" s="1110">
        <f t="shared" si="21"/>
        <v>96757</v>
      </c>
      <c r="G56" s="1111">
        <f t="shared" si="21"/>
        <v>0</v>
      </c>
      <c r="H56" s="1108">
        <f t="shared" si="21"/>
        <v>96757</v>
      </c>
      <c r="I56" s="1110">
        <f t="shared" si="21"/>
        <v>320149</v>
      </c>
      <c r="J56" s="1111">
        <f t="shared" si="21"/>
        <v>610</v>
      </c>
      <c r="K56" s="1108">
        <f t="shared" si="21"/>
        <v>320759</v>
      </c>
      <c r="L56" s="1110">
        <f t="shared" si="21"/>
        <v>202332</v>
      </c>
      <c r="M56" s="1111">
        <f t="shared" si="21"/>
        <v>-5806</v>
      </c>
      <c r="N56" s="1108">
        <f t="shared" si="21"/>
        <v>196526</v>
      </c>
      <c r="O56" s="1133">
        <f t="shared" si="21"/>
        <v>125254</v>
      </c>
      <c r="P56" s="1135">
        <f t="shared" si="21"/>
        <v>-451</v>
      </c>
      <c r="Q56" s="1123">
        <f t="shared" si="21"/>
        <v>124803</v>
      </c>
    </row>
    <row r="57" spans="1:17" s="131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890">
        <f>SUM(L57:M57)</f>
        <v>0</v>
      </c>
      <c r="O57" s="1134"/>
      <c r="P57" s="404"/>
      <c r="Q57" s="1124">
        <f>SUM(O57:P57)</f>
        <v>0</v>
      </c>
    </row>
    <row r="58" spans="1:17" s="131" customFormat="1" ht="15.75">
      <c r="A58" s="336" t="s">
        <v>183</v>
      </c>
      <c r="B58" s="337" t="s">
        <v>397</v>
      </c>
      <c r="C58" s="326">
        <v>2000000</v>
      </c>
      <c r="D58" s="327">
        <v>72111</v>
      </c>
      <c r="E58" s="402">
        <f>SUM(C58:D58)</f>
        <v>2072111</v>
      </c>
      <c r="F58" s="331"/>
      <c r="G58" s="327"/>
      <c r="H58" s="402">
        <f>SUM(F58:G58)</f>
        <v>0</v>
      </c>
      <c r="I58" s="1080"/>
      <c r="J58" s="327"/>
      <c r="K58" s="1109">
        <f>SUM(I58:J58)</f>
        <v>0</v>
      </c>
      <c r="L58" s="1080"/>
      <c r="M58" s="327"/>
      <c r="N58" s="890">
        <f>SUM(L58:M58)</f>
        <v>0</v>
      </c>
      <c r="O58" s="1134"/>
      <c r="P58" s="404"/>
      <c r="Q58" s="1124">
        <f>SUM(O58:P58)</f>
        <v>0</v>
      </c>
    </row>
    <row r="59" spans="1:17" s="131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944">
        <f>SUM(L59:M59)</f>
        <v>0</v>
      </c>
      <c r="O59" s="408"/>
      <c r="P59" s="409"/>
      <c r="Q59" s="410">
        <f>SUM(O59:P59)</f>
        <v>0</v>
      </c>
    </row>
    <row r="60" spans="1:17" s="35" customFormat="1" ht="17.25" thickBot="1" thickTop="1">
      <c r="A60" s="343" t="s">
        <v>109</v>
      </c>
      <c r="B60" s="345" t="s">
        <v>182</v>
      </c>
      <c r="C60" s="779">
        <f>C40+C45+C46+C47+C51+C52+C55+C56+C57+C58+C59</f>
        <v>830569</v>
      </c>
      <c r="D60" s="780">
        <f aca="true" t="shared" si="22" ref="D60:Q60">D40+D45+D46+D47+D51+D52+D55+D56+D57+D58+D59</f>
        <v>-44394</v>
      </c>
      <c r="E60" s="363">
        <f t="shared" si="22"/>
        <v>786175</v>
      </c>
      <c r="F60" s="364">
        <f t="shared" si="22"/>
        <v>96757</v>
      </c>
      <c r="G60" s="344">
        <f t="shared" si="22"/>
        <v>0</v>
      </c>
      <c r="H60" s="363">
        <f t="shared" si="22"/>
        <v>96757</v>
      </c>
      <c r="I60" s="779">
        <f t="shared" si="22"/>
        <v>320213</v>
      </c>
      <c r="J60" s="780">
        <f t="shared" si="22"/>
        <v>610</v>
      </c>
      <c r="K60" s="363">
        <f t="shared" si="22"/>
        <v>320823</v>
      </c>
      <c r="L60" s="364">
        <f t="shared" si="22"/>
        <v>202703</v>
      </c>
      <c r="M60" s="344">
        <f t="shared" si="22"/>
        <v>-5683</v>
      </c>
      <c r="N60" s="363">
        <f t="shared" si="22"/>
        <v>197020</v>
      </c>
      <c r="O60" s="364">
        <f t="shared" si="22"/>
        <v>126626</v>
      </c>
      <c r="P60" s="344">
        <f t="shared" si="22"/>
        <v>57</v>
      </c>
      <c r="Q60" s="374">
        <f t="shared" si="22"/>
        <v>126683</v>
      </c>
    </row>
    <row r="61" spans="1:17" s="2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s="2" customFormat="1" ht="17.25" thickBot="1" thickTop="1">
      <c r="A62" s="167"/>
      <c r="B62" s="168" t="s">
        <v>579</v>
      </c>
      <c r="C62" s="945">
        <v>4</v>
      </c>
      <c r="D62" s="414"/>
      <c r="E62" s="413">
        <f>SUM(C62:D62)</f>
        <v>4</v>
      </c>
      <c r="F62" s="196">
        <v>29</v>
      </c>
      <c r="G62" s="412"/>
      <c r="H62" s="413">
        <f>SUM(F62:G62)</f>
        <v>29</v>
      </c>
      <c r="I62" s="196"/>
      <c r="J62" s="412"/>
      <c r="K62" s="413">
        <f>SUM(I62:J62)</f>
        <v>0</v>
      </c>
      <c r="L62" s="196"/>
      <c r="M62" s="412"/>
      <c r="N62" s="413">
        <f>SUM(L62:M62)</f>
        <v>0</v>
      </c>
      <c r="O62" s="415"/>
      <c r="P62" s="939"/>
      <c r="Q62" s="417">
        <f>SUM(O62:P62)</f>
        <v>0</v>
      </c>
    </row>
    <row r="63" spans="1:17" s="2" customFormat="1" ht="17.25" thickBot="1" thickTop="1">
      <c r="A63" s="167"/>
      <c r="B63" s="168" t="s">
        <v>580</v>
      </c>
      <c r="C63" s="945"/>
      <c r="D63" s="414"/>
      <c r="E63" s="413">
        <f>SUM(C63:D63)</f>
        <v>0</v>
      </c>
      <c r="F63" s="196"/>
      <c r="G63" s="412"/>
      <c r="H63" s="413">
        <f>SUM(F63:G63)</f>
        <v>0</v>
      </c>
      <c r="I63" s="196"/>
      <c r="J63" s="412"/>
      <c r="K63" s="413">
        <f>SUM(I63:J63)</f>
        <v>0</v>
      </c>
      <c r="L63" s="196"/>
      <c r="M63" s="412"/>
      <c r="N63" s="413">
        <f>SUM(L63:M63)</f>
        <v>0</v>
      </c>
      <c r="O63" s="415"/>
      <c r="P63" s="939"/>
      <c r="Q63" s="417">
        <f>SUM(O63:P63)</f>
        <v>0</v>
      </c>
    </row>
    <row r="64" spans="1:17" s="2" customFormat="1" ht="16.5" thickTop="1">
      <c r="A64" s="418"/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6"/>
      <c r="M64" s="942"/>
      <c r="N64" s="942"/>
      <c r="O64" s="947"/>
      <c r="P64" s="947"/>
      <c r="Q64" s="947"/>
    </row>
    <row r="65" spans="1:17" s="2" customFormat="1" ht="15.75">
      <c r="A65" s="418"/>
      <c r="B65" s="942"/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  <c r="N65" s="942"/>
      <c r="O65" s="947"/>
      <c r="P65" s="947"/>
      <c r="Q65" s="947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1" width="14.625" style="88" customWidth="1"/>
    <col min="12" max="12" width="14.875" style="88" customWidth="1"/>
    <col min="13" max="17" width="14.625" style="88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893"/>
      <c r="O1" s="893"/>
      <c r="P1" s="893"/>
      <c r="Q1" s="892" t="s">
        <v>947</v>
      </c>
    </row>
    <row r="2" spans="1:17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893"/>
      <c r="O2" s="893"/>
      <c r="P2" s="893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893"/>
      <c r="O3" s="893"/>
      <c r="P3" s="893"/>
      <c r="Q3" s="893" t="s">
        <v>132</v>
      </c>
    </row>
    <row r="4" spans="1:17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17" ht="39.7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905"/>
      <c r="O6" s="931"/>
      <c r="P6" s="386"/>
      <c r="Q6" s="13" t="s">
        <v>134</v>
      </c>
    </row>
    <row r="7" spans="1:17" s="88" customFormat="1" ht="34.5" customHeight="1">
      <c r="A7" s="230" t="s">
        <v>124</v>
      </c>
      <c r="B7" s="87" t="s">
        <v>125</v>
      </c>
      <c r="C7" s="1947" t="s">
        <v>137</v>
      </c>
      <c r="D7" s="1948"/>
      <c r="E7" s="1949"/>
      <c r="F7" s="1958" t="s">
        <v>138</v>
      </c>
      <c r="G7" s="1959"/>
      <c r="H7" s="1960"/>
      <c r="I7" s="1958" t="s">
        <v>140</v>
      </c>
      <c r="J7" s="1959"/>
      <c r="K7" s="1960"/>
      <c r="L7" s="1947" t="s">
        <v>141</v>
      </c>
      <c r="M7" s="1948"/>
      <c r="N7" s="1949"/>
      <c r="O7" s="1955" t="s">
        <v>425</v>
      </c>
      <c r="P7" s="1956"/>
      <c r="Q7" s="1957"/>
    </row>
    <row r="8" spans="1:17" s="29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42" customFormat="1" ht="12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3"/>
      <c r="M10" s="1138"/>
      <c r="N10" s="915"/>
      <c r="O10" s="943"/>
      <c r="P10" s="385"/>
      <c r="Q10" s="915"/>
    </row>
    <row r="11" spans="1:17" s="29" customFormat="1" ht="16.5" thickBot="1">
      <c r="A11" s="313">
        <v>1</v>
      </c>
      <c r="B11" s="305" t="s">
        <v>113</v>
      </c>
      <c r="C11" s="314">
        <v>1124</v>
      </c>
      <c r="D11" s="314"/>
      <c r="E11" s="358">
        <f>SUM(C11:D11)</f>
        <v>1124</v>
      </c>
      <c r="F11" s="314"/>
      <c r="G11" s="314"/>
      <c r="H11" s="358">
        <f>SUM(F11:G11)</f>
        <v>0</v>
      </c>
      <c r="I11" s="314">
        <v>7800</v>
      </c>
      <c r="J11" s="314"/>
      <c r="K11" s="358">
        <f aca="true" t="shared" si="0" ref="K11:K16">SUM(I11:J11)</f>
        <v>7800</v>
      </c>
      <c r="L11" s="314">
        <v>842</v>
      </c>
      <c r="M11" s="314"/>
      <c r="N11" s="358">
        <f aca="true" t="shared" si="1" ref="N11:N16">SUM(L11:M11)</f>
        <v>842</v>
      </c>
      <c r="O11" s="318">
        <v>2481</v>
      </c>
      <c r="P11" s="314">
        <v>298</v>
      </c>
      <c r="Q11" s="320">
        <f aca="true" t="shared" si="2" ref="Q11:Q16">SUM(O11:P11)</f>
        <v>2779</v>
      </c>
    </row>
    <row r="12" spans="1:17" ht="16.5" thickBot="1">
      <c r="A12" s="317">
        <v>2</v>
      </c>
      <c r="B12" s="305" t="s">
        <v>202</v>
      </c>
      <c r="C12" s="316">
        <v>197</v>
      </c>
      <c r="D12" s="314"/>
      <c r="E12" s="358">
        <f>SUM(C12:D12)</f>
        <v>197</v>
      </c>
      <c r="F12" s="316"/>
      <c r="G12" s="314"/>
      <c r="H12" s="358">
        <f>SUM(F12:G12)</f>
        <v>0</v>
      </c>
      <c r="I12" s="316">
        <v>1916</v>
      </c>
      <c r="J12" s="314"/>
      <c r="K12" s="358">
        <f t="shared" si="0"/>
        <v>1916</v>
      </c>
      <c r="L12" s="316">
        <v>159</v>
      </c>
      <c r="M12" s="314"/>
      <c r="N12" s="358">
        <f t="shared" si="1"/>
        <v>159</v>
      </c>
      <c r="O12" s="318">
        <v>416</v>
      </c>
      <c r="P12" s="314">
        <v>30</v>
      </c>
      <c r="Q12" s="320">
        <f t="shared" si="2"/>
        <v>446</v>
      </c>
    </row>
    <row r="13" spans="1:17" s="15" customFormat="1" ht="16.5" thickBot="1">
      <c r="A13" s="317">
        <v>3</v>
      </c>
      <c r="B13" s="305" t="s">
        <v>116</v>
      </c>
      <c r="C13" s="330">
        <v>143419</v>
      </c>
      <c r="D13" s="314"/>
      <c r="E13" s="320">
        <f>SUM(C13:D13)</f>
        <v>143419</v>
      </c>
      <c r="F13" s="318">
        <v>19039</v>
      </c>
      <c r="G13" s="314">
        <v>2867</v>
      </c>
      <c r="H13" s="320">
        <f>SUM(F13:G13)</f>
        <v>21906</v>
      </c>
      <c r="I13" s="314"/>
      <c r="J13" s="314"/>
      <c r="K13" s="358">
        <f t="shared" si="0"/>
        <v>0</v>
      </c>
      <c r="L13" s="314">
        <v>95</v>
      </c>
      <c r="M13" s="314"/>
      <c r="N13" s="358">
        <f t="shared" si="1"/>
        <v>95</v>
      </c>
      <c r="O13" s="318">
        <v>38131</v>
      </c>
      <c r="P13" s="314">
        <v>1524</v>
      </c>
      <c r="Q13" s="320">
        <f t="shared" si="2"/>
        <v>39655</v>
      </c>
    </row>
    <row r="14" spans="1:17" s="15" customFormat="1" ht="16.5" thickBot="1">
      <c r="A14" s="317">
        <v>4</v>
      </c>
      <c r="B14" s="305" t="s">
        <v>172</v>
      </c>
      <c r="C14" s="330"/>
      <c r="D14" s="314"/>
      <c r="E14" s="320">
        <f>SUM(C14:D14)</f>
        <v>0</v>
      </c>
      <c r="F14" s="330"/>
      <c r="G14" s="314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30"/>
      <c r="P14" s="314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306"/>
      <c r="D15" s="226"/>
      <c r="E15" s="228">
        <f>C15+D15</f>
        <v>0</v>
      </c>
      <c r="F15" s="306"/>
      <c r="G15" s="226"/>
      <c r="H15" s="228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06"/>
      <c r="P15" s="226"/>
      <c r="Q15" s="228">
        <f t="shared" si="2"/>
        <v>0</v>
      </c>
    </row>
    <row r="16" spans="1:17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307"/>
      <c r="G16" s="139"/>
      <c r="H16" s="228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07"/>
      <c r="P16" s="139"/>
      <c r="Q16" s="228">
        <f t="shared" si="2"/>
        <v>0</v>
      </c>
    </row>
    <row r="17" spans="1:17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307"/>
      <c r="G17" s="139"/>
      <c r="H17" s="228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07"/>
      <c r="P17" s="139"/>
      <c r="Q17" s="228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906"/>
      <c r="D18" s="139"/>
      <c r="E18" s="228">
        <f t="shared" si="3"/>
        <v>0</v>
      </c>
      <c r="F18" s="307"/>
      <c r="G18" s="139"/>
      <c r="H18" s="228">
        <f t="shared" si="4"/>
        <v>0</v>
      </c>
      <c r="I18" s="307"/>
      <c r="J18" s="139"/>
      <c r="K18" s="228">
        <f t="shared" si="5"/>
        <v>0</v>
      </c>
      <c r="L18" s="139"/>
      <c r="M18" s="139">
        <v>540</v>
      </c>
      <c r="N18" s="389">
        <f t="shared" si="6"/>
        <v>540</v>
      </c>
      <c r="O18" s="307"/>
      <c r="P18" s="139"/>
      <c r="Q18" s="228">
        <f t="shared" si="7"/>
        <v>0</v>
      </c>
    </row>
    <row r="19" spans="1:17" ht="1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139"/>
      <c r="M19" s="139"/>
      <c r="N19" s="389">
        <f>SUM(L19:M19)</f>
        <v>0</v>
      </c>
      <c r="O19" s="307"/>
      <c r="P19" s="139"/>
      <c r="Q19" s="228">
        <f>SUM(O19:P19)</f>
        <v>0</v>
      </c>
    </row>
    <row r="20" spans="1:17" ht="1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07"/>
      <c r="P20" s="139"/>
      <c r="Q20" s="228">
        <f t="shared" si="7"/>
        <v>0</v>
      </c>
    </row>
    <row r="21" spans="1:17" ht="1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>
        <v>1000</v>
      </c>
      <c r="G21" s="226"/>
      <c r="H21" s="228">
        <f t="shared" si="4"/>
        <v>1000</v>
      </c>
      <c r="I21" s="306">
        <v>430</v>
      </c>
      <c r="J21" s="226"/>
      <c r="K21" s="228">
        <f t="shared" si="5"/>
        <v>430</v>
      </c>
      <c r="L21" s="306">
        <v>12272</v>
      </c>
      <c r="M21" s="226"/>
      <c r="N21" s="228">
        <f t="shared" si="6"/>
        <v>12272</v>
      </c>
      <c r="O21" s="306">
        <v>5000</v>
      </c>
      <c r="P21" s="226"/>
      <c r="Q21" s="228">
        <f t="shared" si="7"/>
        <v>5000</v>
      </c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308"/>
      <c r="P22" s="151"/>
      <c r="Q22" s="228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1000</v>
      </c>
      <c r="G23" s="314">
        <f t="shared" si="8"/>
        <v>0</v>
      </c>
      <c r="H23" s="330">
        <f t="shared" si="8"/>
        <v>1000</v>
      </c>
      <c r="I23" s="347">
        <f t="shared" si="8"/>
        <v>430</v>
      </c>
      <c r="J23" s="314">
        <f t="shared" si="8"/>
        <v>0</v>
      </c>
      <c r="K23" s="320">
        <f t="shared" si="8"/>
        <v>430</v>
      </c>
      <c r="L23" s="347">
        <f t="shared" si="8"/>
        <v>12272</v>
      </c>
      <c r="M23" s="314">
        <f t="shared" si="8"/>
        <v>540</v>
      </c>
      <c r="N23" s="320">
        <f t="shared" si="8"/>
        <v>12812</v>
      </c>
      <c r="O23" s="347">
        <f t="shared" si="8"/>
        <v>5000</v>
      </c>
      <c r="P23" s="314">
        <f t="shared" si="8"/>
        <v>0</v>
      </c>
      <c r="Q23" s="320">
        <f t="shared" si="8"/>
        <v>5000</v>
      </c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9" ref="E24:E30">SUM(C24:D24)</f>
        <v>0</v>
      </c>
      <c r="F24" s="318">
        <v>9727</v>
      </c>
      <c r="G24" s="314"/>
      <c r="H24" s="320">
        <f aca="true" t="shared" si="10" ref="H24:H30">SUM(F24:G24)</f>
        <v>9727</v>
      </c>
      <c r="I24" s="318"/>
      <c r="J24" s="314"/>
      <c r="K24" s="320">
        <f aca="true" t="shared" si="11" ref="K24:K30">SUM(I24:J24)</f>
        <v>0</v>
      </c>
      <c r="L24" s="318"/>
      <c r="M24" s="314"/>
      <c r="N24" s="320">
        <f aca="true" t="shared" si="12" ref="N24:N30">SUM(L24:M24)</f>
        <v>0</v>
      </c>
      <c r="O24" s="347">
        <v>2000</v>
      </c>
      <c r="P24" s="314">
        <v>-2000</v>
      </c>
      <c r="Q24" s="320">
        <f aca="true" t="shared" si="13" ref="Q24:Q30">SUM(O24:P24)</f>
        <v>0</v>
      </c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14"/>
      <c r="Q25" s="320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226"/>
      <c r="Q26" s="228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226"/>
      <c r="Q27" s="228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226"/>
      <c r="Q28" s="228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226"/>
      <c r="Q29" s="228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>
        <v>300</v>
      </c>
      <c r="G30" s="321"/>
      <c r="H30" s="324">
        <f t="shared" si="10"/>
        <v>300</v>
      </c>
      <c r="I30" s="329"/>
      <c r="J30" s="321"/>
      <c r="K30" s="324">
        <f t="shared" si="11"/>
        <v>0</v>
      </c>
      <c r="L30" s="329">
        <v>5000</v>
      </c>
      <c r="M30" s="321">
        <v>279</v>
      </c>
      <c r="N30" s="324">
        <f t="shared" si="12"/>
        <v>5279</v>
      </c>
      <c r="O30" s="329">
        <v>13041</v>
      </c>
      <c r="P30" s="321">
        <v>-1852</v>
      </c>
      <c r="Q30" s="324">
        <f t="shared" si="13"/>
        <v>11189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300</v>
      </c>
      <c r="G31" s="314">
        <f t="shared" si="14"/>
        <v>0</v>
      </c>
      <c r="H31" s="330">
        <f t="shared" si="14"/>
        <v>300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5000</v>
      </c>
      <c r="M31" s="314">
        <f t="shared" si="14"/>
        <v>279</v>
      </c>
      <c r="N31" s="330">
        <f t="shared" si="14"/>
        <v>5279</v>
      </c>
      <c r="O31" s="347">
        <f t="shared" si="14"/>
        <v>13041</v>
      </c>
      <c r="P31" s="314">
        <f t="shared" si="14"/>
        <v>-1852</v>
      </c>
      <c r="Q31" s="320">
        <f t="shared" si="14"/>
        <v>11189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347"/>
      <c r="P32" s="314"/>
      <c r="Q32" s="320">
        <f>SUM(O32:P32)</f>
        <v>0</v>
      </c>
    </row>
    <row r="33" spans="1:17" s="32" customFormat="1" ht="16.5" thickBot="1">
      <c r="A33" s="367">
        <v>10</v>
      </c>
      <c r="B33" s="368"/>
      <c r="C33" s="158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1106">
        <f>SUM(L33:M33)</f>
        <v>0</v>
      </c>
      <c r="O33" s="158"/>
      <c r="P33" s="369"/>
      <c r="Q33" s="1106">
        <f>SUM(O33:P33)</f>
        <v>0</v>
      </c>
    </row>
    <row r="34" spans="1:113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144740</v>
      </c>
      <c r="D34" s="344">
        <f t="shared" si="15"/>
        <v>0</v>
      </c>
      <c r="E34" s="778">
        <f t="shared" si="15"/>
        <v>144740</v>
      </c>
      <c r="F34" s="365">
        <f t="shared" si="15"/>
        <v>30066</v>
      </c>
      <c r="G34" s="344">
        <f t="shared" si="15"/>
        <v>2867</v>
      </c>
      <c r="H34" s="778">
        <f t="shared" si="15"/>
        <v>32933</v>
      </c>
      <c r="I34" s="365">
        <f t="shared" si="15"/>
        <v>10146</v>
      </c>
      <c r="J34" s="344">
        <f t="shared" si="15"/>
        <v>0</v>
      </c>
      <c r="K34" s="778">
        <f t="shared" si="15"/>
        <v>10146</v>
      </c>
      <c r="L34" s="365">
        <f t="shared" si="15"/>
        <v>18368</v>
      </c>
      <c r="M34" s="344">
        <f t="shared" si="15"/>
        <v>819</v>
      </c>
      <c r="N34" s="778">
        <f t="shared" si="15"/>
        <v>19187</v>
      </c>
      <c r="O34" s="365">
        <f t="shared" si="15"/>
        <v>61069</v>
      </c>
      <c r="P34" s="344">
        <f t="shared" si="15"/>
        <v>-2000</v>
      </c>
      <c r="Q34" s="374">
        <f t="shared" si="15"/>
        <v>59069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</row>
    <row r="35" spans="1:113" ht="17.25" thickBot="1" thickTop="1">
      <c r="A35" s="144"/>
      <c r="B35" s="346" t="s">
        <v>131</v>
      </c>
      <c r="C35" s="1076"/>
      <c r="D35" s="302"/>
      <c r="E35" s="1107"/>
      <c r="F35" s="888"/>
      <c r="G35" s="302"/>
      <c r="H35" s="1107"/>
      <c r="I35" s="935"/>
      <c r="J35" s="302"/>
      <c r="K35" s="1107"/>
      <c r="L35" s="935"/>
      <c r="M35" s="302"/>
      <c r="N35" s="1107"/>
      <c r="O35" s="1076"/>
      <c r="P35" s="302"/>
      <c r="Q35" s="1107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>
        <f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6">
        <f>SUM(L36:M36)</f>
        <v>0</v>
      </c>
      <c r="O36" s="1084"/>
      <c r="P36" s="771"/>
      <c r="Q36" s="776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906"/>
      <c r="P37" s="139"/>
      <c r="Q37" s="162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5"/>
      <c r="D38" s="321"/>
      <c r="E38" s="324">
        <f>SUM(C38:D38)</f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324">
        <f>SUM(L38:M38)</f>
        <v>0</v>
      </c>
      <c r="O38" s="1075"/>
      <c r="P38" s="321"/>
      <c r="Q38" s="324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>
        <f>SUM(C39:D39)</f>
        <v>0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907"/>
      <c r="P39" s="151"/>
      <c r="Q39" s="238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0</v>
      </c>
      <c r="D40" s="314">
        <f t="shared" si="16"/>
        <v>0</v>
      </c>
      <c r="E40" s="320">
        <f t="shared" si="16"/>
        <v>0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4"/>
      <c r="D41" s="226"/>
      <c r="E41" s="228">
        <f>SUM(C41:D41)</f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228">
        <f>SUM(L41:M41)</f>
        <v>0</v>
      </c>
      <c r="O41" s="1074"/>
      <c r="P41" s="226"/>
      <c r="Q41" s="228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906"/>
      <c r="P42" s="139"/>
      <c r="Q42" s="162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906"/>
      <c r="P43" s="139"/>
      <c r="Q43" s="162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>
        <v>270</v>
      </c>
      <c r="H44" s="238">
        <f>SUM(F44:G44)</f>
        <v>270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907"/>
      <c r="P44" s="151"/>
      <c r="Q44" s="238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270</v>
      </c>
      <c r="H45" s="316">
        <f t="shared" si="17"/>
        <v>270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>
        <v>1270</v>
      </c>
      <c r="D46" s="314">
        <v>-127</v>
      </c>
      <c r="E46" s="316">
        <f>SUM(C46:D46)</f>
        <v>1143</v>
      </c>
      <c r="F46" s="347">
        <v>9205</v>
      </c>
      <c r="G46" s="314"/>
      <c r="H46" s="316">
        <f>SUM(F46:G46)</f>
        <v>9205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>
        <v>200</v>
      </c>
      <c r="M47" s="314"/>
      <c r="N47" s="330">
        <f>SUM(L47:M47)</f>
        <v>200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228">
        <f>SUM(L48:M48)</f>
        <v>0</v>
      </c>
      <c r="O48" s="1074"/>
      <c r="P48" s="226"/>
      <c r="Q48" s="228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906"/>
      <c r="P49" s="139"/>
      <c r="Q49" s="162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906"/>
      <c r="P50" s="139"/>
      <c r="Q50" s="162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1083"/>
      <c r="M52" s="339"/>
      <c r="N52" s="332">
        <f>SUM(L52:M52)</f>
        <v>0</v>
      </c>
      <c r="O52" s="1083"/>
      <c r="P52" s="339"/>
      <c r="Q52" s="332">
        <f>SUM(O52:P52)</f>
        <v>0</v>
      </c>
    </row>
    <row r="53" spans="1:17" ht="15">
      <c r="A53" s="137" t="s">
        <v>98</v>
      </c>
      <c r="B53" s="138" t="s">
        <v>395</v>
      </c>
      <c r="C53" s="1078"/>
      <c r="D53" s="140"/>
      <c r="E53" s="195">
        <f>SUM(C53:D53)</f>
        <v>0</v>
      </c>
      <c r="F53" s="889">
        <v>1002</v>
      </c>
      <c r="G53" s="140">
        <v>237</v>
      </c>
      <c r="H53" s="195">
        <f>SUM(F53:G53)</f>
        <v>1239</v>
      </c>
      <c r="I53" s="1078"/>
      <c r="J53" s="140"/>
      <c r="K53" s="195">
        <f>SUM(I53:J53)</f>
        <v>0</v>
      </c>
      <c r="L53" s="1078"/>
      <c r="M53" s="140"/>
      <c r="N53" s="195">
        <f>SUM(L53:M53)</f>
        <v>0</v>
      </c>
      <c r="O53" s="1078"/>
      <c r="P53" s="140"/>
      <c r="Q53" s="195">
        <f>SUM(O53:P53)</f>
        <v>0</v>
      </c>
    </row>
    <row r="54" spans="1:17" ht="15.7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324">
        <f>SUM(L54:M54)</f>
        <v>0</v>
      </c>
      <c r="O54" s="1075"/>
      <c r="P54" s="321"/>
      <c r="Q54" s="324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1002</v>
      </c>
      <c r="G55" s="314">
        <f t="shared" si="19"/>
        <v>237</v>
      </c>
      <c r="H55" s="316">
        <f t="shared" si="19"/>
        <v>1239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5">
        <f t="shared" si="19"/>
        <v>0</v>
      </c>
      <c r="P55" s="1087">
        <f t="shared" si="19"/>
        <v>0</v>
      </c>
      <c r="Q55" s="1089">
        <f t="shared" si="19"/>
        <v>0</v>
      </c>
    </row>
    <row r="56" spans="1:17" s="268" customFormat="1" ht="19.5" customHeight="1" thickBot="1">
      <c r="A56" s="716">
        <v>8</v>
      </c>
      <c r="B56" s="717" t="s">
        <v>46</v>
      </c>
      <c r="C56" s="1110">
        <f>C34-C40-C45-C46-C47-C51-C52-C55-C57-C58-C59</f>
        <v>143470</v>
      </c>
      <c r="D56" s="1111">
        <f>D34-D40-D45-D46-D47-D51-D52-D55-D57-D58-D59</f>
        <v>127</v>
      </c>
      <c r="E56" s="1108">
        <f aca="true" t="shared" si="20" ref="E56:Q56">E34-E40-E45-E46-E47-E51-E52-E55-E57-E58-E59</f>
        <v>143597</v>
      </c>
      <c r="F56" s="1110">
        <f t="shared" si="20"/>
        <v>19859</v>
      </c>
      <c r="G56" s="1111">
        <f t="shared" si="20"/>
        <v>2360</v>
      </c>
      <c r="H56" s="1108">
        <f t="shared" si="20"/>
        <v>22219</v>
      </c>
      <c r="I56" s="1110">
        <f t="shared" si="20"/>
        <v>10146</v>
      </c>
      <c r="J56" s="1111">
        <f t="shared" si="20"/>
        <v>0</v>
      </c>
      <c r="K56" s="1108">
        <f t="shared" si="20"/>
        <v>10146</v>
      </c>
      <c r="L56" s="1110">
        <f t="shared" si="20"/>
        <v>18168</v>
      </c>
      <c r="M56" s="1111">
        <f t="shared" si="20"/>
        <v>819</v>
      </c>
      <c r="N56" s="1108">
        <f t="shared" si="20"/>
        <v>18987</v>
      </c>
      <c r="O56" s="1133">
        <f t="shared" si="20"/>
        <v>61069</v>
      </c>
      <c r="P56" s="1135">
        <f t="shared" si="20"/>
        <v>-2000</v>
      </c>
      <c r="Q56" s="1123">
        <f t="shared" si="20"/>
        <v>59069</v>
      </c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1109">
        <f>SUM(L57:M57)</f>
        <v>0</v>
      </c>
      <c r="O57" s="1080"/>
      <c r="P57" s="327"/>
      <c r="Q57" s="1109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0"/>
      <c r="J58" s="327"/>
      <c r="K58" s="1109">
        <f>SUM(I58:J58)</f>
        <v>0</v>
      </c>
      <c r="L58" s="1080"/>
      <c r="M58" s="327"/>
      <c r="N58" s="1109">
        <f>SUM(L58:M58)</f>
        <v>0</v>
      </c>
      <c r="O58" s="326"/>
      <c r="P58" s="327"/>
      <c r="Q58" s="402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353"/>
      <c r="P59" s="354"/>
      <c r="Q59" s="407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144740</v>
      </c>
      <c r="D60" s="780">
        <f aca="true" t="shared" si="21" ref="D60:Q60">D40+D45+D46+D47+D51+D52+D55+D56+D57+D58+D59</f>
        <v>0</v>
      </c>
      <c r="E60" s="778">
        <f t="shared" si="21"/>
        <v>144740</v>
      </c>
      <c r="F60" s="364">
        <f t="shared" si="21"/>
        <v>30066</v>
      </c>
      <c r="G60" s="344">
        <f t="shared" si="21"/>
        <v>2867</v>
      </c>
      <c r="H60" s="778">
        <f t="shared" si="21"/>
        <v>32933</v>
      </c>
      <c r="I60" s="779">
        <f t="shared" si="21"/>
        <v>10146</v>
      </c>
      <c r="J60" s="780">
        <f t="shared" si="21"/>
        <v>0</v>
      </c>
      <c r="K60" s="778">
        <f t="shared" si="21"/>
        <v>10146</v>
      </c>
      <c r="L60" s="364">
        <f t="shared" si="21"/>
        <v>18368</v>
      </c>
      <c r="M60" s="344">
        <f t="shared" si="21"/>
        <v>819</v>
      </c>
      <c r="N60" s="778">
        <f t="shared" si="21"/>
        <v>19187</v>
      </c>
      <c r="O60" s="364">
        <f t="shared" si="21"/>
        <v>61069</v>
      </c>
      <c r="P60" s="344">
        <f t="shared" si="21"/>
        <v>-2000</v>
      </c>
      <c r="Q60" s="374">
        <f t="shared" si="21"/>
        <v>59069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2"/>
      <c r="H62" s="413">
        <f>SUM(F62:G62)</f>
        <v>0</v>
      </c>
      <c r="I62" s="196"/>
      <c r="J62" s="412"/>
      <c r="K62" s="413">
        <f>SUM(I62:J62)</f>
        <v>0</v>
      </c>
      <c r="L62" s="196"/>
      <c r="M62" s="412"/>
      <c r="N62" s="413">
        <f>SUM(L62:M62)</f>
        <v>0</v>
      </c>
      <c r="O62" s="196"/>
      <c r="P62" s="414"/>
      <c r="Q62" s="413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2"/>
      <c r="H63" s="413">
        <f>SUM(F63:G63)</f>
        <v>0</v>
      </c>
      <c r="I63" s="196"/>
      <c r="J63" s="412"/>
      <c r="K63" s="413">
        <f>SUM(I63:J63)</f>
        <v>0</v>
      </c>
      <c r="L63" s="196"/>
      <c r="M63" s="412"/>
      <c r="N63" s="413">
        <f>SUM(L63:M63)</f>
        <v>0</v>
      </c>
      <c r="O63" s="196"/>
      <c r="P63" s="414"/>
      <c r="Q63" s="413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7" width="14.625" style="88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892" t="s">
        <v>947</v>
      </c>
    </row>
    <row r="2" spans="1:17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893" t="s">
        <v>139</v>
      </c>
    </row>
    <row r="4" spans="1:17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17" ht="34.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13" t="s">
        <v>134</v>
      </c>
    </row>
    <row r="7" spans="1:17" s="88" customFormat="1" ht="42" customHeight="1">
      <c r="A7" s="230" t="s">
        <v>124</v>
      </c>
      <c r="B7" s="87" t="s">
        <v>125</v>
      </c>
      <c r="C7" s="1939" t="s">
        <v>441</v>
      </c>
      <c r="D7" s="1937"/>
      <c r="E7" s="1938"/>
      <c r="F7" s="1936" t="s">
        <v>60</v>
      </c>
      <c r="G7" s="1937"/>
      <c r="H7" s="1938"/>
      <c r="I7" s="1936" t="s">
        <v>78</v>
      </c>
      <c r="J7" s="1937"/>
      <c r="K7" s="1938"/>
      <c r="L7" s="1936" t="s">
        <v>193</v>
      </c>
      <c r="M7" s="1937"/>
      <c r="N7" s="1938"/>
      <c r="O7" s="1939" t="s">
        <v>637</v>
      </c>
      <c r="P7" s="1961"/>
      <c r="Q7" s="1962"/>
    </row>
    <row r="8" spans="1:20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</row>
    <row r="9" spans="1:201" s="33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1">
        <v>9</v>
      </c>
      <c r="M9" s="422">
        <v>10</v>
      </c>
      <c r="N9" s="424">
        <v>11</v>
      </c>
      <c r="O9" s="422">
        <v>12</v>
      </c>
      <c r="P9" s="422">
        <v>13</v>
      </c>
      <c r="Q9" s="424">
        <v>14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</row>
    <row r="10" spans="1:17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3"/>
      <c r="M10" s="1138"/>
      <c r="N10" s="915"/>
      <c r="O10" s="943"/>
      <c r="P10" s="385"/>
      <c r="Q10" s="915"/>
    </row>
    <row r="11" spans="1:17" ht="16.5" thickBot="1">
      <c r="A11" s="313">
        <v>1</v>
      </c>
      <c r="B11" s="305" t="s">
        <v>113</v>
      </c>
      <c r="C11" s="314"/>
      <c r="D11" s="314"/>
      <c r="E11" s="358">
        <f>SUM(C11:D11)</f>
        <v>0</v>
      </c>
      <c r="F11" s="314">
        <v>75</v>
      </c>
      <c r="G11" s="314"/>
      <c r="H11" s="358">
        <f>SUM(F11:G11)</f>
        <v>75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18"/>
      <c r="P11" s="314"/>
      <c r="Q11" s="320">
        <f aca="true" t="shared" si="2" ref="Q11:Q16">SUM(O11:P11)</f>
        <v>0</v>
      </c>
    </row>
    <row r="12" spans="1:17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30"/>
      <c r="G12" s="314">
        <v>18</v>
      </c>
      <c r="H12" s="320">
        <f>SUM(F12:G12)</f>
        <v>18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318"/>
      <c r="P12" s="314"/>
      <c r="Q12" s="320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30">
        <v>6454</v>
      </c>
      <c r="D13" s="314">
        <v>-1134</v>
      </c>
      <c r="E13" s="320">
        <f>SUM(C13:D13)</f>
        <v>5320</v>
      </c>
      <c r="F13" s="330">
        <v>59670</v>
      </c>
      <c r="G13" s="314">
        <v>16011</v>
      </c>
      <c r="H13" s="320">
        <f>SUM(F13:G13)</f>
        <v>75681</v>
      </c>
      <c r="I13" s="314"/>
      <c r="J13" s="314"/>
      <c r="K13" s="358">
        <f t="shared" si="0"/>
        <v>0</v>
      </c>
      <c r="L13" s="318"/>
      <c r="M13" s="314"/>
      <c r="N13" s="320">
        <f t="shared" si="1"/>
        <v>0</v>
      </c>
      <c r="O13" s="318">
        <v>2000</v>
      </c>
      <c r="P13" s="314"/>
      <c r="Q13" s="320">
        <f t="shared" si="2"/>
        <v>2000</v>
      </c>
    </row>
    <row r="14" spans="1:17" s="15" customFormat="1" ht="16.5" thickBot="1">
      <c r="A14" s="317">
        <v>4</v>
      </c>
      <c r="B14" s="305" t="s">
        <v>172</v>
      </c>
      <c r="C14" s="330">
        <v>121687</v>
      </c>
      <c r="D14" s="314">
        <v>1134</v>
      </c>
      <c r="E14" s="320">
        <f>SUM(C14:D14)</f>
        <v>122821</v>
      </c>
      <c r="F14" s="330"/>
      <c r="G14" s="314"/>
      <c r="H14" s="320">
        <f>SUM(F14:G14)</f>
        <v>0</v>
      </c>
      <c r="I14" s="330"/>
      <c r="J14" s="314"/>
      <c r="K14" s="320">
        <f t="shared" si="0"/>
        <v>0</v>
      </c>
      <c r="L14" s="330"/>
      <c r="M14" s="314"/>
      <c r="N14" s="320">
        <f t="shared" si="1"/>
        <v>0</v>
      </c>
      <c r="O14" s="330"/>
      <c r="P14" s="314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306"/>
      <c r="D15" s="226"/>
      <c r="E15" s="228">
        <f>C15+D15</f>
        <v>0</v>
      </c>
      <c r="F15" s="306"/>
      <c r="G15" s="226"/>
      <c r="H15" s="228">
        <f>F15+G15</f>
        <v>0</v>
      </c>
      <c r="I15" s="306"/>
      <c r="J15" s="226"/>
      <c r="K15" s="389">
        <f t="shared" si="0"/>
        <v>0</v>
      </c>
      <c r="L15" s="306"/>
      <c r="M15" s="226"/>
      <c r="N15" s="228">
        <f t="shared" si="1"/>
        <v>0</v>
      </c>
      <c r="O15" s="306"/>
      <c r="P15" s="226"/>
      <c r="Q15" s="228">
        <f t="shared" si="2"/>
        <v>0</v>
      </c>
    </row>
    <row r="16" spans="1:17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1137"/>
      <c r="G16" s="139"/>
      <c r="H16" s="228">
        <f>F16+G16</f>
        <v>0</v>
      </c>
      <c r="I16" s="307"/>
      <c r="J16" s="139"/>
      <c r="K16" s="228">
        <f t="shared" si="0"/>
        <v>0</v>
      </c>
      <c r="L16" s="307"/>
      <c r="M16" s="139"/>
      <c r="N16" s="228">
        <f t="shared" si="1"/>
        <v>0</v>
      </c>
      <c r="O16" s="307"/>
      <c r="P16" s="139"/>
      <c r="Q16" s="228">
        <f t="shared" si="2"/>
        <v>0</v>
      </c>
    </row>
    <row r="17" spans="1:17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G17" s="139"/>
      <c r="H17" s="228">
        <f aca="true" t="shared" si="4" ref="H17:H22">F17+G17</f>
        <v>0</v>
      </c>
      <c r="I17" s="307"/>
      <c r="J17" s="139"/>
      <c r="K17" s="228">
        <f aca="true" t="shared" si="5" ref="K17:K22">SUM(I17:J17)</f>
        <v>0</v>
      </c>
      <c r="L17" s="307"/>
      <c r="M17" s="139"/>
      <c r="N17" s="228">
        <f aca="true" t="shared" si="6" ref="N17:N22">SUM(L17:M17)</f>
        <v>0</v>
      </c>
      <c r="O17" s="307"/>
      <c r="P17" s="139"/>
      <c r="Q17" s="228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307">
        <v>8215</v>
      </c>
      <c r="D18" s="139"/>
      <c r="E18" s="228">
        <f t="shared" si="3"/>
        <v>8215</v>
      </c>
      <c r="F18" s="906"/>
      <c r="G18" s="139"/>
      <c r="H18" s="228">
        <f t="shared" si="4"/>
        <v>0</v>
      </c>
      <c r="I18" s="307"/>
      <c r="J18" s="139"/>
      <c r="K18" s="228">
        <f t="shared" si="5"/>
        <v>0</v>
      </c>
      <c r="L18" s="307"/>
      <c r="M18" s="139"/>
      <c r="N18" s="228">
        <f t="shared" si="6"/>
        <v>0</v>
      </c>
      <c r="O18" s="307">
        <v>5991</v>
      </c>
      <c r="P18" s="139"/>
      <c r="Q18" s="228">
        <f t="shared" si="7"/>
        <v>5991</v>
      </c>
    </row>
    <row r="19" spans="1:17" ht="1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307"/>
      <c r="M19" s="139"/>
      <c r="N19" s="228">
        <f>SUM(L19:M19)</f>
        <v>0</v>
      </c>
      <c r="O19" s="307"/>
      <c r="P19" s="139"/>
      <c r="Q19" s="228">
        <f>SUM(O19:P19)</f>
        <v>0</v>
      </c>
    </row>
    <row r="20" spans="1:17" ht="1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07"/>
      <c r="P20" s="139"/>
      <c r="Q20" s="228">
        <f t="shared" si="7"/>
        <v>0</v>
      </c>
    </row>
    <row r="21" spans="1:17" ht="1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>
        <v>45187</v>
      </c>
      <c r="G21" s="226">
        <v>-16029</v>
      </c>
      <c r="H21" s="228">
        <f t="shared" si="4"/>
        <v>29158</v>
      </c>
      <c r="I21" s="306">
        <v>6200</v>
      </c>
      <c r="J21" s="226">
        <v>-1341</v>
      </c>
      <c r="K21" s="228">
        <f t="shared" si="5"/>
        <v>4859</v>
      </c>
      <c r="L21" s="306"/>
      <c r="M21" s="226"/>
      <c r="N21" s="228">
        <f t="shared" si="6"/>
        <v>0</v>
      </c>
      <c r="O21" s="306"/>
      <c r="P21" s="226"/>
      <c r="Q21" s="228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308"/>
      <c r="P22" s="151"/>
      <c r="Q22" s="228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8215</v>
      </c>
      <c r="D23" s="314">
        <f t="shared" si="8"/>
        <v>0</v>
      </c>
      <c r="E23" s="320">
        <f t="shared" si="8"/>
        <v>8215</v>
      </c>
      <c r="F23" s="330">
        <f t="shared" si="8"/>
        <v>45187</v>
      </c>
      <c r="G23" s="314">
        <f t="shared" si="8"/>
        <v>-16029</v>
      </c>
      <c r="H23" s="330">
        <f t="shared" si="8"/>
        <v>29158</v>
      </c>
      <c r="I23" s="347">
        <f t="shared" si="8"/>
        <v>6200</v>
      </c>
      <c r="J23" s="314">
        <f t="shared" si="8"/>
        <v>-1341</v>
      </c>
      <c r="K23" s="320">
        <f t="shared" si="8"/>
        <v>4859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5991</v>
      </c>
      <c r="P23" s="314">
        <f t="shared" si="8"/>
        <v>0</v>
      </c>
      <c r="Q23" s="320">
        <f t="shared" si="8"/>
        <v>5991</v>
      </c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9" ref="E24:E30">SUM(C24:D24)</f>
        <v>0</v>
      </c>
      <c r="F24" s="318"/>
      <c r="G24" s="314"/>
      <c r="H24" s="320">
        <f aca="true" t="shared" si="10" ref="H24:H30">SUM(F24:G24)</f>
        <v>0</v>
      </c>
      <c r="I24" s="318"/>
      <c r="J24" s="314"/>
      <c r="K24" s="320">
        <f aca="true" t="shared" si="11" ref="K24:K30">SUM(I24:J24)</f>
        <v>0</v>
      </c>
      <c r="L24" s="318"/>
      <c r="M24" s="314"/>
      <c r="N24" s="320">
        <f aca="true" t="shared" si="12" ref="N24:N30">SUM(L24:M24)</f>
        <v>0</v>
      </c>
      <c r="O24" s="347"/>
      <c r="P24" s="314"/>
      <c r="Q24" s="320">
        <f aca="true" t="shared" si="13" ref="Q24:Q30">SUM(O24:P24)</f>
        <v>0</v>
      </c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14"/>
      <c r="Q25" s="320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226"/>
      <c r="Q26" s="228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226"/>
      <c r="Q27" s="228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226"/>
      <c r="Q28" s="228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226"/>
      <c r="Q29" s="228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>
        <v>15000</v>
      </c>
      <c r="M30" s="321"/>
      <c r="N30" s="324">
        <f t="shared" si="12"/>
        <v>15000</v>
      </c>
      <c r="O30" s="329"/>
      <c r="P30" s="321"/>
      <c r="Q30" s="324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15000</v>
      </c>
      <c r="M31" s="314">
        <f t="shared" si="14"/>
        <v>0</v>
      </c>
      <c r="N31" s="330">
        <f t="shared" si="14"/>
        <v>15000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347"/>
      <c r="P32" s="314"/>
      <c r="Q32" s="320">
        <f>SUM(O32:P32)</f>
        <v>0</v>
      </c>
    </row>
    <row r="33" spans="1:17" s="32" customFormat="1" ht="16.5" thickBot="1">
      <c r="A33" s="367">
        <v>10</v>
      </c>
      <c r="B33" s="368"/>
      <c r="C33" s="1136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1106">
        <f>SUM(L33:M33)</f>
        <v>0</v>
      </c>
      <c r="O33" s="158"/>
      <c r="P33" s="369"/>
      <c r="Q33" s="1106">
        <f>SUM(O33:P33)</f>
        <v>0</v>
      </c>
    </row>
    <row r="34" spans="1:21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136356</v>
      </c>
      <c r="D34" s="344">
        <f t="shared" si="15"/>
        <v>0</v>
      </c>
      <c r="E34" s="778">
        <f t="shared" si="15"/>
        <v>136356</v>
      </c>
      <c r="F34" s="365">
        <f t="shared" si="15"/>
        <v>104932</v>
      </c>
      <c r="G34" s="344">
        <f t="shared" si="15"/>
        <v>0</v>
      </c>
      <c r="H34" s="778">
        <f t="shared" si="15"/>
        <v>104932</v>
      </c>
      <c r="I34" s="365">
        <f t="shared" si="15"/>
        <v>6200</v>
      </c>
      <c r="J34" s="344">
        <f t="shared" si="15"/>
        <v>-1341</v>
      </c>
      <c r="K34" s="778">
        <f t="shared" si="15"/>
        <v>4859</v>
      </c>
      <c r="L34" s="365">
        <f t="shared" si="15"/>
        <v>15000</v>
      </c>
      <c r="M34" s="344">
        <f t="shared" si="15"/>
        <v>0</v>
      </c>
      <c r="N34" s="778">
        <f t="shared" si="15"/>
        <v>15000</v>
      </c>
      <c r="O34" s="365">
        <f t="shared" si="15"/>
        <v>7991</v>
      </c>
      <c r="P34" s="344">
        <f t="shared" si="15"/>
        <v>0</v>
      </c>
      <c r="Q34" s="374">
        <f t="shared" si="15"/>
        <v>7991</v>
      </c>
      <c r="R34" s="63"/>
      <c r="S34" s="63"/>
      <c r="T34" s="63"/>
      <c r="U34" s="63"/>
    </row>
    <row r="35" spans="1:21" ht="17.25" thickBot="1" thickTop="1">
      <c r="A35" s="144"/>
      <c r="B35" s="346" t="s">
        <v>131</v>
      </c>
      <c r="C35" s="1076"/>
      <c r="D35" s="302"/>
      <c r="E35" s="1107"/>
      <c r="F35" s="888"/>
      <c r="G35" s="302"/>
      <c r="H35" s="1107"/>
      <c r="I35" s="935"/>
      <c r="J35" s="302"/>
      <c r="K35" s="1107"/>
      <c r="L35" s="935"/>
      <c r="M35" s="302"/>
      <c r="N35" s="1107"/>
      <c r="O35" s="1076"/>
      <c r="P35" s="302"/>
      <c r="Q35" s="1107"/>
      <c r="R35" s="29"/>
      <c r="S35" s="29"/>
      <c r="T35" s="29"/>
      <c r="U35" s="29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>
        <f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6">
        <f>SUM(L36:M36)</f>
        <v>0</v>
      </c>
      <c r="O36" s="1084"/>
      <c r="P36" s="771"/>
      <c r="Q36" s="776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906"/>
      <c r="P37" s="139"/>
      <c r="Q37" s="162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5"/>
      <c r="D38" s="321"/>
      <c r="E38" s="324">
        <f>SUM(C38:D38)</f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324">
        <f>SUM(L38:M38)</f>
        <v>0</v>
      </c>
      <c r="O38" s="1075"/>
      <c r="P38" s="321"/>
      <c r="Q38" s="324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>
        <v>210</v>
      </c>
      <c r="D39" s="151"/>
      <c r="E39" s="238">
        <f>SUM(C39:D39)</f>
        <v>210</v>
      </c>
      <c r="F39" s="886"/>
      <c r="G39" s="151">
        <v>2911</v>
      </c>
      <c r="H39" s="238">
        <f>SUM(F39:G39)</f>
        <v>2911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907"/>
      <c r="P39" s="151"/>
      <c r="Q39" s="238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210</v>
      </c>
      <c r="D40" s="314">
        <f t="shared" si="16"/>
        <v>0</v>
      </c>
      <c r="E40" s="320">
        <f t="shared" si="16"/>
        <v>210</v>
      </c>
      <c r="F40" s="347">
        <f t="shared" si="16"/>
        <v>0</v>
      </c>
      <c r="G40" s="314">
        <f t="shared" si="16"/>
        <v>2911</v>
      </c>
      <c r="H40" s="320">
        <f t="shared" si="16"/>
        <v>2911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4"/>
      <c r="D41" s="226"/>
      <c r="E41" s="228">
        <f>SUM(C41:D41)</f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228">
        <f>SUM(L41:M41)</f>
        <v>0</v>
      </c>
      <c r="O41" s="1074"/>
      <c r="P41" s="226"/>
      <c r="Q41" s="228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906"/>
      <c r="P42" s="139"/>
      <c r="Q42" s="162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906"/>
      <c r="P43" s="139"/>
      <c r="Q43" s="162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907"/>
      <c r="P44" s="151"/>
      <c r="Q44" s="238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>
        <v>598</v>
      </c>
      <c r="D46" s="314">
        <v>250</v>
      </c>
      <c r="E46" s="316">
        <f>SUM(C46:D46)</f>
        <v>848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228">
        <f>SUM(L48:M48)</f>
        <v>0</v>
      </c>
      <c r="O48" s="1074"/>
      <c r="P48" s="226"/>
      <c r="Q48" s="228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906"/>
      <c r="P49" s="139"/>
      <c r="Q49" s="162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906"/>
      <c r="P50" s="139"/>
      <c r="Q50" s="162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1083"/>
      <c r="M52" s="339"/>
      <c r="N52" s="332">
        <f>SUM(L52:M52)</f>
        <v>0</v>
      </c>
      <c r="O52" s="1083"/>
      <c r="P52" s="339"/>
      <c r="Q52" s="332">
        <f>SUM(O52:P52)</f>
        <v>0</v>
      </c>
    </row>
    <row r="53" spans="1:17" ht="15">
      <c r="A53" s="137" t="s">
        <v>98</v>
      </c>
      <c r="B53" s="138" t="s">
        <v>395</v>
      </c>
      <c r="C53" s="1078"/>
      <c r="D53" s="140"/>
      <c r="E53" s="195">
        <f>SUM(C53:D53)</f>
        <v>0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1078"/>
      <c r="M53" s="140"/>
      <c r="N53" s="195">
        <f>SUM(L53:M53)</f>
        <v>0</v>
      </c>
      <c r="O53" s="1078"/>
      <c r="P53" s="140"/>
      <c r="Q53" s="195">
        <f>SUM(O53:P53)</f>
        <v>0</v>
      </c>
    </row>
    <row r="54" spans="1:17" ht="15.7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324">
        <f>SUM(L54:M54)</f>
        <v>0</v>
      </c>
      <c r="O54" s="1075"/>
      <c r="P54" s="321"/>
      <c r="Q54" s="324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5">
        <f t="shared" si="19"/>
        <v>0</v>
      </c>
      <c r="P55" s="1087">
        <f t="shared" si="19"/>
        <v>0</v>
      </c>
      <c r="Q55" s="1089">
        <f t="shared" si="19"/>
        <v>0</v>
      </c>
    </row>
    <row r="56" spans="1:17" s="28" customFormat="1" ht="19.5" customHeight="1" thickBot="1">
      <c r="A56" s="716">
        <v>8</v>
      </c>
      <c r="B56" s="717" t="s">
        <v>46</v>
      </c>
      <c r="C56" s="1110">
        <f>C34-C40-C45-C46-C47-C51-C52-C55-C57-C58-C59</f>
        <v>135548</v>
      </c>
      <c r="D56" s="1111">
        <f>D34-D40-D45-D46-D47-D51-D52-D55-D57-D58-D59</f>
        <v>-250</v>
      </c>
      <c r="E56" s="1108">
        <f aca="true" t="shared" si="20" ref="E56:Q56">E34-E40-E45-E46-E47-E51-E52-E55-E57-E58-E59</f>
        <v>135298</v>
      </c>
      <c r="F56" s="1110">
        <f t="shared" si="20"/>
        <v>104932</v>
      </c>
      <c r="G56" s="1111">
        <f t="shared" si="20"/>
        <v>-2911</v>
      </c>
      <c r="H56" s="1108">
        <f t="shared" si="20"/>
        <v>102021</v>
      </c>
      <c r="I56" s="1110">
        <f t="shared" si="20"/>
        <v>6200</v>
      </c>
      <c r="J56" s="1111">
        <f t="shared" si="20"/>
        <v>-1341</v>
      </c>
      <c r="K56" s="1108">
        <f t="shared" si="20"/>
        <v>4859</v>
      </c>
      <c r="L56" s="1110">
        <f t="shared" si="20"/>
        <v>15000</v>
      </c>
      <c r="M56" s="1111">
        <f t="shared" si="20"/>
        <v>0</v>
      </c>
      <c r="N56" s="1108">
        <f t="shared" si="20"/>
        <v>15000</v>
      </c>
      <c r="O56" s="1133">
        <f t="shared" si="20"/>
        <v>7991</v>
      </c>
      <c r="P56" s="1135">
        <f t="shared" si="20"/>
        <v>0</v>
      </c>
      <c r="Q56" s="1123">
        <f t="shared" si="20"/>
        <v>7991</v>
      </c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1109">
        <f>SUM(L57:M57)</f>
        <v>0</v>
      </c>
      <c r="O57" s="1080"/>
      <c r="P57" s="327"/>
      <c r="Q57" s="1109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890"/>
      <c r="G58" s="327"/>
      <c r="H58" s="1109">
        <f>SUM(F58:G58)</f>
        <v>0</v>
      </c>
      <c r="I58" s="1080"/>
      <c r="J58" s="327"/>
      <c r="K58" s="1109">
        <f>SUM(I58:J58)</f>
        <v>0</v>
      </c>
      <c r="L58" s="1080"/>
      <c r="M58" s="327"/>
      <c r="N58" s="1109">
        <f>SUM(L58:M58)</f>
        <v>0</v>
      </c>
      <c r="O58" s="326"/>
      <c r="P58" s="327"/>
      <c r="Q58" s="402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353"/>
      <c r="P59" s="354"/>
      <c r="Q59" s="407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136356</v>
      </c>
      <c r="D60" s="780">
        <f aca="true" t="shared" si="21" ref="D60:Q60">D40+D45+D46+D47+D51+D52+D55+D56+D57+D58+D59</f>
        <v>0</v>
      </c>
      <c r="E60" s="778">
        <f t="shared" si="21"/>
        <v>136356</v>
      </c>
      <c r="F60" s="364">
        <f t="shared" si="21"/>
        <v>104932</v>
      </c>
      <c r="G60" s="344">
        <f t="shared" si="21"/>
        <v>0</v>
      </c>
      <c r="H60" s="778">
        <f t="shared" si="21"/>
        <v>104932</v>
      </c>
      <c r="I60" s="779">
        <f t="shared" si="21"/>
        <v>6200</v>
      </c>
      <c r="J60" s="780">
        <f t="shared" si="21"/>
        <v>-1341</v>
      </c>
      <c r="K60" s="778">
        <f t="shared" si="21"/>
        <v>4859</v>
      </c>
      <c r="L60" s="364">
        <f t="shared" si="21"/>
        <v>15000</v>
      </c>
      <c r="M60" s="344">
        <f t="shared" si="21"/>
        <v>0</v>
      </c>
      <c r="N60" s="778">
        <f t="shared" si="21"/>
        <v>15000</v>
      </c>
      <c r="O60" s="364">
        <f t="shared" si="21"/>
        <v>7991</v>
      </c>
      <c r="P60" s="344">
        <f t="shared" si="21"/>
        <v>0</v>
      </c>
      <c r="Q60" s="374">
        <f t="shared" si="21"/>
        <v>7991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196"/>
      <c r="P62" s="414"/>
      <c r="Q62" s="413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196"/>
      <c r="P63" s="414"/>
      <c r="Q63" s="413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386" customWidth="1"/>
    <col min="3" max="14" width="14.625" style="386" customWidth="1"/>
    <col min="15" max="17" width="14.625" style="400" customWidth="1"/>
    <col min="18" max="16384" width="9.375" style="5" customWidth="1"/>
  </cols>
  <sheetData>
    <row r="1" spans="1:17" ht="10.5" customHeight="1">
      <c r="A1" s="303"/>
      <c r="B1" s="304"/>
      <c r="C1" s="304"/>
      <c r="K1" s="893"/>
      <c r="Q1" s="892" t="s">
        <v>947</v>
      </c>
    </row>
    <row r="2" spans="1:17" ht="12.75" customHeight="1">
      <c r="A2" s="303"/>
      <c r="B2" s="304"/>
      <c r="C2" s="304"/>
      <c r="K2" s="893"/>
      <c r="Q2" s="892" t="s">
        <v>93</v>
      </c>
    </row>
    <row r="3" spans="1:17" ht="15">
      <c r="A3" s="303"/>
      <c r="B3" s="304"/>
      <c r="C3" s="304"/>
      <c r="K3" s="893"/>
      <c r="Q3" s="893" t="s">
        <v>142</v>
      </c>
    </row>
    <row r="4" spans="1:17" s="84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s="85" customFormat="1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17" ht="45" customHeight="1" thickBot="1">
      <c r="A6" s="303"/>
      <c r="B6" s="304"/>
      <c r="C6" s="304"/>
      <c r="K6" s="940"/>
      <c r="L6" s="931"/>
      <c r="M6" s="931"/>
      <c r="O6" s="941"/>
      <c r="P6" s="941"/>
      <c r="Q6" s="1805" t="s">
        <v>134</v>
      </c>
    </row>
    <row r="7" spans="1:17" s="243" customFormat="1" ht="37.5" customHeight="1">
      <c r="A7" s="120" t="s">
        <v>124</v>
      </c>
      <c r="B7" s="242" t="s">
        <v>125</v>
      </c>
      <c r="C7" s="1939" t="s">
        <v>442</v>
      </c>
      <c r="D7" s="1961"/>
      <c r="E7" s="1962"/>
      <c r="F7" s="1939" t="s">
        <v>64</v>
      </c>
      <c r="G7" s="1963"/>
      <c r="H7" s="1962"/>
      <c r="I7" s="1939" t="s">
        <v>79</v>
      </c>
      <c r="J7" s="1963"/>
      <c r="K7" s="1962"/>
      <c r="L7" s="1936" t="s">
        <v>61</v>
      </c>
      <c r="M7" s="1937"/>
      <c r="N7" s="1938"/>
      <c r="O7" s="1939" t="s">
        <v>62</v>
      </c>
      <c r="P7" s="1963"/>
      <c r="Q7" s="1962"/>
    </row>
    <row r="8" spans="1:17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6" customFormat="1" ht="13.5" customHeight="1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386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3"/>
      <c r="M10" s="1138"/>
      <c r="N10" s="916"/>
      <c r="O10" s="943"/>
      <c r="P10" s="385"/>
      <c r="Q10" s="915"/>
    </row>
    <row r="11" spans="1:17" s="386" customFormat="1" ht="16.5" thickBot="1">
      <c r="A11" s="313">
        <v>1</v>
      </c>
      <c r="B11" s="305" t="s">
        <v>113</v>
      </c>
      <c r="C11" s="314">
        <v>764</v>
      </c>
      <c r="D11" s="314"/>
      <c r="E11" s="358">
        <f>SUM(C11:D11)</f>
        <v>764</v>
      </c>
      <c r="F11" s="314">
        <v>2025</v>
      </c>
      <c r="G11" s="314"/>
      <c r="H11" s="358">
        <f>SUM(F11:G11)</f>
        <v>2025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1139"/>
      <c r="P11" s="387"/>
      <c r="Q11" s="1116">
        <f aca="true" t="shared" si="2" ref="Q11:Q16">SUM(O11:P11)</f>
        <v>0</v>
      </c>
    </row>
    <row r="12" spans="1:17" s="386" customFormat="1" ht="16.5" thickBot="1">
      <c r="A12" s="317">
        <v>2</v>
      </c>
      <c r="B12" s="305" t="s">
        <v>202</v>
      </c>
      <c r="C12" s="316">
        <v>120</v>
      </c>
      <c r="D12" s="314"/>
      <c r="E12" s="358">
        <f>SUM(C12:D12)</f>
        <v>120</v>
      </c>
      <c r="F12" s="316">
        <v>389</v>
      </c>
      <c r="G12" s="314"/>
      <c r="H12" s="358">
        <f>SUM(F12:G12)</f>
        <v>389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1139"/>
      <c r="P12" s="387"/>
      <c r="Q12" s="1116">
        <f t="shared" si="2"/>
        <v>0</v>
      </c>
    </row>
    <row r="13" spans="1:17" s="394" customFormat="1" ht="16.5" thickBot="1">
      <c r="A13" s="317">
        <v>3</v>
      </c>
      <c r="B13" s="305" t="s">
        <v>116</v>
      </c>
      <c r="C13" s="316">
        <v>22563</v>
      </c>
      <c r="D13" s="314">
        <v>4954</v>
      </c>
      <c r="E13" s="358">
        <f>SUM(C13:D13)</f>
        <v>27517</v>
      </c>
      <c r="F13" s="316">
        <v>40806</v>
      </c>
      <c r="G13" s="314">
        <v>50</v>
      </c>
      <c r="H13" s="358">
        <f>SUM(F13:G13)</f>
        <v>40856</v>
      </c>
      <c r="I13" s="314">
        <v>28561</v>
      </c>
      <c r="J13" s="314">
        <v>223</v>
      </c>
      <c r="K13" s="358">
        <f t="shared" si="0"/>
        <v>28784</v>
      </c>
      <c r="L13" s="314">
        <v>386814</v>
      </c>
      <c r="M13" s="314">
        <v>-9851</v>
      </c>
      <c r="N13" s="358">
        <f t="shared" si="1"/>
        <v>376963</v>
      </c>
      <c r="O13" s="1139"/>
      <c r="P13" s="387"/>
      <c r="Q13" s="1116">
        <f t="shared" si="2"/>
        <v>0</v>
      </c>
    </row>
    <row r="14" spans="1:17" s="394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30"/>
      <c r="P14" s="314"/>
      <c r="Q14" s="320">
        <f t="shared" si="2"/>
        <v>0</v>
      </c>
    </row>
    <row r="15" spans="1:17" s="386" customFormat="1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1140"/>
      <c r="P15" s="390"/>
      <c r="Q15" s="1115">
        <f t="shared" si="2"/>
        <v>0</v>
      </c>
    </row>
    <row r="16" spans="1:17" s="386" customFormat="1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1141"/>
      <c r="P16" s="392"/>
      <c r="Q16" s="1115">
        <f t="shared" si="2"/>
        <v>0</v>
      </c>
    </row>
    <row r="17" spans="1:17" s="386" customFormat="1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1141"/>
      <c r="P17" s="392"/>
      <c r="Q17" s="1115">
        <f aca="true" t="shared" si="7" ref="Q17:Q22">SUM(O17:P17)</f>
        <v>0</v>
      </c>
    </row>
    <row r="18" spans="1:17" s="386" customFormat="1" ht="15">
      <c r="A18" s="153" t="s">
        <v>101</v>
      </c>
      <c r="B18" s="149" t="s">
        <v>384</v>
      </c>
      <c r="C18" s="906"/>
      <c r="D18" s="139"/>
      <c r="E18" s="228">
        <f t="shared" si="3"/>
        <v>0</v>
      </c>
      <c r="F18" s="307"/>
      <c r="G18" s="139"/>
      <c r="H18" s="228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1141"/>
      <c r="P18" s="392"/>
      <c r="Q18" s="1115">
        <f t="shared" si="7"/>
        <v>0</v>
      </c>
    </row>
    <row r="19" spans="1:17" s="386" customFormat="1" ht="15">
      <c r="A19" s="148" t="s">
        <v>192</v>
      </c>
      <c r="B19" s="149" t="s">
        <v>628</v>
      </c>
      <c r="C19" s="887"/>
      <c r="D19" s="226"/>
      <c r="E19" s="228">
        <f>C19+D19</f>
        <v>0</v>
      </c>
      <c r="F19" s="306"/>
      <c r="G19" s="226"/>
      <c r="H19" s="228">
        <f>F19+G19</f>
        <v>0</v>
      </c>
      <c r="I19" s="306"/>
      <c r="J19" s="139"/>
      <c r="K19" s="228">
        <f>SUM(I19:J19)</f>
        <v>0</v>
      </c>
      <c r="L19" s="226"/>
      <c r="M19" s="226"/>
      <c r="N19" s="389">
        <f>SUM(L19:M19)</f>
        <v>0</v>
      </c>
      <c r="O19" s="1140"/>
      <c r="P19" s="390"/>
      <c r="Q19" s="1115">
        <f>SUM(O19:P19)</f>
        <v>0</v>
      </c>
    </row>
    <row r="20" spans="1:17" s="386" customFormat="1" ht="15">
      <c r="A20" s="148" t="s">
        <v>339</v>
      </c>
      <c r="B20" s="149" t="s">
        <v>629</v>
      </c>
      <c r="C20" s="887"/>
      <c r="D20" s="226"/>
      <c r="E20" s="228">
        <f t="shared" si="3"/>
        <v>0</v>
      </c>
      <c r="F20" s="306"/>
      <c r="G20" s="226"/>
      <c r="H20" s="228">
        <f t="shared" si="4"/>
        <v>0</v>
      </c>
      <c r="I20" s="306"/>
      <c r="J20" s="226"/>
      <c r="K20" s="228">
        <f t="shared" si="5"/>
        <v>0</v>
      </c>
      <c r="L20" s="306"/>
      <c r="M20" s="139"/>
      <c r="N20" s="228">
        <f t="shared" si="6"/>
        <v>0</v>
      </c>
      <c r="O20" s="1140"/>
      <c r="P20" s="390"/>
      <c r="Q20" s="1115">
        <f t="shared" si="7"/>
        <v>0</v>
      </c>
    </row>
    <row r="21" spans="1:17" s="386" customFormat="1" ht="15">
      <c r="A21" s="148" t="s">
        <v>340</v>
      </c>
      <c r="B21" s="149" t="s">
        <v>385</v>
      </c>
      <c r="C21" s="887"/>
      <c r="D21" s="226"/>
      <c r="E21" s="228">
        <f>C21+D21</f>
        <v>0</v>
      </c>
      <c r="F21" s="306"/>
      <c r="G21" s="226"/>
      <c r="H21" s="228">
        <f t="shared" si="4"/>
        <v>0</v>
      </c>
      <c r="I21" s="306"/>
      <c r="J21" s="226"/>
      <c r="K21" s="228">
        <f t="shared" si="5"/>
        <v>0</v>
      </c>
      <c r="L21" s="306"/>
      <c r="M21" s="226"/>
      <c r="N21" s="228">
        <f t="shared" si="6"/>
        <v>0</v>
      </c>
      <c r="O21" s="1140"/>
      <c r="P21" s="390"/>
      <c r="Q21" s="1115">
        <f t="shared" si="7"/>
        <v>0</v>
      </c>
    </row>
    <row r="22" spans="1:17" s="386" customFormat="1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1142"/>
      <c r="P22" s="393"/>
      <c r="Q22" s="1115">
        <f t="shared" si="7"/>
        <v>0</v>
      </c>
    </row>
    <row r="23" spans="1:17" s="394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0</v>
      </c>
      <c r="J23" s="314">
        <f t="shared" si="8"/>
        <v>0</v>
      </c>
      <c r="K23" s="320">
        <f t="shared" si="8"/>
        <v>0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s="386" customFormat="1" ht="16.5" thickBot="1">
      <c r="A24" s="313">
        <v>6</v>
      </c>
      <c r="B24" s="305" t="s">
        <v>174</v>
      </c>
      <c r="C24" s="318">
        <v>2884</v>
      </c>
      <c r="D24" s="314"/>
      <c r="E24" s="320">
        <f aca="true" t="shared" si="9" ref="E24:E30">SUM(C24:D24)</f>
        <v>2884</v>
      </c>
      <c r="F24" s="318">
        <v>26576</v>
      </c>
      <c r="G24" s="314">
        <v>-50</v>
      </c>
      <c r="H24" s="320">
        <f aca="true" t="shared" si="10" ref="H24:H30">SUM(F24:G24)</f>
        <v>26526</v>
      </c>
      <c r="I24" s="330">
        <v>159769</v>
      </c>
      <c r="J24" s="314">
        <v>-223</v>
      </c>
      <c r="K24" s="320">
        <f aca="true" t="shared" si="11" ref="K24:K30">SUM(I24:J24)</f>
        <v>159546</v>
      </c>
      <c r="L24" s="318">
        <v>170191</v>
      </c>
      <c r="M24" s="314">
        <v>-25292</v>
      </c>
      <c r="N24" s="320">
        <f aca="true" t="shared" si="12" ref="N24:N30">SUM(L24:M24)</f>
        <v>144899</v>
      </c>
      <c r="O24" s="1128"/>
      <c r="P24" s="387"/>
      <c r="Q24" s="1116">
        <f aca="true" t="shared" si="13" ref="Q24:Q30">SUM(O24:P24)</f>
        <v>0</v>
      </c>
    </row>
    <row r="25" spans="1:17" s="394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>
        <v>416145</v>
      </c>
      <c r="M25" s="314">
        <v>2143</v>
      </c>
      <c r="N25" s="320">
        <f t="shared" si="12"/>
        <v>418288</v>
      </c>
      <c r="O25" s="1139"/>
      <c r="P25" s="387"/>
      <c r="Q25" s="1116">
        <f t="shared" si="13"/>
        <v>0</v>
      </c>
    </row>
    <row r="26" spans="1:17" s="386" customFormat="1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1140"/>
      <c r="P26" s="390"/>
      <c r="Q26" s="1115">
        <f t="shared" si="13"/>
        <v>0</v>
      </c>
    </row>
    <row r="27" spans="1:17" s="386" customFormat="1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1140"/>
      <c r="P27" s="390"/>
      <c r="Q27" s="1115">
        <f t="shared" si="13"/>
        <v>0</v>
      </c>
    </row>
    <row r="28" spans="1:17" s="386" customFormat="1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1140"/>
      <c r="P28" s="390"/>
      <c r="Q28" s="1115">
        <f t="shared" si="13"/>
        <v>0</v>
      </c>
    </row>
    <row r="29" spans="1:17" s="386" customFormat="1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1140"/>
      <c r="P29" s="390"/>
      <c r="Q29" s="1115">
        <f t="shared" si="13"/>
        <v>0</v>
      </c>
    </row>
    <row r="30" spans="1:17" s="386" customFormat="1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>
        <v>30485</v>
      </c>
      <c r="M30" s="321"/>
      <c r="N30" s="324">
        <f t="shared" si="12"/>
        <v>30485</v>
      </c>
      <c r="O30" s="1143"/>
      <c r="P30" s="396"/>
      <c r="Q30" s="1117">
        <f t="shared" si="13"/>
        <v>0</v>
      </c>
    </row>
    <row r="31" spans="1:17" s="394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30485</v>
      </c>
      <c r="M31" s="314">
        <f t="shared" si="14"/>
        <v>0</v>
      </c>
      <c r="N31" s="330">
        <f t="shared" si="14"/>
        <v>30485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s="386" customFormat="1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1128"/>
      <c r="P32" s="387"/>
      <c r="Q32" s="1116">
        <f>SUM(O32:P32)</f>
        <v>0</v>
      </c>
    </row>
    <row r="33" spans="1:21" s="399" customFormat="1" ht="16.5" thickBot="1">
      <c r="A33" s="367">
        <v>10</v>
      </c>
      <c r="B33" s="397"/>
      <c r="C33" s="1136"/>
      <c r="D33" s="369"/>
      <c r="E33" s="1106">
        <f>SUM(C33:D33)</f>
        <v>0</v>
      </c>
      <c r="F33" s="158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1106">
        <f>SUM(L33:M33)</f>
        <v>0</v>
      </c>
      <c r="O33" s="158"/>
      <c r="P33" s="369"/>
      <c r="Q33" s="1106">
        <f>SUM(O33:P33)</f>
        <v>0</v>
      </c>
      <c r="R33" s="398"/>
      <c r="S33" s="398"/>
      <c r="T33" s="398"/>
      <c r="U33" s="398"/>
    </row>
    <row r="34" spans="1:17" s="160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26331</v>
      </c>
      <c r="D34" s="344">
        <f t="shared" si="15"/>
        <v>4954</v>
      </c>
      <c r="E34" s="778">
        <f t="shared" si="15"/>
        <v>31285</v>
      </c>
      <c r="F34" s="365">
        <f t="shared" si="15"/>
        <v>69796</v>
      </c>
      <c r="G34" s="344">
        <f t="shared" si="15"/>
        <v>0</v>
      </c>
      <c r="H34" s="778">
        <f t="shared" si="15"/>
        <v>69796</v>
      </c>
      <c r="I34" s="365">
        <f t="shared" si="15"/>
        <v>188330</v>
      </c>
      <c r="J34" s="344">
        <f t="shared" si="15"/>
        <v>0</v>
      </c>
      <c r="K34" s="778">
        <f t="shared" si="15"/>
        <v>188330</v>
      </c>
      <c r="L34" s="365">
        <f t="shared" si="15"/>
        <v>1003635</v>
      </c>
      <c r="M34" s="344">
        <f t="shared" si="15"/>
        <v>-33000</v>
      </c>
      <c r="N34" s="778">
        <f t="shared" si="15"/>
        <v>970635</v>
      </c>
      <c r="O34" s="365">
        <f t="shared" si="15"/>
        <v>0</v>
      </c>
      <c r="P34" s="344">
        <f t="shared" si="15"/>
        <v>0</v>
      </c>
      <c r="Q34" s="374">
        <f t="shared" si="15"/>
        <v>0</v>
      </c>
    </row>
    <row r="35" spans="1:21" s="386" customFormat="1" ht="17.25" thickBot="1" thickTop="1">
      <c r="A35" s="144"/>
      <c r="B35" s="346" t="s">
        <v>131</v>
      </c>
      <c r="C35" s="1076"/>
      <c r="D35" s="302"/>
      <c r="E35" s="1107"/>
      <c r="F35" s="888"/>
      <c r="G35" s="302"/>
      <c r="H35" s="1107"/>
      <c r="I35" s="935"/>
      <c r="J35" s="302"/>
      <c r="K35" s="1107"/>
      <c r="L35" s="935"/>
      <c r="M35" s="302"/>
      <c r="N35" s="1107"/>
      <c r="O35" s="1076"/>
      <c r="P35" s="302"/>
      <c r="Q35" s="1107"/>
      <c r="R35" s="400"/>
      <c r="S35" s="400"/>
      <c r="T35" s="400"/>
      <c r="U35" s="400"/>
    </row>
    <row r="36" spans="1:17" s="386" customFormat="1" ht="15">
      <c r="A36" s="769" t="s">
        <v>98</v>
      </c>
      <c r="B36" s="770" t="s">
        <v>389</v>
      </c>
      <c r="C36" s="1084"/>
      <c r="D36" s="771"/>
      <c r="E36" s="776">
        <f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6">
        <f>SUM(L36:M36)</f>
        <v>0</v>
      </c>
      <c r="O36" s="1130"/>
      <c r="P36" s="774"/>
      <c r="Q36" s="1118">
        <f>SUM(O36:P36)</f>
        <v>0</v>
      </c>
    </row>
    <row r="37" spans="1:17" s="386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1125"/>
      <c r="P37" s="392"/>
      <c r="Q37" s="1119">
        <f>SUM(O37:P37)</f>
        <v>0</v>
      </c>
    </row>
    <row r="38" spans="1:17" s="386" customFormat="1" ht="15">
      <c r="A38" s="335" t="s">
        <v>100</v>
      </c>
      <c r="B38" s="142" t="s">
        <v>390</v>
      </c>
      <c r="C38" s="1075"/>
      <c r="D38" s="321"/>
      <c r="E38" s="324">
        <f>SUM(C38:D38)</f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324">
        <f>SUM(L38:M38)</f>
        <v>0</v>
      </c>
      <c r="O38" s="1129"/>
      <c r="P38" s="396"/>
      <c r="Q38" s="1117">
        <f>SUM(O38:P38)</f>
        <v>0</v>
      </c>
    </row>
    <row r="39" spans="1:17" s="386" customFormat="1" ht="15.75" thickBot="1">
      <c r="A39" s="154" t="s">
        <v>101</v>
      </c>
      <c r="B39" s="155" t="s">
        <v>394</v>
      </c>
      <c r="C39" s="907"/>
      <c r="D39" s="151">
        <v>4954</v>
      </c>
      <c r="E39" s="238">
        <f>SUM(C39:D39)</f>
        <v>4954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1127"/>
      <c r="P39" s="393"/>
      <c r="Q39" s="1120">
        <f>SUM(O39:P39)</f>
        <v>0</v>
      </c>
    </row>
    <row r="40" spans="1:17" s="394" customFormat="1" ht="16.5" thickBot="1">
      <c r="A40" s="313">
        <v>1</v>
      </c>
      <c r="B40" s="305" t="s">
        <v>177</v>
      </c>
      <c r="C40" s="347">
        <f aca="true" t="shared" si="16" ref="C40:Q40">SUM(C36:C39)</f>
        <v>0</v>
      </c>
      <c r="D40" s="314">
        <f t="shared" si="16"/>
        <v>4954</v>
      </c>
      <c r="E40" s="320">
        <f t="shared" si="16"/>
        <v>4954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s="386" customFormat="1" ht="15">
      <c r="A41" s="156" t="s">
        <v>98</v>
      </c>
      <c r="B41" s="145" t="s">
        <v>416</v>
      </c>
      <c r="C41" s="1074"/>
      <c r="D41" s="226"/>
      <c r="E41" s="228">
        <f>SUM(C41:D41)</f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228">
        <f>SUM(L41:M41)</f>
        <v>0</v>
      </c>
      <c r="O41" s="1126"/>
      <c r="P41" s="390"/>
      <c r="Q41" s="1115">
        <f>SUM(O41:P41)</f>
        <v>0</v>
      </c>
    </row>
    <row r="42" spans="1:17" s="386" customFormat="1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1125"/>
      <c r="P42" s="392"/>
      <c r="Q42" s="1119">
        <f>SUM(O42:P42)</f>
        <v>0</v>
      </c>
    </row>
    <row r="43" spans="1:17" s="386" customFormat="1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1125"/>
      <c r="P43" s="392"/>
      <c r="Q43" s="1119">
        <f>SUM(O43:P43)</f>
        <v>0</v>
      </c>
    </row>
    <row r="44" spans="1:17" s="386" customFormat="1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1127"/>
      <c r="P44" s="393"/>
      <c r="Q44" s="1120">
        <f>SUM(O44:P44)</f>
        <v>0</v>
      </c>
    </row>
    <row r="45" spans="1:17" s="394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200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>
        <v>717819</v>
      </c>
      <c r="M46" s="314">
        <v>-18638</v>
      </c>
      <c r="N46" s="330">
        <f>SUM(L46:M46)</f>
        <v>699181</v>
      </c>
      <c r="O46" s="347"/>
      <c r="P46" s="314"/>
      <c r="Q46" s="320">
        <f>SUM(O46:P46)</f>
        <v>0</v>
      </c>
    </row>
    <row r="47" spans="1:17" s="88" customFormat="1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0" customFormat="1" ht="15">
      <c r="A48" s="156" t="s">
        <v>98</v>
      </c>
      <c r="B48" s="142" t="s">
        <v>291</v>
      </c>
      <c r="C48" s="1074"/>
      <c r="D48" s="226"/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228">
        <f>SUM(L48:M48)</f>
        <v>0</v>
      </c>
      <c r="O48" s="1126"/>
      <c r="P48" s="390"/>
      <c r="Q48" s="1115">
        <f>SUM(O48:P48)</f>
        <v>0</v>
      </c>
    </row>
    <row r="49" spans="1:17" s="88" customFormat="1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1125"/>
      <c r="P49" s="392"/>
      <c r="Q49" s="1119">
        <f>SUM(O49:P49)</f>
        <v>0</v>
      </c>
    </row>
    <row r="50" spans="1:17" s="88" customFormat="1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1125"/>
      <c r="P50" s="392"/>
      <c r="Q50" s="1119">
        <f>SUM(O50:P50)</f>
        <v>0</v>
      </c>
    </row>
    <row r="51" spans="1:17" s="200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200" customFormat="1" ht="16.5" thickBot="1">
      <c r="A52" s="765">
        <v>6</v>
      </c>
      <c r="B52" s="766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/>
      <c r="K52" s="332">
        <f>SUM(I52:J52)</f>
        <v>0</v>
      </c>
      <c r="L52" s="1083">
        <v>563991</v>
      </c>
      <c r="M52" s="339">
        <v>-313694</v>
      </c>
      <c r="N52" s="332">
        <f>SUM(L52:M52)</f>
        <v>250297</v>
      </c>
      <c r="O52" s="1131"/>
      <c r="P52" s="759"/>
      <c r="Q52" s="1121">
        <f>SUM(O52:P52)</f>
        <v>0</v>
      </c>
    </row>
    <row r="53" spans="1:17" s="88" customFormat="1" ht="15">
      <c r="A53" s="137" t="s">
        <v>98</v>
      </c>
      <c r="B53" s="138" t="s">
        <v>395</v>
      </c>
      <c r="C53" s="1078"/>
      <c r="D53" s="140"/>
      <c r="E53" s="195">
        <f>SUM(C53:D53)</f>
        <v>0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1078"/>
      <c r="M53" s="140"/>
      <c r="N53" s="195">
        <f>SUM(L53:M53)</f>
        <v>0</v>
      </c>
      <c r="O53" s="1132"/>
      <c r="P53" s="401"/>
      <c r="Q53" s="1122">
        <f>SUM(O53:P53)</f>
        <v>0</v>
      </c>
    </row>
    <row r="54" spans="1:17" s="88" customFormat="1" ht="15.7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324">
        <f>SUM(L54:M54)</f>
        <v>0</v>
      </c>
      <c r="O54" s="1129"/>
      <c r="P54" s="396"/>
      <c r="Q54" s="1117">
        <f>SUM(O54:P54)</f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5">
        <f t="shared" si="19"/>
        <v>0</v>
      </c>
      <c r="P55" s="1087">
        <f t="shared" si="19"/>
        <v>0</v>
      </c>
      <c r="Q55" s="1089">
        <f t="shared" si="19"/>
        <v>0</v>
      </c>
    </row>
    <row r="56" spans="1:17" s="268" customFormat="1" ht="19.5" customHeight="1" thickBot="1">
      <c r="A56" s="716">
        <v>8</v>
      </c>
      <c r="B56" s="717" t="s">
        <v>46</v>
      </c>
      <c r="C56" s="1110">
        <f>C34-C40-C45-C46-C47-C51-C52-C55-C57-C58-C59</f>
        <v>26331</v>
      </c>
      <c r="D56" s="1111">
        <f>D34-D40-D45-D46-D47-D51-D52-D55-D57-D58-D59</f>
        <v>0</v>
      </c>
      <c r="E56" s="1108">
        <f aca="true" t="shared" si="20" ref="E56:Q56">E34-E40-E45-E46-E47-E51-E52-E55-E57-E58-E59</f>
        <v>26331</v>
      </c>
      <c r="F56" s="1110">
        <f t="shared" si="20"/>
        <v>69796</v>
      </c>
      <c r="G56" s="1111">
        <f t="shared" si="20"/>
        <v>0</v>
      </c>
      <c r="H56" s="1108">
        <f t="shared" si="20"/>
        <v>69796</v>
      </c>
      <c r="I56" s="1110">
        <f t="shared" si="20"/>
        <v>188330</v>
      </c>
      <c r="J56" s="1111">
        <f t="shared" si="20"/>
        <v>0</v>
      </c>
      <c r="K56" s="1108">
        <f t="shared" si="20"/>
        <v>188330</v>
      </c>
      <c r="L56" s="1110">
        <f t="shared" si="20"/>
        <v>-278175</v>
      </c>
      <c r="M56" s="1111">
        <f t="shared" si="20"/>
        <v>299332</v>
      </c>
      <c r="N56" s="1108">
        <f t="shared" si="20"/>
        <v>21157</v>
      </c>
      <c r="O56" s="1133">
        <f t="shared" si="20"/>
        <v>0</v>
      </c>
      <c r="P56" s="1135">
        <f t="shared" si="20"/>
        <v>0</v>
      </c>
      <c r="Q56" s="1123">
        <f t="shared" si="20"/>
        <v>0</v>
      </c>
    </row>
    <row r="57" spans="1:17" s="200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1109">
        <f>SUM(L57:M57)</f>
        <v>0</v>
      </c>
      <c r="O57" s="1134"/>
      <c r="P57" s="404"/>
      <c r="Q57" s="1124">
        <f>SUM(O57:P57)</f>
        <v>0</v>
      </c>
    </row>
    <row r="58" spans="1:17" s="200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0"/>
      <c r="J58" s="327"/>
      <c r="K58" s="1109">
        <f>SUM(I58:J58)</f>
        <v>0</v>
      </c>
      <c r="L58" s="1080"/>
      <c r="M58" s="327"/>
      <c r="N58" s="1109">
        <f>SUM(L58:M58)</f>
        <v>0</v>
      </c>
      <c r="O58" s="403"/>
      <c r="P58" s="404"/>
      <c r="Q58" s="405">
        <f>SUM(O58:P58)</f>
        <v>0</v>
      </c>
    </row>
    <row r="59" spans="1:17" s="200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152" customFormat="1" ht="17.25" thickBot="1" thickTop="1">
      <c r="A60" s="343" t="s">
        <v>109</v>
      </c>
      <c r="B60" s="345" t="s">
        <v>182</v>
      </c>
      <c r="C60" s="779">
        <f>C40+C45+C46+C47+C51+C52+C55+C56+C57+C58+C59</f>
        <v>26331</v>
      </c>
      <c r="D60" s="780">
        <f aca="true" t="shared" si="21" ref="D60:Q60">D40+D45+D46+D47+D51+D52+D55+D56+D57+D58+D59</f>
        <v>4954</v>
      </c>
      <c r="E60" s="778">
        <f t="shared" si="21"/>
        <v>31285</v>
      </c>
      <c r="F60" s="364">
        <f t="shared" si="21"/>
        <v>69796</v>
      </c>
      <c r="G60" s="344">
        <f t="shared" si="21"/>
        <v>0</v>
      </c>
      <c r="H60" s="778">
        <f t="shared" si="21"/>
        <v>69796</v>
      </c>
      <c r="I60" s="779">
        <f t="shared" si="21"/>
        <v>188330</v>
      </c>
      <c r="J60" s="780">
        <f t="shared" si="21"/>
        <v>0</v>
      </c>
      <c r="K60" s="778">
        <f t="shared" si="21"/>
        <v>188330</v>
      </c>
      <c r="L60" s="364">
        <f t="shared" si="21"/>
        <v>1003635</v>
      </c>
      <c r="M60" s="344">
        <f t="shared" si="21"/>
        <v>-33000</v>
      </c>
      <c r="N60" s="778">
        <f t="shared" si="21"/>
        <v>970635</v>
      </c>
      <c r="O60" s="364">
        <f t="shared" si="21"/>
        <v>0</v>
      </c>
      <c r="P60" s="344">
        <f t="shared" si="21"/>
        <v>0</v>
      </c>
      <c r="Q60" s="374">
        <f t="shared" si="21"/>
        <v>0</v>
      </c>
    </row>
    <row r="61" spans="1:17" s="386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s="386" customFormat="1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415"/>
      <c r="P62" s="416"/>
      <c r="Q62" s="417">
        <f>SUM(O62:P62)</f>
        <v>0</v>
      </c>
    </row>
    <row r="63" spans="1:17" s="386" customFormat="1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415"/>
      <c r="P63" s="416"/>
      <c r="Q63" s="417">
        <f>SUM(O63:P63)</f>
        <v>0</v>
      </c>
    </row>
    <row r="64" spans="1:17" s="386" customFormat="1" ht="16.5" thickTop="1">
      <c r="A64" s="418"/>
      <c r="O64" s="400"/>
      <c r="P64" s="400"/>
      <c r="Q64" s="400"/>
    </row>
    <row r="65" spans="1:17" s="386" customFormat="1" ht="15.75">
      <c r="A65" s="418"/>
      <c r="O65" s="400"/>
      <c r="P65" s="400"/>
      <c r="Q65" s="400"/>
    </row>
    <row r="66" spans="1:17" s="386" customFormat="1" ht="15">
      <c r="A66" s="419"/>
      <c r="O66" s="400"/>
      <c r="P66" s="400"/>
      <c r="Q66" s="400"/>
    </row>
    <row r="67" spans="1:17" s="386" customFormat="1" ht="15">
      <c r="A67" s="419"/>
      <c r="O67" s="400"/>
      <c r="P67" s="400"/>
      <c r="Q67" s="400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4" width="14.625" style="88" customWidth="1"/>
    <col min="15" max="17" width="14.625" style="234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O1" s="892"/>
      <c r="P1" s="892"/>
      <c r="Q1" s="892" t="s">
        <v>947</v>
      </c>
    </row>
    <row r="2" spans="1:17" ht="13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O2" s="892"/>
      <c r="P2" s="892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O3" s="892"/>
      <c r="P3" s="892"/>
      <c r="Q3" s="893" t="s">
        <v>143</v>
      </c>
    </row>
    <row r="4" spans="1:17" s="15" customFormat="1" ht="20.25">
      <c r="A4" s="1950" t="s">
        <v>648</v>
      </c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</row>
    <row r="5" spans="1:17" s="15" customFormat="1" ht="18">
      <c r="A5" s="1951" t="s">
        <v>562</v>
      </c>
      <c r="B5" s="1951"/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1"/>
      <c r="N5" s="1951"/>
      <c r="O5" s="1951"/>
      <c r="P5" s="1951"/>
      <c r="Q5" s="1951"/>
    </row>
    <row r="6" spans="1:17" ht="4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896"/>
      <c r="Q6" s="123" t="s">
        <v>134</v>
      </c>
    </row>
    <row r="7" spans="1:17" s="88" customFormat="1" ht="34.5" customHeight="1">
      <c r="A7" s="230" t="s">
        <v>124</v>
      </c>
      <c r="B7" s="87" t="s">
        <v>125</v>
      </c>
      <c r="C7" s="1936" t="s">
        <v>639</v>
      </c>
      <c r="D7" s="1937"/>
      <c r="E7" s="1938"/>
      <c r="F7" s="1939" t="s">
        <v>63</v>
      </c>
      <c r="G7" s="1961"/>
      <c r="H7" s="1962"/>
      <c r="I7" s="1939" t="s">
        <v>446</v>
      </c>
      <c r="J7" s="1963"/>
      <c r="K7" s="1962"/>
      <c r="L7" s="1939" t="s">
        <v>464</v>
      </c>
      <c r="M7" s="1963"/>
      <c r="N7" s="1962"/>
      <c r="O7" s="1939" t="s">
        <v>638</v>
      </c>
      <c r="P7" s="1963"/>
      <c r="Q7" s="1962"/>
    </row>
    <row r="8" spans="1:17" s="88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29" customFormat="1" ht="13.5" thickBot="1">
      <c r="A9" s="420">
        <v>1</v>
      </c>
      <c r="B9" s="420">
        <v>2</v>
      </c>
      <c r="C9" s="422">
        <v>3</v>
      </c>
      <c r="D9" s="422">
        <v>4</v>
      </c>
      <c r="E9" s="423">
        <v>5</v>
      </c>
      <c r="F9" s="421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4"/>
      <c r="D10" s="385"/>
      <c r="E10" s="936"/>
      <c r="F10" s="384"/>
      <c r="G10" s="385"/>
      <c r="H10" s="383"/>
      <c r="I10" s="384"/>
      <c r="J10" s="385"/>
      <c r="K10" s="383"/>
      <c r="L10" s="384"/>
      <c r="M10" s="385"/>
      <c r="N10" s="383"/>
      <c r="O10" s="384"/>
      <c r="P10" s="385"/>
      <c r="Q10" s="383"/>
    </row>
    <row r="11" spans="1:17" ht="16.5" thickBot="1">
      <c r="A11" s="313">
        <v>1</v>
      </c>
      <c r="B11" s="305" t="s">
        <v>113</v>
      </c>
      <c r="C11" s="314">
        <v>9963</v>
      </c>
      <c r="D11" s="314"/>
      <c r="E11" s="314">
        <f>SUM(C11:D11)</f>
        <v>9963</v>
      </c>
      <c r="F11" s="319">
        <v>20000</v>
      </c>
      <c r="G11" s="314">
        <v>-11706</v>
      </c>
      <c r="H11" s="358">
        <f>SUM(F11:G11)</f>
        <v>8294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14"/>
      <c r="P11" s="387"/>
      <c r="Q11" s="388">
        <f aca="true" t="shared" si="2" ref="Q11:Q16">SUM(O11:P11)</f>
        <v>0</v>
      </c>
    </row>
    <row r="12" spans="1:17" s="61" customFormat="1" ht="16.5" thickBot="1">
      <c r="A12" s="317">
        <v>2</v>
      </c>
      <c r="B12" s="932" t="s">
        <v>202</v>
      </c>
      <c r="C12" s="319">
        <v>1792</v>
      </c>
      <c r="D12" s="314"/>
      <c r="E12" s="314">
        <f>SUM(C12:D12)</f>
        <v>1792</v>
      </c>
      <c r="F12" s="319">
        <v>2700</v>
      </c>
      <c r="G12" s="314">
        <v>-1732</v>
      </c>
      <c r="H12" s="358">
        <f>SUM(F12:G12)</f>
        <v>968</v>
      </c>
      <c r="I12" s="319"/>
      <c r="J12" s="314"/>
      <c r="K12" s="358">
        <f t="shared" si="0"/>
        <v>0</v>
      </c>
      <c r="L12" s="319"/>
      <c r="M12" s="314"/>
      <c r="N12" s="358">
        <f t="shared" si="1"/>
        <v>0</v>
      </c>
      <c r="O12" s="387"/>
      <c r="P12" s="387"/>
      <c r="Q12" s="388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14">
        <v>1723457</v>
      </c>
      <c r="D13" s="314">
        <v>50192</v>
      </c>
      <c r="E13" s="314">
        <f>SUM(C13:D13)</f>
        <v>1773649</v>
      </c>
      <c r="F13" s="319">
        <v>1270</v>
      </c>
      <c r="G13" s="314">
        <v>-1270</v>
      </c>
      <c r="H13" s="358">
        <f>SUM(F13:G13)</f>
        <v>0</v>
      </c>
      <c r="I13" s="319">
        <v>58563</v>
      </c>
      <c r="J13" s="314">
        <v>11253</v>
      </c>
      <c r="K13" s="358">
        <f t="shared" si="0"/>
        <v>69816</v>
      </c>
      <c r="L13" s="314"/>
      <c r="M13" s="314"/>
      <c r="N13" s="358">
        <f t="shared" si="1"/>
        <v>0</v>
      </c>
      <c r="O13" s="314">
        <v>12269</v>
      </c>
      <c r="P13" s="387">
        <v>-1772</v>
      </c>
      <c r="Q13" s="388">
        <f t="shared" si="2"/>
        <v>10497</v>
      </c>
    </row>
    <row r="14" spans="1:17" s="15" customFormat="1" ht="16.5" thickBot="1">
      <c r="A14" s="317">
        <v>4</v>
      </c>
      <c r="B14" s="305" t="s">
        <v>172</v>
      </c>
      <c r="C14" s="319"/>
      <c r="D14" s="314"/>
      <c r="E14" s="358">
        <f>SUM(C14:D14)</f>
        <v>0</v>
      </c>
      <c r="F14" s="316"/>
      <c r="G14" s="314"/>
      <c r="H14" s="318">
        <f>SUM(F14:G14)</f>
        <v>0</v>
      </c>
      <c r="I14" s="319"/>
      <c r="J14" s="314"/>
      <c r="K14" s="358">
        <f t="shared" si="0"/>
        <v>0</v>
      </c>
      <c r="L14" s="319"/>
      <c r="M14" s="314"/>
      <c r="N14" s="358">
        <f t="shared" si="1"/>
        <v>0</v>
      </c>
      <c r="O14" s="319"/>
      <c r="P14" s="314"/>
      <c r="Q14" s="358">
        <f t="shared" si="2"/>
        <v>0</v>
      </c>
    </row>
    <row r="15" spans="1:17" ht="15">
      <c r="A15" s="156" t="s">
        <v>98</v>
      </c>
      <c r="B15" s="145" t="s">
        <v>383</v>
      </c>
      <c r="C15" s="226"/>
      <c r="D15" s="226"/>
      <c r="E15" s="226">
        <f>C15+D15</f>
        <v>0</v>
      </c>
      <c r="F15" s="227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90"/>
      <c r="P15" s="390"/>
      <c r="Q15" s="391">
        <f t="shared" si="2"/>
        <v>0</v>
      </c>
    </row>
    <row r="16" spans="1:17" ht="15">
      <c r="A16" s="153" t="s">
        <v>99</v>
      </c>
      <c r="B16" s="149" t="s">
        <v>626</v>
      </c>
      <c r="C16" s="139"/>
      <c r="D16" s="139"/>
      <c r="E16" s="226">
        <f>C16+D16</f>
        <v>0</v>
      </c>
      <c r="F16" s="143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92"/>
      <c r="P16" s="392"/>
      <c r="Q16" s="391">
        <f t="shared" si="2"/>
        <v>0</v>
      </c>
    </row>
    <row r="17" spans="1:17" ht="15">
      <c r="A17" s="153" t="s">
        <v>100</v>
      </c>
      <c r="B17" s="149" t="s">
        <v>627</v>
      </c>
      <c r="C17" s="139"/>
      <c r="D17" s="139"/>
      <c r="E17" s="226">
        <f aca="true" t="shared" si="3" ref="E17:E22">C17+D17</f>
        <v>0</v>
      </c>
      <c r="F17" s="143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92"/>
      <c r="P17" s="392"/>
      <c r="Q17" s="391">
        <f aca="true" t="shared" si="7" ref="Q17:Q22">SUM(O17:P17)</f>
        <v>0</v>
      </c>
    </row>
    <row r="18" spans="1:17" ht="15">
      <c r="A18" s="153" t="s">
        <v>101</v>
      </c>
      <c r="B18" s="155" t="s">
        <v>384</v>
      </c>
      <c r="C18" s="307"/>
      <c r="D18" s="139"/>
      <c r="E18" s="239">
        <f t="shared" si="3"/>
        <v>0</v>
      </c>
      <c r="F18" s="906"/>
      <c r="G18" s="139"/>
      <c r="H18" s="228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392"/>
      <c r="P18" s="392"/>
      <c r="Q18" s="391">
        <f t="shared" si="7"/>
        <v>0</v>
      </c>
    </row>
    <row r="19" spans="1:17" ht="15">
      <c r="A19" s="148" t="s">
        <v>192</v>
      </c>
      <c r="B19" s="149" t="s">
        <v>628</v>
      </c>
      <c r="C19" s="906"/>
      <c r="D19" s="139"/>
      <c r="E19" s="239">
        <f>C19+D19</f>
        <v>0</v>
      </c>
      <c r="F19" s="906"/>
      <c r="G19" s="139"/>
      <c r="H19" s="228">
        <f>F19+G19</f>
        <v>0</v>
      </c>
      <c r="I19" s="139"/>
      <c r="J19" s="139"/>
      <c r="K19" s="389">
        <f>SUM(I19:J19)</f>
        <v>0</v>
      </c>
      <c r="L19" s="139"/>
      <c r="M19" s="139"/>
      <c r="N19" s="389">
        <f>SUM(L19:M19)</f>
        <v>0</v>
      </c>
      <c r="O19" s="392"/>
      <c r="P19" s="392"/>
      <c r="Q19" s="391">
        <f>SUM(O19:P19)</f>
        <v>0</v>
      </c>
    </row>
    <row r="20" spans="1:17" ht="15">
      <c r="A20" s="148" t="s">
        <v>339</v>
      </c>
      <c r="B20" s="149" t="s">
        <v>629</v>
      </c>
      <c r="C20" s="906"/>
      <c r="D20" s="139"/>
      <c r="E20" s="239">
        <f t="shared" si="3"/>
        <v>0</v>
      </c>
      <c r="F20" s="906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92"/>
      <c r="P20" s="392"/>
      <c r="Q20" s="391">
        <f t="shared" si="7"/>
        <v>0</v>
      </c>
    </row>
    <row r="21" spans="1:17" ht="15">
      <c r="A21" s="148" t="s">
        <v>340</v>
      </c>
      <c r="B21" s="155" t="s">
        <v>385</v>
      </c>
      <c r="C21" s="306"/>
      <c r="D21" s="226"/>
      <c r="E21" s="239">
        <f>C21+D21</f>
        <v>0</v>
      </c>
      <c r="F21" s="1074"/>
      <c r="G21" s="226"/>
      <c r="H21" s="228">
        <f t="shared" si="4"/>
        <v>0</v>
      </c>
      <c r="I21" s="306"/>
      <c r="J21" s="226"/>
      <c r="K21" s="228">
        <f t="shared" si="5"/>
        <v>0</v>
      </c>
      <c r="L21" s="306"/>
      <c r="M21" s="226"/>
      <c r="N21" s="228">
        <f t="shared" si="6"/>
        <v>0</v>
      </c>
      <c r="O21" s="1140"/>
      <c r="P21" s="392"/>
      <c r="Q21" s="1115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308"/>
      <c r="D22" s="151"/>
      <c r="E22" s="239">
        <f t="shared" si="3"/>
        <v>0</v>
      </c>
      <c r="F22" s="907"/>
      <c r="G22" s="151"/>
      <c r="H22" s="228">
        <f t="shared" si="4"/>
        <v>0</v>
      </c>
      <c r="I22" s="886"/>
      <c r="J22" s="151"/>
      <c r="K22" s="228">
        <f t="shared" si="5"/>
        <v>0</v>
      </c>
      <c r="L22" s="308"/>
      <c r="M22" s="151"/>
      <c r="N22" s="228">
        <f t="shared" si="6"/>
        <v>0</v>
      </c>
      <c r="O22" s="1142"/>
      <c r="P22" s="393"/>
      <c r="Q22" s="1115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0</v>
      </c>
      <c r="J23" s="314">
        <f t="shared" si="8"/>
        <v>0</v>
      </c>
      <c r="K23" s="320">
        <f t="shared" si="8"/>
        <v>0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ht="16.5" thickBot="1">
      <c r="A24" s="313">
        <v>6</v>
      </c>
      <c r="B24" s="305" t="s">
        <v>174</v>
      </c>
      <c r="C24" s="318">
        <v>3215137</v>
      </c>
      <c r="D24" s="314">
        <v>38262</v>
      </c>
      <c r="E24" s="316">
        <f aca="true" t="shared" si="9" ref="E24:E30">SUM(C24:D24)</f>
        <v>3253399</v>
      </c>
      <c r="F24" s="347"/>
      <c r="G24" s="314"/>
      <c r="H24" s="320">
        <f aca="true" t="shared" si="10" ref="H24:H30">SUM(F24:G24)</f>
        <v>0</v>
      </c>
      <c r="I24" s="318">
        <v>311376</v>
      </c>
      <c r="J24" s="314">
        <v>41249</v>
      </c>
      <c r="K24" s="320">
        <f aca="true" t="shared" si="11" ref="K24:K30">SUM(I24:J24)</f>
        <v>352625</v>
      </c>
      <c r="L24" s="318"/>
      <c r="M24" s="314"/>
      <c r="N24" s="320">
        <f aca="true" t="shared" si="12" ref="N24:N30">SUM(L24:M24)</f>
        <v>0</v>
      </c>
      <c r="O24" s="347">
        <v>2432</v>
      </c>
      <c r="P24" s="387">
        <v>1772</v>
      </c>
      <c r="Q24" s="1116">
        <f aca="true" t="shared" si="13" ref="Q24:Q30">SUM(O24:P24)</f>
        <v>4204</v>
      </c>
    </row>
    <row r="25" spans="1:17" s="15" customFormat="1" ht="16.5" thickBot="1">
      <c r="A25" s="313">
        <v>7</v>
      </c>
      <c r="B25" s="305" t="s">
        <v>435</v>
      </c>
      <c r="C25" s="318">
        <v>1343199</v>
      </c>
      <c r="D25" s="314">
        <v>-16296</v>
      </c>
      <c r="E25" s="316">
        <f t="shared" si="9"/>
        <v>1326903</v>
      </c>
      <c r="F25" s="347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87"/>
      <c r="Q25" s="1116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39">
        <f t="shared" si="9"/>
        <v>0</v>
      </c>
      <c r="F26" s="1074"/>
      <c r="G26" s="226"/>
      <c r="H26" s="228">
        <f t="shared" si="10"/>
        <v>0</v>
      </c>
      <c r="I26" s="1074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390"/>
      <c r="Q26" s="1115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39">
        <f t="shared" si="9"/>
        <v>0</v>
      </c>
      <c r="F27" s="1074"/>
      <c r="G27" s="226"/>
      <c r="H27" s="228">
        <f t="shared" si="10"/>
        <v>0</v>
      </c>
      <c r="I27" s="1074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390"/>
      <c r="Q27" s="1115">
        <f t="shared" si="13"/>
        <v>0</v>
      </c>
    </row>
    <row r="28" spans="1:17" ht="15">
      <c r="A28" s="156" t="s">
        <v>100</v>
      </c>
      <c r="B28" s="155" t="s">
        <v>387</v>
      </c>
      <c r="C28" s="306"/>
      <c r="D28" s="226"/>
      <c r="E28" s="239">
        <f t="shared" si="9"/>
        <v>0</v>
      </c>
      <c r="F28" s="1074"/>
      <c r="G28" s="226"/>
      <c r="H28" s="228">
        <f t="shared" si="10"/>
        <v>0</v>
      </c>
      <c r="I28" s="1074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390"/>
      <c r="Q28" s="1115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39">
        <f t="shared" si="9"/>
        <v>0</v>
      </c>
      <c r="F29" s="1074"/>
      <c r="G29" s="226"/>
      <c r="H29" s="228">
        <f t="shared" si="10"/>
        <v>0</v>
      </c>
      <c r="I29" s="1074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390"/>
      <c r="Q29" s="1115">
        <f t="shared" si="13"/>
        <v>0</v>
      </c>
    </row>
    <row r="30" spans="1:17" ht="15.75" thickBot="1">
      <c r="A30" s="335" t="s">
        <v>192</v>
      </c>
      <c r="B30" s="155" t="s">
        <v>388</v>
      </c>
      <c r="C30" s="329"/>
      <c r="D30" s="321"/>
      <c r="E30" s="322">
        <f t="shared" si="9"/>
        <v>0</v>
      </c>
      <c r="F30" s="1075"/>
      <c r="G30" s="321"/>
      <c r="H30" s="324">
        <f t="shared" si="10"/>
        <v>0</v>
      </c>
      <c r="I30" s="1075"/>
      <c r="J30" s="321"/>
      <c r="K30" s="324">
        <f t="shared" si="11"/>
        <v>0</v>
      </c>
      <c r="L30" s="329"/>
      <c r="M30" s="321"/>
      <c r="N30" s="324">
        <f t="shared" si="12"/>
        <v>0</v>
      </c>
      <c r="O30" s="329"/>
      <c r="P30" s="396"/>
      <c r="Q30" s="1117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16">
        <f>SUM(C32:D32)</f>
        <v>0</v>
      </c>
      <c r="F32" s="347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1128"/>
      <c r="P32" s="387"/>
      <c r="Q32" s="1116">
        <f>SUM(O32:P32)</f>
        <v>0</v>
      </c>
    </row>
    <row r="33" spans="1:21" s="34" customFormat="1" ht="16.5" thickBot="1">
      <c r="A33" s="367">
        <v>10</v>
      </c>
      <c r="B33" s="933"/>
      <c r="C33" s="1090"/>
      <c r="D33" s="375"/>
      <c r="E33" s="376">
        <f>SUM(C33:D33)</f>
        <v>0</v>
      </c>
      <c r="F33" s="293"/>
      <c r="G33" s="369"/>
      <c r="H33" s="1106">
        <f>SUM(F33:G33)</f>
        <v>0</v>
      </c>
      <c r="I33" s="158"/>
      <c r="J33" s="369"/>
      <c r="K33" s="1106">
        <f>SUM(I33:J33)</f>
        <v>0</v>
      </c>
      <c r="L33" s="158"/>
      <c r="M33" s="369"/>
      <c r="N33" s="1106">
        <f>SUM(L33:M33)</f>
        <v>0</v>
      </c>
      <c r="O33" s="158"/>
      <c r="P33" s="369"/>
      <c r="Q33" s="1106">
        <f>SUM(O33:P33)</f>
        <v>0</v>
      </c>
      <c r="R33" s="32"/>
      <c r="S33" s="32"/>
      <c r="T33" s="32"/>
      <c r="U33" s="32"/>
    </row>
    <row r="34" spans="1:96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6293548</v>
      </c>
      <c r="D34" s="344">
        <f t="shared" si="15"/>
        <v>72158</v>
      </c>
      <c r="E34" s="363">
        <f t="shared" si="15"/>
        <v>6365706</v>
      </c>
      <c r="F34" s="365">
        <f t="shared" si="15"/>
        <v>23970</v>
      </c>
      <c r="G34" s="344">
        <f t="shared" si="15"/>
        <v>-14708</v>
      </c>
      <c r="H34" s="363">
        <f t="shared" si="15"/>
        <v>9262</v>
      </c>
      <c r="I34" s="365">
        <f t="shared" si="15"/>
        <v>369939</v>
      </c>
      <c r="J34" s="344">
        <f t="shared" si="15"/>
        <v>52502</v>
      </c>
      <c r="K34" s="363">
        <f t="shared" si="15"/>
        <v>422441</v>
      </c>
      <c r="L34" s="365">
        <f t="shared" si="15"/>
        <v>0</v>
      </c>
      <c r="M34" s="344">
        <f t="shared" si="15"/>
        <v>0</v>
      </c>
      <c r="N34" s="363">
        <f t="shared" si="15"/>
        <v>0</v>
      </c>
      <c r="O34" s="365">
        <f t="shared" si="15"/>
        <v>14701</v>
      </c>
      <c r="P34" s="344">
        <f t="shared" si="15"/>
        <v>0</v>
      </c>
      <c r="Q34" s="374">
        <f t="shared" si="15"/>
        <v>14701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</row>
    <row r="35" spans="1:96" ht="17.25" thickBot="1" thickTop="1">
      <c r="A35" s="144"/>
      <c r="B35" s="346" t="s">
        <v>131</v>
      </c>
      <c r="C35" s="1091"/>
      <c r="D35" s="373"/>
      <c r="E35" s="920"/>
      <c r="F35" s="888"/>
      <c r="G35" s="302"/>
      <c r="H35" s="1107"/>
      <c r="I35" s="935"/>
      <c r="J35" s="302"/>
      <c r="K35" s="1107"/>
      <c r="L35" s="935"/>
      <c r="M35" s="302"/>
      <c r="N35" s="1107"/>
      <c r="O35" s="1076"/>
      <c r="P35" s="302"/>
      <c r="Q35" s="1107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</row>
    <row r="36" spans="1:17" s="762" customFormat="1" ht="15">
      <c r="A36" s="769" t="s">
        <v>98</v>
      </c>
      <c r="B36" s="770" t="s">
        <v>389</v>
      </c>
      <c r="C36" s="1084"/>
      <c r="D36" s="771"/>
      <c r="E36" s="776">
        <f aca="true" t="shared" si="16" ref="E36:E44">SUM(C36:D36)</f>
        <v>0</v>
      </c>
      <c r="F36" s="775"/>
      <c r="G36" s="771"/>
      <c r="H36" s="776">
        <f>SUM(F36:G36)</f>
        <v>0</v>
      </c>
      <c r="I36" s="1084"/>
      <c r="J36" s="771"/>
      <c r="K36" s="776">
        <f>SUM(I36:J36)</f>
        <v>0</v>
      </c>
      <c r="L36" s="1084"/>
      <c r="M36" s="771"/>
      <c r="N36" s="776">
        <f>SUM(L36:M36)</f>
        <v>0</v>
      </c>
      <c r="O36" s="1130"/>
      <c r="P36" s="774"/>
      <c r="Q36" s="1118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 t="shared" si="16"/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1125"/>
      <c r="P37" s="392"/>
      <c r="Q37" s="1119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5"/>
      <c r="D38" s="321"/>
      <c r="E38" s="324">
        <f t="shared" si="16"/>
        <v>0</v>
      </c>
      <c r="F38" s="157"/>
      <c r="G38" s="321"/>
      <c r="H38" s="324">
        <f>SUM(F38:G38)</f>
        <v>0</v>
      </c>
      <c r="I38" s="1075"/>
      <c r="J38" s="321"/>
      <c r="K38" s="324">
        <f>SUM(I38:J38)</f>
        <v>0</v>
      </c>
      <c r="L38" s="1075"/>
      <c r="M38" s="321"/>
      <c r="N38" s="324">
        <f>SUM(L38:M38)</f>
        <v>0</v>
      </c>
      <c r="O38" s="1129"/>
      <c r="P38" s="396"/>
      <c r="Q38" s="1117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/>
      <c r="D39" s="151">
        <v>447754</v>
      </c>
      <c r="E39" s="238">
        <f t="shared" si="16"/>
        <v>447754</v>
      </c>
      <c r="F39" s="886">
        <v>23970</v>
      </c>
      <c r="G39" s="151">
        <v>-15950</v>
      </c>
      <c r="H39" s="238">
        <f>SUM(F39:G39)</f>
        <v>8020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1127"/>
      <c r="P39" s="393"/>
      <c r="Q39" s="1120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7" ref="C40:Q40">SUM(C36:C39)</f>
        <v>0</v>
      </c>
      <c r="D40" s="314">
        <f t="shared" si="17"/>
        <v>447754</v>
      </c>
      <c r="E40" s="320">
        <f t="shared" si="17"/>
        <v>447754</v>
      </c>
      <c r="F40" s="347">
        <f t="shared" si="17"/>
        <v>23970</v>
      </c>
      <c r="G40" s="314">
        <f t="shared" si="17"/>
        <v>-15950</v>
      </c>
      <c r="H40" s="320">
        <f t="shared" si="17"/>
        <v>8020</v>
      </c>
      <c r="I40" s="347">
        <f t="shared" si="17"/>
        <v>0</v>
      </c>
      <c r="J40" s="314">
        <f t="shared" si="17"/>
        <v>0</v>
      </c>
      <c r="K40" s="320">
        <f t="shared" si="17"/>
        <v>0</v>
      </c>
      <c r="L40" s="347">
        <f t="shared" si="17"/>
        <v>0</v>
      </c>
      <c r="M40" s="314">
        <f t="shared" si="17"/>
        <v>0</v>
      </c>
      <c r="N40" s="320">
        <f t="shared" si="17"/>
        <v>0</v>
      </c>
      <c r="O40" s="347">
        <f t="shared" si="17"/>
        <v>0</v>
      </c>
      <c r="P40" s="314">
        <f t="shared" si="17"/>
        <v>0</v>
      </c>
      <c r="Q40" s="320">
        <f t="shared" si="17"/>
        <v>0</v>
      </c>
    </row>
    <row r="41" spans="1:17" ht="15">
      <c r="A41" s="156" t="s">
        <v>98</v>
      </c>
      <c r="B41" s="145" t="s">
        <v>416</v>
      </c>
      <c r="C41" s="1074"/>
      <c r="D41" s="226"/>
      <c r="E41" s="228">
        <f t="shared" si="16"/>
        <v>0</v>
      </c>
      <c r="F41" s="887"/>
      <c r="G41" s="226"/>
      <c r="H41" s="228">
        <f>SUM(F41:G41)</f>
        <v>0</v>
      </c>
      <c r="I41" s="1074"/>
      <c r="J41" s="226"/>
      <c r="K41" s="228">
        <f>SUM(I41:J41)</f>
        <v>0</v>
      </c>
      <c r="L41" s="1074"/>
      <c r="M41" s="226"/>
      <c r="N41" s="228">
        <f>SUM(L41:M41)</f>
        <v>0</v>
      </c>
      <c r="O41" s="1126"/>
      <c r="P41" s="390"/>
      <c r="Q41" s="1115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 t="shared" si="16"/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1125"/>
      <c r="P42" s="392"/>
      <c r="Q42" s="1119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 t="shared" si="16"/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1125"/>
      <c r="P43" s="392"/>
      <c r="Q43" s="1119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 t="shared" si="16"/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1127"/>
      <c r="P44" s="393"/>
      <c r="Q44" s="1120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8" ref="D45:Q45">SUM(D41:D44)</f>
        <v>0</v>
      </c>
      <c r="E45" s="316">
        <f t="shared" si="18"/>
        <v>0</v>
      </c>
      <c r="F45" s="347">
        <f t="shared" si="18"/>
        <v>0</v>
      </c>
      <c r="G45" s="314">
        <f t="shared" si="18"/>
        <v>0</v>
      </c>
      <c r="H45" s="316">
        <f t="shared" si="18"/>
        <v>0</v>
      </c>
      <c r="I45" s="347">
        <f t="shared" si="18"/>
        <v>0</v>
      </c>
      <c r="J45" s="314">
        <f t="shared" si="18"/>
        <v>0</v>
      </c>
      <c r="K45" s="316">
        <f t="shared" si="18"/>
        <v>0</v>
      </c>
      <c r="L45" s="347">
        <f t="shared" si="18"/>
        <v>0</v>
      </c>
      <c r="M45" s="314">
        <f t="shared" si="18"/>
        <v>0</v>
      </c>
      <c r="N45" s="330">
        <f t="shared" si="18"/>
        <v>0</v>
      </c>
      <c r="O45" s="347">
        <f t="shared" si="18"/>
        <v>0</v>
      </c>
      <c r="P45" s="314">
        <f t="shared" si="18"/>
        <v>0</v>
      </c>
      <c r="Q45" s="320">
        <f t="shared" si="18"/>
        <v>0</v>
      </c>
    </row>
    <row r="46" spans="1:17" s="15" customFormat="1" ht="16.5" thickBot="1">
      <c r="A46" s="313">
        <v>3</v>
      </c>
      <c r="B46" s="305" t="s">
        <v>264</v>
      </c>
      <c r="C46" s="347">
        <v>100</v>
      </c>
      <c r="D46" s="314">
        <v>3712</v>
      </c>
      <c r="E46" s="316">
        <f>SUM(C46:D46)</f>
        <v>3812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>
        <v>14121</v>
      </c>
      <c r="K47" s="316">
        <f>SUM(I47:J47)</f>
        <v>14121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4">
        <v>2066600</v>
      </c>
      <c r="D48" s="226">
        <v>-2066600</v>
      </c>
      <c r="E48" s="228">
        <f>SUM(C48:D48)</f>
        <v>0</v>
      </c>
      <c r="F48" s="887"/>
      <c r="G48" s="226"/>
      <c r="H48" s="228">
        <f>SUM(F48:G48)</f>
        <v>0</v>
      </c>
      <c r="I48" s="1074"/>
      <c r="J48" s="226"/>
      <c r="K48" s="228">
        <f>SUM(I48:J48)</f>
        <v>0</v>
      </c>
      <c r="L48" s="1074"/>
      <c r="M48" s="226"/>
      <c r="N48" s="228">
        <f>SUM(L48:M48)</f>
        <v>0</v>
      </c>
      <c r="O48" s="1126"/>
      <c r="P48" s="390"/>
      <c r="Q48" s="1115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1125"/>
      <c r="P49" s="392"/>
      <c r="Q49" s="1119">
        <f>SUM(O49:P49)</f>
        <v>0</v>
      </c>
    </row>
    <row r="50" spans="1:17" ht="15.75" thickBot="1">
      <c r="A50" s="154" t="s">
        <v>100</v>
      </c>
      <c r="B50" s="334" t="s">
        <v>426</v>
      </c>
      <c r="C50" s="906">
        <v>116287</v>
      </c>
      <c r="D50" s="139">
        <v>1658346</v>
      </c>
      <c r="E50" s="162">
        <f>SUM(C50:D50)</f>
        <v>1774633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1125"/>
      <c r="P50" s="392"/>
      <c r="Q50" s="1119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2182887</v>
      </c>
      <c r="D51" s="314">
        <f>SUM(D48:D50)</f>
        <v>-408254</v>
      </c>
      <c r="E51" s="316">
        <f aca="true" t="shared" si="19" ref="E51:Q51">SUM(E48:E50)</f>
        <v>1774633</v>
      </c>
      <c r="F51" s="347">
        <f t="shared" si="19"/>
        <v>0</v>
      </c>
      <c r="G51" s="314">
        <f t="shared" si="19"/>
        <v>0</v>
      </c>
      <c r="H51" s="316">
        <f t="shared" si="19"/>
        <v>0</v>
      </c>
      <c r="I51" s="347">
        <f t="shared" si="19"/>
        <v>0</v>
      </c>
      <c r="J51" s="314">
        <f t="shared" si="19"/>
        <v>0</v>
      </c>
      <c r="K51" s="316">
        <f t="shared" si="19"/>
        <v>0</v>
      </c>
      <c r="L51" s="347">
        <f t="shared" si="19"/>
        <v>0</v>
      </c>
      <c r="M51" s="314">
        <f t="shared" si="19"/>
        <v>0</v>
      </c>
      <c r="N51" s="316">
        <f t="shared" si="19"/>
        <v>0</v>
      </c>
      <c r="O51" s="347">
        <f t="shared" si="19"/>
        <v>0</v>
      </c>
      <c r="P51" s="314">
        <f t="shared" si="19"/>
        <v>0</v>
      </c>
      <c r="Q51" s="320">
        <f t="shared" si="19"/>
        <v>0</v>
      </c>
    </row>
    <row r="52" spans="1:17" s="15" customFormat="1" ht="16.5" thickBot="1">
      <c r="A52" s="765">
        <v>6</v>
      </c>
      <c r="B52" s="766" t="s">
        <v>295</v>
      </c>
      <c r="C52" s="1077"/>
      <c r="D52" s="339"/>
      <c r="E52" s="332">
        <f>SUM(C52:D52)</f>
        <v>0</v>
      </c>
      <c r="F52" s="333"/>
      <c r="G52" s="339"/>
      <c r="H52" s="332">
        <f>SUM(F52:G52)</f>
        <v>0</v>
      </c>
      <c r="I52" s="1083"/>
      <c r="J52" s="339">
        <v>15803</v>
      </c>
      <c r="K52" s="332">
        <f>SUM(I52:J52)</f>
        <v>15803</v>
      </c>
      <c r="L52" s="1083"/>
      <c r="M52" s="339"/>
      <c r="N52" s="332">
        <f>SUM(L52:M52)</f>
        <v>0</v>
      </c>
      <c r="O52" s="1131"/>
      <c r="P52" s="759"/>
      <c r="Q52" s="1121">
        <f>SUM(O52:P52)</f>
        <v>0</v>
      </c>
    </row>
    <row r="53" spans="1:17" ht="15">
      <c r="A53" s="137" t="s">
        <v>98</v>
      </c>
      <c r="B53" s="138" t="s">
        <v>395</v>
      </c>
      <c r="C53" s="1078"/>
      <c r="D53" s="140"/>
      <c r="E53" s="195">
        <f>SUM(C53:D53)</f>
        <v>0</v>
      </c>
      <c r="F53" s="889"/>
      <c r="G53" s="140"/>
      <c r="H53" s="195">
        <f>SUM(F53:G53)</f>
        <v>0</v>
      </c>
      <c r="I53" s="1078"/>
      <c r="J53" s="140"/>
      <c r="K53" s="195">
        <f>SUM(I53:J53)</f>
        <v>0</v>
      </c>
      <c r="L53" s="1078"/>
      <c r="M53" s="140"/>
      <c r="N53" s="195">
        <f>SUM(L53:M53)</f>
        <v>0</v>
      </c>
      <c r="O53" s="1132"/>
      <c r="P53" s="401"/>
      <c r="Q53" s="1122">
        <f>SUM(O53:P53)</f>
        <v>0</v>
      </c>
    </row>
    <row r="54" spans="1:17" ht="15.75" thickBot="1">
      <c r="A54" s="335" t="s">
        <v>99</v>
      </c>
      <c r="B54" s="142" t="s">
        <v>396</v>
      </c>
      <c r="C54" s="1075"/>
      <c r="D54" s="321"/>
      <c r="E54" s="324">
        <f>SUM(C54:D54)</f>
        <v>0</v>
      </c>
      <c r="F54" s="157"/>
      <c r="G54" s="321"/>
      <c r="H54" s="324">
        <f>SUM(F54:G54)</f>
        <v>0</v>
      </c>
      <c r="I54" s="1075"/>
      <c r="J54" s="321"/>
      <c r="K54" s="324">
        <f>SUM(I54:J54)</f>
        <v>0</v>
      </c>
      <c r="L54" s="1075"/>
      <c r="M54" s="321"/>
      <c r="N54" s="324">
        <f>SUM(L54:M54)</f>
        <v>0</v>
      </c>
      <c r="O54" s="1129"/>
      <c r="P54" s="396"/>
      <c r="Q54" s="1117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20" ref="D55:Q55">SUM(D53:D54)</f>
        <v>0</v>
      </c>
      <c r="E55" s="316">
        <f t="shared" si="20"/>
        <v>0</v>
      </c>
      <c r="F55" s="347">
        <f t="shared" si="20"/>
        <v>0</v>
      </c>
      <c r="G55" s="314">
        <f t="shared" si="20"/>
        <v>0</v>
      </c>
      <c r="H55" s="316">
        <f t="shared" si="20"/>
        <v>0</v>
      </c>
      <c r="I55" s="347">
        <f t="shared" si="20"/>
        <v>0</v>
      </c>
      <c r="J55" s="314">
        <f t="shared" si="20"/>
        <v>0</v>
      </c>
      <c r="K55" s="316">
        <f t="shared" si="20"/>
        <v>0</v>
      </c>
      <c r="L55" s="347">
        <f t="shared" si="20"/>
        <v>0</v>
      </c>
      <c r="M55" s="314">
        <f t="shared" si="20"/>
        <v>0</v>
      </c>
      <c r="N55" s="316">
        <f t="shared" si="20"/>
        <v>0</v>
      </c>
      <c r="O55" s="1085">
        <f t="shared" si="20"/>
        <v>0</v>
      </c>
      <c r="P55" s="1087">
        <f t="shared" si="20"/>
        <v>0</v>
      </c>
      <c r="Q55" s="1089">
        <f t="shared" si="20"/>
        <v>0</v>
      </c>
    </row>
    <row r="56" spans="1:17" s="61" customFormat="1" ht="19.5" customHeight="1" thickBot="1">
      <c r="A56" s="716">
        <v>8</v>
      </c>
      <c r="B56" s="717" t="s">
        <v>46</v>
      </c>
      <c r="C56" s="1110">
        <f>C34-C40-C45-C46-C47-C51-C52-C55-C57-C58-C59</f>
        <v>4110561</v>
      </c>
      <c r="D56" s="1111">
        <f>D34-D40-D45-D46-D47-D51-D52-D55-D57-D58-D59</f>
        <v>28946</v>
      </c>
      <c r="E56" s="1108">
        <f aca="true" t="shared" si="21" ref="E56:Q56">E34-E40-E45-E46-E47-E51-E52-E55-E57-E58-E59</f>
        <v>4139507</v>
      </c>
      <c r="F56" s="1110">
        <f t="shared" si="21"/>
        <v>0</v>
      </c>
      <c r="G56" s="1111">
        <f t="shared" si="21"/>
        <v>1242</v>
      </c>
      <c r="H56" s="1108">
        <f t="shared" si="21"/>
        <v>1242</v>
      </c>
      <c r="I56" s="1110">
        <f t="shared" si="21"/>
        <v>369939</v>
      </c>
      <c r="J56" s="1111">
        <f t="shared" si="21"/>
        <v>22578</v>
      </c>
      <c r="K56" s="1108">
        <f t="shared" si="21"/>
        <v>392517</v>
      </c>
      <c r="L56" s="1110">
        <f t="shared" si="21"/>
        <v>0</v>
      </c>
      <c r="M56" s="1111">
        <f t="shared" si="21"/>
        <v>0</v>
      </c>
      <c r="N56" s="1108">
        <f t="shared" si="21"/>
        <v>0</v>
      </c>
      <c r="O56" s="1133">
        <f t="shared" si="21"/>
        <v>14701</v>
      </c>
      <c r="P56" s="1135">
        <f t="shared" si="21"/>
        <v>0</v>
      </c>
      <c r="Q56" s="1123">
        <f t="shared" si="21"/>
        <v>14701</v>
      </c>
    </row>
    <row r="57" spans="1:17" s="15" customFormat="1" ht="15.75">
      <c r="A57" s="336" t="s">
        <v>398</v>
      </c>
      <c r="B57" s="337" t="s">
        <v>184</v>
      </c>
      <c r="C57" s="1080"/>
      <c r="D57" s="327"/>
      <c r="E57" s="1109">
        <f>SUM(C57:D57)</f>
        <v>0</v>
      </c>
      <c r="F57" s="890"/>
      <c r="G57" s="327"/>
      <c r="H57" s="1109">
        <f>SUM(F57:G57)</f>
        <v>0</v>
      </c>
      <c r="I57" s="1080"/>
      <c r="J57" s="327"/>
      <c r="K57" s="1109">
        <f>SUM(I57:J57)</f>
        <v>0</v>
      </c>
      <c r="L57" s="1080"/>
      <c r="M57" s="327"/>
      <c r="N57" s="1109">
        <f>SUM(L57:M57)</f>
        <v>0</v>
      </c>
      <c r="O57" s="1134"/>
      <c r="P57" s="404"/>
      <c r="Q57" s="1124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0"/>
      <c r="J58" s="327"/>
      <c r="K58" s="1109">
        <f>SUM(I58:J58)</f>
        <v>0</v>
      </c>
      <c r="L58" s="1080"/>
      <c r="M58" s="327"/>
      <c r="N58" s="1109">
        <f>SUM(L58:M58)</f>
        <v>0</v>
      </c>
      <c r="O58" s="1134"/>
      <c r="P58" s="404"/>
      <c r="Q58" s="1124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6293548</v>
      </c>
      <c r="D60" s="780">
        <f aca="true" t="shared" si="22" ref="D60:Q60">D40+D45+D46+D47+D51+D52+D55+D56+D57+D58+D59</f>
        <v>72158</v>
      </c>
      <c r="E60" s="778">
        <f t="shared" si="22"/>
        <v>6365706</v>
      </c>
      <c r="F60" s="364">
        <f t="shared" si="22"/>
        <v>23970</v>
      </c>
      <c r="G60" s="344">
        <f t="shared" si="22"/>
        <v>-14708</v>
      </c>
      <c r="H60" s="778">
        <f t="shared" si="22"/>
        <v>9262</v>
      </c>
      <c r="I60" s="779">
        <f t="shared" si="22"/>
        <v>369939</v>
      </c>
      <c r="J60" s="780">
        <f t="shared" si="22"/>
        <v>52502</v>
      </c>
      <c r="K60" s="778">
        <f t="shared" si="22"/>
        <v>422441</v>
      </c>
      <c r="L60" s="364">
        <f t="shared" si="22"/>
        <v>0</v>
      </c>
      <c r="M60" s="344">
        <f t="shared" si="22"/>
        <v>0</v>
      </c>
      <c r="N60" s="778">
        <f t="shared" si="22"/>
        <v>0</v>
      </c>
      <c r="O60" s="364">
        <f t="shared" si="22"/>
        <v>14701</v>
      </c>
      <c r="P60" s="344">
        <f t="shared" si="22"/>
        <v>0</v>
      </c>
      <c r="Q60" s="374">
        <f t="shared" si="22"/>
        <v>14701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ht="16.5" thickBot="1" thickTop="1">
      <c r="A62" s="167"/>
      <c r="B62" s="168" t="s">
        <v>579</v>
      </c>
      <c r="C62" s="196">
        <v>0</v>
      </c>
      <c r="D62" s="197"/>
      <c r="E62" s="937">
        <v>0</v>
      </c>
      <c r="F62" s="938"/>
      <c r="G62" s="412"/>
      <c r="H62" s="413">
        <f>SUM(F62:G62)</f>
        <v>0</v>
      </c>
      <c r="I62" s="938"/>
      <c r="J62" s="412"/>
      <c r="K62" s="413">
        <f>SUM(I62:J62)</f>
        <v>0</v>
      </c>
      <c r="L62" s="196"/>
      <c r="M62" s="412"/>
      <c r="N62" s="413">
        <f>SUM(L62:M62)</f>
        <v>0</v>
      </c>
      <c r="O62" s="415"/>
      <c r="P62" s="939"/>
      <c r="Q62" s="417">
        <f>SUM(O62:P62)</f>
        <v>0</v>
      </c>
    </row>
    <row r="63" spans="1:17" ht="16.5" thickBot="1" thickTop="1">
      <c r="A63" s="167"/>
      <c r="B63" s="168" t="s">
        <v>580</v>
      </c>
      <c r="C63" s="196"/>
      <c r="D63" s="197"/>
      <c r="E63" s="937">
        <v>0</v>
      </c>
      <c r="F63" s="938">
        <v>15</v>
      </c>
      <c r="G63" s="412"/>
      <c r="H63" s="413">
        <f>SUM(F63:G63)</f>
        <v>15</v>
      </c>
      <c r="I63" s="938"/>
      <c r="J63" s="412"/>
      <c r="K63" s="413">
        <f>SUM(I63:J63)</f>
        <v>0</v>
      </c>
      <c r="L63" s="196"/>
      <c r="M63" s="412"/>
      <c r="N63" s="413">
        <f>SUM(L63:M63)</f>
        <v>0</v>
      </c>
      <c r="O63" s="415"/>
      <c r="P63" s="939"/>
      <c r="Q63" s="417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2020-02-20T13:03:38Z</cp:lastPrinted>
  <dcterms:created xsi:type="dcterms:W3CDTF">2001-11-27T10:09:29Z</dcterms:created>
  <dcterms:modified xsi:type="dcterms:W3CDTF">2020-02-24T10:06:19Z</dcterms:modified>
  <cp:category/>
  <cp:version/>
  <cp:contentType/>
  <cp:contentStatus/>
</cp:coreProperties>
</file>