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360" windowWidth="10785" windowHeight="8430" tabRatio="903" activeTab="4"/>
  </bookViews>
  <sheets>
    <sheet name="1. info tábl" sheetId="1" r:id="rId1"/>
    <sheet name="2. info tábla " sheetId="2" r:id="rId2"/>
    <sheet name="3. info tábla" sheetId="3" r:id="rId3"/>
    <sheet name="4. info tábla" sheetId="4" r:id="rId4"/>
    <sheet name="5. info tábla" sheetId="5" r:id="rId5"/>
  </sheets>
  <definedNames>
    <definedName name="_xlnm.Print_Titles" localSheetId="0">'1. info tábl'!$A:$A,'1. info tábl'!$4:$4</definedName>
    <definedName name="_xlnm.Print_Titles" localSheetId="1">'2. info tábla '!$5:$6</definedName>
    <definedName name="_xlnm.Print_Area" localSheetId="1">'2. info tábla '!$A$1:$J$323</definedName>
  </definedNames>
  <calcPr calcMode="manual" fullCalcOnLoad="1"/>
</workbook>
</file>

<file path=xl/sharedStrings.xml><?xml version="1.0" encoding="utf-8"?>
<sst xmlns="http://schemas.openxmlformats.org/spreadsheetml/2006/main" count="759" uniqueCount="375">
  <si>
    <t>Jogcím</t>
  </si>
  <si>
    <t>Összesen:</t>
  </si>
  <si>
    <t>1.</t>
  </si>
  <si>
    <t>Összesen</t>
  </si>
  <si>
    <t>fő</t>
  </si>
  <si>
    <t>Ft</t>
  </si>
  <si>
    <t>KIMUTATÁS</t>
  </si>
  <si>
    <t>Telekadó</t>
  </si>
  <si>
    <t>Kommunális adó</t>
  </si>
  <si>
    <t>Építményadó</t>
  </si>
  <si>
    <t>Kőszeg Város Önkormányzata</t>
  </si>
  <si>
    <t>Megnevezés</t>
  </si>
  <si>
    <t>TÁMOGATÁSOK</t>
  </si>
  <si>
    <t>Fitt Boksz Klub Kőszeg</t>
  </si>
  <si>
    <t>Önkormányzati programok működtetése</t>
  </si>
  <si>
    <t>Munkavédelmi feladatok</t>
  </si>
  <si>
    <t>Tűzvédelmi feladatok</t>
  </si>
  <si>
    <t>Pénzügyi szolgáltatások díja</t>
  </si>
  <si>
    <t>Iparűzési adó</t>
  </si>
  <si>
    <t>Talajterhelési díj</t>
  </si>
  <si>
    <t>Bölcsőde</t>
  </si>
  <si>
    <t>Központi Óvoda</t>
  </si>
  <si>
    <t>Újvárosi Óvoda</t>
  </si>
  <si>
    <t>Chernel Kálmán Városi Könyvtár</t>
  </si>
  <si>
    <t>I.) TELEPÜLÉSI ÖNKORMÁNYZATOK MŰKÖDÉSÉNEK TÁMOGATÁSA</t>
  </si>
  <si>
    <t>1. a) Önkormányzati hivatal működésének támogatása</t>
  </si>
  <si>
    <t>II.) TELEPÜLÉSI ÖNKORMÁNYZATOK EGYES KÖZNEVELÉSI FELADATAINAK TÁMOGATÁSA</t>
  </si>
  <si>
    <t>Felsővárosi Óvoda</t>
  </si>
  <si>
    <t>Kőszegfalvi Óvoda</t>
  </si>
  <si>
    <t>Kőszeg Város Önkormányzatának többéves kihatással járó kötelezettségeiről (E Ft)</t>
  </si>
  <si>
    <t>Digitális közműtérkép továbbvezetése</t>
  </si>
  <si>
    <t>Kőszeg Város Önkormányzata által igényelhető állami támogatások</t>
  </si>
  <si>
    <t>Kőszegi Közös Önkormányzati Hivatal</t>
  </si>
  <si>
    <t>Jurisics-vár  Művelődési Központ és Várszínház</t>
  </si>
  <si>
    <t>Kőszegi Városi Múzeum</t>
  </si>
  <si>
    <t>Horvátzsidányi Óvoda</t>
  </si>
  <si>
    <t>Peresznyei Óvoda</t>
  </si>
  <si>
    <t>Bölcsöde</t>
  </si>
  <si>
    <t>Központi Óvdoda összesen:</t>
  </si>
  <si>
    <t>Bozsoki Óvoda</t>
  </si>
  <si>
    <t>Velemi Óvoda</t>
  </si>
  <si>
    <t xml:space="preserve">Újvárosi Óvoda összesen: </t>
  </si>
  <si>
    <t xml:space="preserve">Szociális Gondozási Központ </t>
  </si>
  <si>
    <t>2. MELLÉKLET ÁLTALÁNOS MŰKÖDÉSI ÉS ÁGAZATI FELADATOK TÁMOGATÁSA</t>
  </si>
  <si>
    <t>Közös hivatal működésének támogatása)(4 580 000 Ft/fő)</t>
  </si>
  <si>
    <t xml:space="preserve">1.   Óvodapedagógusok átlagbérének és közterheinek  </t>
  </si>
  <si>
    <t xml:space="preserve">1.  Óvodapedagógusok átlagbérének és közterheinek </t>
  </si>
  <si>
    <t xml:space="preserve">1.  Óvodapedagógusok munkáját közvetlenül segítők      </t>
  </si>
  <si>
    <t xml:space="preserve">      bérének és járulékainak támogatása (8 hóra, 1800 E Ft /év)</t>
  </si>
  <si>
    <t>III.) TELEPÜLÉSI ÖNKORMÁNYZATOK SZOCIÁLIS, GYERMEKJÓLÉTI ÉS GYERMEKÉTKEZTETÉSI FELADATAINAK TÁMOGATÁSA</t>
  </si>
  <si>
    <t xml:space="preserve">2.        Hozzájárulás pénzbeli szociális ellátásokhoz </t>
  </si>
  <si>
    <t>3. c.)  Szociális étkeztetés</t>
  </si>
  <si>
    <t xml:space="preserve">           (55 360  Ft/ellátott )</t>
  </si>
  <si>
    <t>3.  d.)   Házi segítségnyújtás</t>
  </si>
  <si>
    <t>3.  f. )   Időskorúak nappali intézményi ellátása</t>
  </si>
  <si>
    <t xml:space="preserve">           (109 000 Ft/ellátott )</t>
  </si>
  <si>
    <t>3.  i.)  Hajléktalanok nappali intézményi ellátása</t>
  </si>
  <si>
    <t xml:space="preserve">           (206 100 Ft/ellátott )</t>
  </si>
  <si>
    <t>3.  ja.)  Bölcsödei ellátás-gyermekek napközbeni ellátása</t>
  </si>
  <si>
    <t xml:space="preserve">           (494 100 Ft/ellátott )</t>
  </si>
  <si>
    <t>3.  k.)   Hajléktalanok átmeneti szállása</t>
  </si>
  <si>
    <t xml:space="preserve">           (468 350 Ft/ellátott )</t>
  </si>
  <si>
    <t xml:space="preserve"> 5 . a.) Gyermekétkeztetés támogatása</t>
  </si>
  <si>
    <t>elismerhető dolgozók bértámogatása (1 632 000 Ft/fő)</t>
  </si>
  <si>
    <t xml:space="preserve"> 5 .b.)   Gyermekétkeztetés </t>
  </si>
  <si>
    <t>üzemeltetési támogatása</t>
  </si>
  <si>
    <t>IV.) TELEPÜLÉSI ÖNKORMÁNYZATOK KULTURÁLIS FELADATAINAK  TÁMOGATÁSA</t>
  </si>
  <si>
    <t xml:space="preserve">1.d.  )   Nyilvános könyvtári és közművelődési </t>
  </si>
  <si>
    <t xml:space="preserve">           feladatok támogatása  (1 140 Ft/fő)</t>
  </si>
  <si>
    <t xml:space="preserve">1. e. ) Települési önkormányzatok múzeális  intézményi </t>
  </si>
  <si>
    <t xml:space="preserve">          feladatainak támogatása  (2013.évi szinten)</t>
  </si>
  <si>
    <t>V.) BESZÁMÍTÁS ÖSSZEGE</t>
  </si>
  <si>
    <t>(előző jogcímeknél levonva)</t>
  </si>
  <si>
    <t>KÖZPONTI TÁMOGATÁS MINDÖSSZESEN ÖNKORMÁNYZATI SZINTEN</t>
  </si>
  <si>
    <t>KŐSZEG</t>
  </si>
  <si>
    <t>KŐSZEG VÁROS ÉS TÉRSÉGE TÁRSULÁSA RÉSZÉRE TÁMOGATÁS ÉRTÉKŰ KIADÁSKÉNT ÁTADANDÓ</t>
  </si>
  <si>
    <t>Kőszeg Város és Térsége Társulása intézményekre vonatkozó állami támogatás átadása</t>
  </si>
  <si>
    <t>díszvilágítás karbantartása</t>
  </si>
  <si>
    <t>Concordia Barátság Énekegyüttes</t>
  </si>
  <si>
    <t>Ataru ütősegyüttes</t>
  </si>
  <si>
    <t>Kőszegi Művészeti Egyesület</t>
  </si>
  <si>
    <t>Gyemeküdültetés</t>
  </si>
  <si>
    <t>Polgármesteri keret</t>
  </si>
  <si>
    <t>Kőszegi Vonósok Művészeti Egyesület</t>
  </si>
  <si>
    <t>Vagyonhasznosítási tartalék</t>
  </si>
  <si>
    <t xml:space="preserve">bb) Közvilágítás fenntartásának támogatása   </t>
  </si>
  <si>
    <t>bc) Köztemető fenntartásának támogatása</t>
  </si>
  <si>
    <t xml:space="preserve">d) Közutak fenntartásának támogatása </t>
  </si>
  <si>
    <t>1. c) Egyéb kötelező önkormányzati feladatok támogatása</t>
  </si>
  <si>
    <t xml:space="preserve">1.d.)  Lakott  külterülettel kapcsolatos feladatok támogatása </t>
  </si>
  <si>
    <t xml:space="preserve">1.e .)   Üdülőhelyi feladatok támogatása </t>
  </si>
  <si>
    <t>2.  Nem közművel összegyűjtött háztartási szennyvíz ártalmatlanítása (100 Ft/km3)</t>
  </si>
  <si>
    <t xml:space="preserve">      bérének és járulékainak támogatása (4 hóra, 1800 Ft /év)</t>
  </si>
  <si>
    <t xml:space="preserve">2. információs tábla </t>
  </si>
  <si>
    <t>3. információs tábla</t>
  </si>
  <si>
    <t>Kőszegi Testvérvárosi Egyesület</t>
  </si>
  <si>
    <t>1. b) Település-üzemeltetéshez kapcsolódó feladatellátás támogatása beszámítás után (83 130 972-5 464 878)</t>
  </si>
  <si>
    <t>beszámítás után</t>
  </si>
  <si>
    <t>3.a.)   család és gyermekjóléti szolgálat</t>
  </si>
  <si>
    <t>(3 000 000 Ft/ számított létszám)</t>
  </si>
  <si>
    <t xml:space="preserve">3.  b.)   család és gyermekjóléti köpont </t>
  </si>
  <si>
    <t>4. a.)   Idősek átmeneti és tartós szakosított ellátása (Idősek otthona)           számított intézményvezetői és a segítői munkatárs létszámához kapcsolódó bértámogatás (2 606 040 Ft/fő)</t>
  </si>
  <si>
    <t>4.b.)   Idősek átmeneti és tartós szakosított ellátása (Idősek otthona)  intézmény-üzemeltetési támogatás</t>
  </si>
  <si>
    <t>elvárt bevétel a 2013. évi iparűzési adóalap 0,5%-ának a 70 %-a</t>
  </si>
  <si>
    <t>Kőszeg Város Önkormányzata és intézményei 2016. évi működési bevételei és kiadásai feladatjelleg szerint (Ft)</t>
  </si>
  <si>
    <t>Települési támogatás</t>
  </si>
  <si>
    <t>Rendezvények dologi kiadásai</t>
  </si>
  <si>
    <t>közvilágítás karbantartás</t>
  </si>
  <si>
    <t>Rovat</t>
  </si>
  <si>
    <t>Kötelező feladat</t>
  </si>
  <si>
    <t>Önként vállalt feladat</t>
  </si>
  <si>
    <t>Államigazgatási feladat</t>
  </si>
  <si>
    <t>Kiadási ei.</t>
  </si>
  <si>
    <t>Bevételi ei.</t>
  </si>
  <si>
    <t>B1 Mc. tám. áht-n belülről</t>
  </si>
  <si>
    <t>2016. évi maradvány</t>
  </si>
  <si>
    <t>Államháztartáson belüli megelőlegezés visszafizetése</t>
  </si>
  <si>
    <t>B8 Finanszírozási bevételek</t>
  </si>
  <si>
    <t>K3 Dologi kiadások</t>
  </si>
  <si>
    <t xml:space="preserve">Kőszeg Város és Térsége Társulása - Orvosi ügyelet fenntartásához hozzájárulás </t>
  </si>
  <si>
    <t>Kőszeg Város és Térsége Társulása - tagdíj</t>
  </si>
  <si>
    <t xml:space="preserve">Kőszeg Város és Térsége Társulása intézményeihez állami támogatáson felüli önkormányzati hozzájárulás átadás </t>
  </si>
  <si>
    <t>K1 személyi juttatások</t>
  </si>
  <si>
    <t>K2 munkaadót terhelő jár.</t>
  </si>
  <si>
    <t>orvosi alkalmassági vizsgálat</t>
  </si>
  <si>
    <t>GYERMEKÉTKEZTETÉS KÖZNEVELÉSI INTÉZMÉNYBEN</t>
  </si>
  <si>
    <t>Béri Balog Általános Iskola</t>
  </si>
  <si>
    <t>Bersek József Általános Iskola</t>
  </si>
  <si>
    <t>Jurisich Miklós Gimnázium</t>
  </si>
  <si>
    <t>Dr. Nagy László EGYMI</t>
  </si>
  <si>
    <t>B4 Működési bevételek</t>
  </si>
  <si>
    <t>képviselői tiszteletdíjjak</t>
  </si>
  <si>
    <t>képviselői tiszteletdíjak utáni járulék</t>
  </si>
  <si>
    <t>közbeszerzési tanácsadó díja</t>
  </si>
  <si>
    <t>főépítészi feladatok díja</t>
  </si>
  <si>
    <t>jogtanácsos díja</t>
  </si>
  <si>
    <t>VÁROSÜZEMELTETÉSSEL KAPCSOLATOS FELADATOK</t>
  </si>
  <si>
    <t>Önkormányzati ingatlanok, köztéri berendezések áramksg-e</t>
  </si>
  <si>
    <t>Közvilágítás és díszvilágítás</t>
  </si>
  <si>
    <t>Városüzemeltetési Kft szolgáltatási díjai</t>
  </si>
  <si>
    <t>KÖZHATALMI BEVÉTELEK</t>
  </si>
  <si>
    <t>Áfa befizetés</t>
  </si>
  <si>
    <t>VAGYONHASZNOSÍTÁS</t>
  </si>
  <si>
    <t>Végrehajtás költsége</t>
  </si>
  <si>
    <t>Vár vagyonkezelési díj</t>
  </si>
  <si>
    <t>Értékbecslések, telekalakítás, tulajdoni lap kérések költésgei</t>
  </si>
  <si>
    <t>Közterület-használati díj</t>
  </si>
  <si>
    <t>ORVOSI RENDELŐK</t>
  </si>
  <si>
    <t>Bírságok</t>
  </si>
  <si>
    <r>
      <t xml:space="preserve"> </t>
    </r>
    <r>
      <rPr>
        <sz val="10"/>
        <rFont val="Times New Roman"/>
        <family val="1"/>
      </rPr>
      <t>polgármester, alpolgármester illetménye ,  költségtérítés, cafetéria</t>
    </r>
  </si>
  <si>
    <t xml:space="preserve"> takarítónők bér, költségtérítés, cafetéria</t>
  </si>
  <si>
    <t xml:space="preserve"> polgármester, alpolgármester,bére utáni járulék</t>
  </si>
  <si>
    <t>takarítónők bére utáni járulék</t>
  </si>
  <si>
    <t>Szúnyogírtás</t>
  </si>
  <si>
    <t>a 2017. évi költségvetési törvény szerint</t>
  </si>
  <si>
    <t>Társulás (áthózódó gyermekétkeztetés</t>
  </si>
  <si>
    <t>2017.     Összesen</t>
  </si>
  <si>
    <t xml:space="preserve"> ba) Zöldterület gazdálkodással kapcsolatos feladatok támogatása </t>
  </si>
  <si>
    <t>beszámítás után (lakosságszám alapján 2 700 Ft/fő)           (30 766 500-22 767 926)</t>
  </si>
  <si>
    <t>(2250 Ft/fő) (334 050)</t>
  </si>
  <si>
    <t xml:space="preserve">       (1 Ft / idegenforgalmi adóbevétel tartozkodás után)</t>
  </si>
  <si>
    <t xml:space="preserve">     elismert összege  ( 8 hónapra) (4 469 900 Ft /létszám/év)</t>
  </si>
  <si>
    <t xml:space="preserve">       elismert összege  ( 4 hónapra) (4 469 900 Ft /létszám/év)</t>
  </si>
  <si>
    <t xml:space="preserve">1.   Pótlólagos összeg 2017/2018. tanévre óvodapedagógusok </t>
  </si>
  <si>
    <t xml:space="preserve">      átlagbéréhez és közterheihez  ( 3 hónapra) (38 200 Ft /létszám/év)</t>
  </si>
  <si>
    <t>2.   Óvodaműködtetési támogatás (8 hóra, 81 700 Ft/fő/év)</t>
  </si>
  <si>
    <t>2.   Óvodamúködtetési támogatás (4 hóra  81 700 Ft/fő/év)</t>
  </si>
  <si>
    <t xml:space="preserve">4.   Pedagógus II. kategóriába sorolt óvodapedagógusok  kiegészítő </t>
  </si>
  <si>
    <t xml:space="preserve">      támogatásra.  (418 900 Ft /fő/11 hónap)</t>
  </si>
  <si>
    <t>1. Szociális összevont ágazati pótlék</t>
  </si>
  <si>
    <t xml:space="preserve"> (5 536  Ft/ellátott )</t>
  </si>
  <si>
    <t xml:space="preserve"> (63 000 Ft/ellátott )</t>
  </si>
  <si>
    <t xml:space="preserve">          (210 000 Ft/ellátott)</t>
  </si>
  <si>
    <t xml:space="preserve"> (54 500 Ft/ellátott )</t>
  </si>
  <si>
    <t xml:space="preserve"> (41 220  Ft/ellátott )</t>
  </si>
  <si>
    <t xml:space="preserve">  (46 835 Ft/ellátott )</t>
  </si>
  <si>
    <t>7. ) Kiegészítő támogatás a bölcsődében felsőfokú végzettségű</t>
  </si>
  <si>
    <t xml:space="preserve"> kisgyermeknevelők béréhez</t>
  </si>
  <si>
    <t>ÖNKORMÁNYZATI IGAZGATÁSI TEVÉKENYSÉG</t>
  </si>
  <si>
    <t>közüzemi költségek - villany</t>
  </si>
  <si>
    <t>Közüzemi költségek - gáz</t>
  </si>
  <si>
    <t>közüzemi költségek- víz</t>
  </si>
  <si>
    <t xml:space="preserve">Önkormányzati ingatlanok gázdíja </t>
  </si>
  <si>
    <t xml:space="preserve">Vendégszobák - közüzemi költségei </t>
  </si>
  <si>
    <t>K513 TARTALÉK</t>
  </si>
  <si>
    <t>Szakrendelő veszteségének költsége</t>
  </si>
  <si>
    <t xml:space="preserve">Egyesületi tagdíjak </t>
  </si>
  <si>
    <t xml:space="preserve">Önkormányzati ingatlanok távhő díja </t>
  </si>
  <si>
    <t>Önkormányzati ingatlanok, közkutak vízdíja</t>
  </si>
  <si>
    <t>Vendégszobák- takarítási díja megbízási szerződés</t>
  </si>
  <si>
    <t>Vendégszobák- takarítási díja járulékok</t>
  </si>
  <si>
    <t>Vagyonbiztosítás és fizetendő önrészek</t>
  </si>
  <si>
    <t>Személyszállítási szolgálatás ÉNYKK ZRT-vel (február 28-ig)</t>
  </si>
  <si>
    <t>Orvosi rendelők közüzemi költségeinek továbbszámlázása</t>
  </si>
  <si>
    <t>Vérszállítási szolgáltatás</t>
  </si>
  <si>
    <t>Egészségház tűzjelző rendszer karbantartása</t>
  </si>
  <si>
    <t>Kamera rendszer karbantartása</t>
  </si>
  <si>
    <t>B3 Közhatalmi bevételek</t>
  </si>
  <si>
    <t xml:space="preserve">Idegenforgalmi adó tartozkódás utaán </t>
  </si>
  <si>
    <t>Gépjárműadó helyben maradó része</t>
  </si>
  <si>
    <t>Könyvvizsgálat díja</t>
  </si>
  <si>
    <t>PÉNZBELI ELLÁTÁSOK</t>
  </si>
  <si>
    <t>Bursa Hungarica támogatás</t>
  </si>
  <si>
    <t>Köztemetés kiadásai</t>
  </si>
  <si>
    <t>Gyvt. 20/A.§ szerinti természetbeni támogatás</t>
  </si>
  <si>
    <t>Gyvt. 20/A.§ szerinti természetbeni támogatás állami fedezete</t>
  </si>
  <si>
    <t>DIÁKSPORT TEVÉKENYSÉG KIADÁSAI</t>
  </si>
  <si>
    <t>Államtól átvett ingatlanok karbantartása</t>
  </si>
  <si>
    <t>Vendégszobák, üdülők bevételei</t>
  </si>
  <si>
    <t>Hulladékgazdálkodási társulás működési hozzájárulás</t>
  </si>
  <si>
    <t>K4 Ellátottak pénzbeli jutt.</t>
  </si>
  <si>
    <t>K506 Egyéb mc. Kiadás</t>
  </si>
  <si>
    <t>Semelweis nap, pedagógus nap, díszdiploma, jó tanuló, jó sportoló díjjak átadása</t>
  </si>
  <si>
    <t xml:space="preserve">Belvárosi wifi hálózat üzemeltetése, karbantartása </t>
  </si>
  <si>
    <t>Önkormányzati ingatalnokkal kapcsolatos közüzemi díjak továbbszámlázása</t>
  </si>
  <si>
    <t>Kőszegi Önkormányzati Tűzoltóság támogatás</t>
  </si>
  <si>
    <t>Kőszegi Önkéntes Tűzoltó Egyesület támogatása</t>
  </si>
  <si>
    <t>Kőszegfalvi Önkéntes Tűzoltó Egyesület támogatása</t>
  </si>
  <si>
    <t>Kőszegi Sport Egyesület támogatása</t>
  </si>
  <si>
    <t>Kőszegi Futball Club támogatása</t>
  </si>
  <si>
    <t xml:space="preserve">Kőszegfalvi Sport Egyesület </t>
  </si>
  <si>
    <t>Kőszegi Horvát Nemzetiségi Önkormányzat támogatása</t>
  </si>
  <si>
    <t>Kőszegi Német Nemzetiségi Önkormányzat támogatása</t>
  </si>
  <si>
    <t>Kőszegi Roma Nemzetiségi Önkormányzat támogatása</t>
  </si>
  <si>
    <t>Kőszegi Sporthorgász Egyesület</t>
  </si>
  <si>
    <t xml:space="preserve">KIEMELT CIVIL ALAPBÓL: </t>
  </si>
  <si>
    <t>Kőszeg Fúvószenekaráért Alapítvány</t>
  </si>
  <si>
    <t>Hajnalcsillag Néptáncegyüttes Közhasznú Alapítvány</t>
  </si>
  <si>
    <t>Csók István Művészkör Egyesület</t>
  </si>
  <si>
    <t>Kőszegi Polgárőrség</t>
  </si>
  <si>
    <t>Irottkő Naturpark támogatása (tagdíj)</t>
  </si>
  <si>
    <t>Irottkő Naturpark támogatása (támogatás tagdíj nélkül)</t>
  </si>
  <si>
    <t>Szünidei gyermekétkeztetés</t>
  </si>
  <si>
    <t>Termőföld bérbeadásából származó jövedelem</t>
  </si>
  <si>
    <t>Adóértesítések készítése</t>
  </si>
  <si>
    <t>K513 Tartalékok</t>
  </si>
  <si>
    <t>EGYÉB SZÓRAKOZTATÓ TEVÉKENYSÉG, RENDEZVÉNYEK</t>
  </si>
  <si>
    <t>TURISZTIKAI FELADATOK TÁMOGATÁS</t>
  </si>
  <si>
    <t>kőszeginfo üzemeltetése szerződés szerint</t>
  </si>
  <si>
    <t>K512 Mc.tám áht. Kivülre</t>
  </si>
  <si>
    <t>Tartalék</t>
  </si>
  <si>
    <t>Kőszegi Közös Önkormányzati Hivatal központi irányító szervi támogatása</t>
  </si>
  <si>
    <t>Chernel Kálmán Városi Könyvtár  központi irányító szervi támogatása</t>
  </si>
  <si>
    <t>Jurisics Vár Művelődési Központ és Várszínáház  központi irányító szervi támogatása</t>
  </si>
  <si>
    <t>Kőszegi Városi Múzeum  központi irányító szervi támogatása</t>
  </si>
  <si>
    <t>Kőszegi Szociális Gondozási Központ központi irányító szervi támogatása</t>
  </si>
  <si>
    <t>K9 Finanszírozási kiadások</t>
  </si>
  <si>
    <t>K506 Mc.tám áht. Belülre</t>
  </si>
  <si>
    <t>Kőszeg Sportjáért Közalapítvány alapítvány támogatása</t>
  </si>
  <si>
    <t>Segítő Kéz Közalapítvány támogatása</t>
  </si>
  <si>
    <t>K512 Mc. tám. áht. kívülre</t>
  </si>
  <si>
    <t xml:space="preserve">Katasztrófavédelmi feladatok kötelező beszerzései </t>
  </si>
  <si>
    <t>Megbízási díj( fényképész)</t>
  </si>
  <si>
    <t>Kitüntetések</t>
  </si>
  <si>
    <t>Reprezentáció</t>
  </si>
  <si>
    <t>K1 Személyi juttatások</t>
  </si>
  <si>
    <t>Személyi juttatások utáni munkáltatót terhelő adók</t>
  </si>
  <si>
    <t xml:space="preserve">PÁLYÁZATOK </t>
  </si>
  <si>
    <t xml:space="preserve">alpannónia pályázat- projektmenedzsment költségei </t>
  </si>
  <si>
    <t xml:space="preserve">alpannónia pályázat- projektmenedzsment munkáltatói jár. </t>
  </si>
  <si>
    <t>alpannónia pályázat- közbeszerzés, tanulmányutak, előadás sorozatok</t>
  </si>
  <si>
    <t>alpannónia pályázat- INE részére megelőlegezés</t>
  </si>
  <si>
    <t>alpannónia pályázati támogatás (95 %)</t>
  </si>
  <si>
    <t>TOP-5.2..1 Helyi foglalkoztatási együttműködés pályázat (Foglalkoztatási paktum)</t>
  </si>
  <si>
    <t xml:space="preserve">Alpannónia </t>
  </si>
  <si>
    <t>Paktumiroda személyi kifizetései</t>
  </si>
  <si>
    <t>Paktumiroda személyi kifizetései utáni járulákok</t>
  </si>
  <si>
    <t xml:space="preserve">Pályázat dologi kiadásai (mühelymunkák, képzések, hirdetmények, nyilvánosság, </t>
  </si>
  <si>
    <t>Tartalék következő évek kifizetéseihez</t>
  </si>
  <si>
    <t>K513 Tartalék</t>
  </si>
  <si>
    <t>Pályázat támogatás része - előlegként</t>
  </si>
  <si>
    <t>KŐSZEG VÁROS ÖNKORMÁNYZATA MŰKÖDÉSI CÉLÚ KIADÁSAI ÉS BEVÉTELEI</t>
  </si>
  <si>
    <t>KÖZTEMETŐ ÜZEMELTETÉS</t>
  </si>
  <si>
    <t>Köztemető üzemeltetés szolgáltatási díja</t>
  </si>
  <si>
    <t>K3 Dologi kiadás</t>
  </si>
  <si>
    <t xml:space="preserve">Sírhely árbevétel </t>
  </si>
  <si>
    <t>B4 Működési bevétel</t>
  </si>
  <si>
    <t>ÖSSSZESEN:</t>
  </si>
  <si>
    <t xml:space="preserve">ÖSSZESEN: </t>
  </si>
  <si>
    <t>Eszterházy oltár felújításának kiadásai</t>
  </si>
  <si>
    <t>2.</t>
  </si>
  <si>
    <t>3.</t>
  </si>
  <si>
    <t xml:space="preserve">Foglalkoztatási paktum pályázat </t>
  </si>
  <si>
    <t xml:space="preserve"> -külső forrásből</t>
  </si>
  <si>
    <t>K506 Mc.tám áht. belülre</t>
  </si>
  <si>
    <t>K512 Mc.tám áht. kivülre</t>
  </si>
  <si>
    <t xml:space="preserve">  -belős forrásból</t>
  </si>
  <si>
    <t>Közgyűjteményi, könyvtári szolgáltatások nyújtása, könyvtári állomány gyarapítása</t>
  </si>
  <si>
    <t>B8 Fnanszírozási bevételek</t>
  </si>
  <si>
    <t>JURISICS-VÁR MŰVELŐDÉSI KÖZPONT ÉS VÁRSZÍNHÁZ</t>
  </si>
  <si>
    <t>Közművelődési feladatok ellátása, művelődési központ működtetése</t>
  </si>
  <si>
    <t>Közművelődési feladatok ellátása: városi rendezvények, ünnepek szervezése</t>
  </si>
  <si>
    <t>Várszínáház üzemeltetése</t>
  </si>
  <si>
    <t>Kőszeg és Vidéke lap kiadása</t>
  </si>
  <si>
    <t>MINDÖSSZESEN</t>
  </si>
  <si>
    <t>KŐSZEGI VÁROSI MÚZEUM</t>
  </si>
  <si>
    <t>ZSilipkezelés</t>
  </si>
  <si>
    <t>KŐSZEGI SZOCIÁLIS GONDOZÁSI KÖZPONT</t>
  </si>
  <si>
    <t>KŐSZEGI KÖZÖS ÖNKORMÁNYZATI HIVATAL</t>
  </si>
  <si>
    <t>KŐSZEG VÁROS ÉS INTÉZMÉNYEI MINDÖSSZESEN:</t>
  </si>
  <si>
    <t>Kőszegi Szociális Gondozási Központ feladataihoz átvett pénzeszköz önkormányzatoktól</t>
  </si>
  <si>
    <t>Könyv (Kőszeg regénye) vásárlás</t>
  </si>
  <si>
    <t xml:space="preserve">Könyv kiadás támogatása Kőszeghegyalja régészeti öröksége c. könyv) </t>
  </si>
  <si>
    <t>Kőszegi Közös Önkormányzati Hivatal központi irányító szervi támogatásához átvétel Velemtől</t>
  </si>
  <si>
    <t>Kőszegi Közös Önkormányzati Hivatal központi irányító szervi támogatásához átvétel Bozsoktól</t>
  </si>
  <si>
    <t>Kőszegi Közös Önkormányzati Hivatal központi irányító szervi támogatásához átvétel Kőszeg Város és Térsége Társulásától</t>
  </si>
  <si>
    <t>CHERNEL KÁLMÁN VÁROSI KÖNYVTÁR MŰKÖDÉSI CÉL KIADÁSAI ÉS BEVÉTELEI</t>
  </si>
  <si>
    <t>Állami támogatások önkormányzati feladatokra</t>
  </si>
  <si>
    <t>ÖNKORMÁNYZATI FOGLALKOZTATÁS</t>
  </si>
  <si>
    <t>VIS MAIOR TARTALÉK</t>
  </si>
  <si>
    <t>BEJÓ Egyesületg támogatása</t>
  </si>
  <si>
    <t>Alpannónia pályázat kiadásai</t>
  </si>
  <si>
    <t>2022-2027. 5 éven túli</t>
  </si>
  <si>
    <t xml:space="preserve">4. információs tábla </t>
  </si>
  <si>
    <t xml:space="preserve">Kőszeg Város Önkormányzata által nyútott közvetett támogatásokról </t>
  </si>
  <si>
    <t>2017. évben E Ft-ban</t>
  </si>
  <si>
    <t>Ellátottak térítési díjának, ill. kártérítésének méltányossági alapon történő elengedése:</t>
  </si>
  <si>
    <t xml:space="preserve">Térítési díjak </t>
  </si>
  <si>
    <t>Kedvezmények miatti csökkentés (kedvezmény jogszabályi előíráson alapul)</t>
  </si>
  <si>
    <t>Tervezett bevétel összesen:</t>
  </si>
  <si>
    <t>Térítési díj támogatás (szociális ellátás)</t>
  </si>
  <si>
    <t>Közvetett támogatás összesen:</t>
  </si>
  <si>
    <t>Lakosság részére lakásépítéshez, lakásfelújításhoz nyújtott kölcsönök elengedése:</t>
  </si>
  <si>
    <t>Ilyen kedvezmény nyújtását a 2017. évi költségvetésben nem terveztük.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</si>
  <si>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</si>
  <si>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</si>
  <si>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</si>
  <si>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</si>
  <si>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</si>
  <si>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Közvetett támogatás összesen (gépjármű adóból 40%-a marad az önkormányzatnál):</t>
  </si>
  <si>
    <t>Helyiségek, eszközök hasznosításából származó bevételből nyújtott kedvezmény, mentesség:</t>
  </si>
  <si>
    <t>Helyiségek bérbeadása, hasznosítása (Városüzemeltető Kft. által kezelt ingatlanok):</t>
  </si>
  <si>
    <t>Ingyenes használatba adott ingatlanok éves bérleti díja 2017-ban:</t>
  </si>
  <si>
    <t>Egyéb nyújtott kedvezmény vagy kölcsön elengedés:</t>
  </si>
  <si>
    <t>Ingatlan értékesítés (lakások) vételára:</t>
  </si>
  <si>
    <t>KÖZVETETT TÁMOGATÁSOK MINDÖSSZESEN:</t>
  </si>
  <si>
    <t xml:space="preserve">5. információs tábla </t>
  </si>
  <si>
    <t>Kőszeg Város Önkormányzata előirányzat felhasználási és likviditási ütemterve 2017. évben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</si>
  <si>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</si>
  <si>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</si>
  <si>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</si>
  <si>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</si>
  <si>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</si>
  <si>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</si>
  <si>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</si>
  <si>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</si>
  <si>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</si>
  <si>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</si>
  <si>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</si>
  <si>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</si>
  <si>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Működési c tám áht-n belülről</t>
  </si>
  <si>
    <t>2. Közhatalmi bevételek</t>
  </si>
  <si>
    <t>3. Működési bevételek</t>
  </si>
  <si>
    <t>4. Működési c átvett pénzeszközök</t>
  </si>
  <si>
    <t>5. Felhalmozási c tám áht-n belülről</t>
  </si>
  <si>
    <t>6. Felhalmozási bevételek</t>
  </si>
  <si>
    <t>7. Felhalmozási c átvett pénzeszközök</t>
  </si>
  <si>
    <t>8. Költségvetési bevételek összesen</t>
  </si>
  <si>
    <t>9. Hiány</t>
  </si>
  <si>
    <t>10. Belső fin. bevételei (Pénzmaradvány)</t>
  </si>
  <si>
    <t>11. Külső fin. Bevételei (hitelfelvétel)</t>
  </si>
  <si>
    <t>12. Külső fin. bevételei (működési hitel)</t>
  </si>
  <si>
    <t>14. BEVÉTELEK ÖSSZESEN</t>
  </si>
  <si>
    <t>13. Személyi juttatások</t>
  </si>
  <si>
    <t>14. Munkaadói járulék</t>
  </si>
  <si>
    <t>15. Dologi kiadás</t>
  </si>
  <si>
    <t>16. Ellátottak juttatásai</t>
  </si>
  <si>
    <t>17. Egyéb működési c kiadások</t>
  </si>
  <si>
    <t>18. Beruházás</t>
  </si>
  <si>
    <t>19. Felújítás</t>
  </si>
  <si>
    <t>20. Egyéb felhalmozási c kiadások</t>
  </si>
  <si>
    <t>21. Költségvetési kiadások összesen</t>
  </si>
  <si>
    <t>22. Finanszírozás kiadásai (Hiteltörlesztés)</t>
  </si>
  <si>
    <t>22. KIADÁSOK ÖSSZESEN</t>
  </si>
  <si>
    <t xml:space="preserve">1. információs tábla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</si>
</sst>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#,##0.0000"/>
    <numFmt numFmtId="167" formatCode="#,##0.000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1"/>
    </font>
    <font>
      <b/>
      <sz val="8"/>
      <name val="Times New Roman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8" fillId="3" borderId="0" applyNumberFormat="0" applyBorder="0" applyAlignment="0" applyProtection="0"/>
    <xf numFmtId="0" fontId="16" fillId="7" borderId="1" applyNumberFormat="0" applyAlignment="0" applyProtection="0"/>
    <xf numFmtId="0" fontId="30" fillId="20" borderId="1" applyNumberFormat="0" applyAlignment="0" applyProtection="0"/>
    <xf numFmtId="0" fontId="21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6" fillId="7" borderId="1" applyNumberFormat="0" applyAlignment="0" applyProtection="0"/>
    <xf numFmtId="0" fontId="0" fillId="22" borderId="7" applyNumberFormat="0" applyFont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2" fillId="0" borderId="0" xfId="92" applyFont="1" applyFill="1" applyAlignment="1">
      <alignment/>
      <protection/>
    </xf>
    <xf numFmtId="0" fontId="11" fillId="0" borderId="0" xfId="0" applyFont="1" applyFill="1" applyBorder="1" applyAlignment="1">
      <alignment vertical="top"/>
    </xf>
    <xf numFmtId="0" fontId="4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3" fillId="25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/>
    </xf>
    <xf numFmtId="3" fontId="2" fillId="0" borderId="1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2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/>
    </xf>
    <xf numFmtId="3" fontId="2" fillId="0" borderId="19" xfId="0" applyNumberFormat="1" applyFont="1" applyFill="1" applyBorder="1" applyAlignment="1">
      <alignment vertical="top"/>
    </xf>
    <xf numFmtId="3" fontId="2" fillId="0" borderId="20" xfId="0" applyNumberFormat="1" applyFont="1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3" fontId="3" fillId="0" borderId="23" xfId="0" applyNumberFormat="1" applyFont="1" applyFill="1" applyBorder="1" applyAlignment="1">
      <alignment vertical="top"/>
    </xf>
    <xf numFmtId="3" fontId="3" fillId="0" borderId="24" xfId="0" applyNumberFormat="1" applyFont="1" applyFill="1" applyBorder="1" applyAlignment="1">
      <alignment vertical="top"/>
    </xf>
    <xf numFmtId="3" fontId="3" fillId="0" borderId="22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3" fontId="5" fillId="0" borderId="22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3" fontId="3" fillId="0" borderId="20" xfId="0" applyNumberFormat="1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3" fontId="3" fillId="0" borderId="22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25" borderId="22" xfId="0" applyFont="1" applyFill="1" applyBorder="1" applyAlignment="1">
      <alignment/>
    </xf>
    <xf numFmtId="0" fontId="4" fillId="20" borderId="2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right" wrapText="1"/>
    </xf>
    <xf numFmtId="0" fontId="4" fillId="5" borderId="1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 wrapText="1" indent="4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25" borderId="25" xfId="0" applyFont="1" applyFill="1" applyBorder="1" applyAlignment="1">
      <alignment horizontal="center" wrapText="1"/>
    </xf>
    <xf numFmtId="0" fontId="4" fillId="25" borderId="27" xfId="0" applyFont="1" applyFill="1" applyBorder="1" applyAlignment="1">
      <alignment horizontal="center" wrapText="1"/>
    </xf>
    <xf numFmtId="0" fontId="4" fillId="20" borderId="25" xfId="0" applyFont="1" applyFill="1" applyBorder="1" applyAlignment="1">
      <alignment horizontal="center" wrapText="1"/>
    </xf>
    <xf numFmtId="0" fontId="4" fillId="20" borderId="2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25" borderId="28" xfId="0" applyFont="1" applyFill="1" applyBorder="1" applyAlignment="1">
      <alignment horizontal="center" wrapText="1"/>
    </xf>
    <xf numFmtId="0" fontId="4" fillId="25" borderId="29" xfId="0" applyFont="1" applyFill="1" applyBorder="1" applyAlignment="1">
      <alignment horizontal="center" wrapText="1"/>
    </xf>
    <xf numFmtId="0" fontId="4" fillId="20" borderId="28" xfId="0" applyFont="1" applyFill="1" applyBorder="1" applyAlignment="1">
      <alignment horizontal="center" wrapText="1"/>
    </xf>
    <xf numFmtId="0" fontId="4" fillId="20" borderId="30" xfId="0" applyFont="1" applyFill="1" applyBorder="1" applyAlignment="1">
      <alignment horizontal="center" wrapText="1"/>
    </xf>
    <xf numFmtId="0" fontId="4" fillId="24" borderId="27" xfId="0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0" fontId="3" fillId="0" borderId="32" xfId="0" applyFont="1" applyFill="1" applyBorder="1" applyAlignment="1">
      <alignment horizontal="left" wrapText="1" indent="4"/>
    </xf>
    <xf numFmtId="0" fontId="3" fillId="24" borderId="28" xfId="0" applyFont="1" applyFill="1" applyBorder="1" applyAlignment="1">
      <alignment horizontal="left" wrapText="1"/>
    </xf>
    <xf numFmtId="0" fontId="3" fillId="24" borderId="29" xfId="0" applyFont="1" applyFill="1" applyBorder="1" applyAlignment="1">
      <alignment horizontal="left" wrapText="1"/>
    </xf>
    <xf numFmtId="0" fontId="3" fillId="24" borderId="30" xfId="0" applyFont="1" applyFill="1" applyBorder="1" applyAlignment="1">
      <alignment horizontal="left" wrapText="1"/>
    </xf>
    <xf numFmtId="0" fontId="3" fillId="24" borderId="28" xfId="0" applyFont="1" applyFill="1" applyBorder="1" applyAlignment="1">
      <alignment horizontal="right" wrapText="1"/>
    </xf>
    <xf numFmtId="3" fontId="3" fillId="0" borderId="28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3" fontId="3" fillId="20" borderId="11" xfId="0" applyNumberFormat="1" applyFont="1" applyFill="1" applyBorder="1" applyAlignment="1">
      <alignment horizontal="right"/>
    </xf>
    <xf numFmtId="3" fontId="3" fillId="20" borderId="1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wrapText="1"/>
    </xf>
    <xf numFmtId="0" fontId="3" fillId="24" borderId="25" xfId="0" applyFont="1" applyFill="1" applyBorder="1" applyAlignment="1">
      <alignment horizontal="left" wrapText="1"/>
    </xf>
    <xf numFmtId="0" fontId="3" fillId="24" borderId="27" xfId="0" applyFont="1" applyFill="1" applyBorder="1" applyAlignment="1">
      <alignment horizontal="left" wrapText="1"/>
    </xf>
    <xf numFmtId="0" fontId="3" fillId="24" borderId="26" xfId="0" applyFont="1" applyFill="1" applyBorder="1" applyAlignment="1">
      <alignment horizontal="left" wrapText="1"/>
    </xf>
    <xf numFmtId="0" fontId="3" fillId="24" borderId="25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6" fontId="4" fillId="5" borderId="11" xfId="0" applyNumberFormat="1" applyFont="1" applyFill="1" applyBorder="1" applyAlignment="1">
      <alignment/>
    </xf>
    <xf numFmtId="0" fontId="4" fillId="5" borderId="12" xfId="0" applyFont="1" applyFill="1" applyBorder="1" applyAlignment="1">
      <alignment/>
    </xf>
    <xf numFmtId="3" fontId="3" fillId="25" borderId="11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/>
    </xf>
    <xf numFmtId="0" fontId="3" fillId="0" borderId="25" xfId="0" applyFont="1" applyFill="1" applyBorder="1" applyAlignment="1">
      <alignment horizontal="left" indent="3"/>
    </xf>
    <xf numFmtId="0" fontId="7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3"/>
    </xf>
    <xf numFmtId="0" fontId="3" fillId="0" borderId="27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right" wrapText="1"/>
    </xf>
    <xf numFmtId="0" fontId="3" fillId="0" borderId="28" xfId="0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13" fillId="21" borderId="23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3" fontId="3" fillId="0" borderId="23" xfId="0" applyNumberFormat="1" applyFont="1" applyFill="1" applyBorder="1" applyAlignment="1">
      <alignment vertical="top" wrapText="1"/>
    </xf>
    <xf numFmtId="3" fontId="3" fillId="0" borderId="24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0" borderId="15" xfId="0" applyNumberFormat="1" applyFont="1" applyFill="1" applyBorder="1" applyAlignment="1">
      <alignment vertical="top"/>
    </xf>
    <xf numFmtId="0" fontId="4" fillId="11" borderId="17" xfId="0" applyFont="1" applyFill="1" applyBorder="1" applyAlignment="1">
      <alignment vertical="top"/>
    </xf>
    <xf numFmtId="0" fontId="4" fillId="11" borderId="18" xfId="0" applyFont="1" applyFill="1" applyBorder="1" applyAlignment="1">
      <alignment vertical="top"/>
    </xf>
    <xf numFmtId="3" fontId="4" fillId="11" borderId="19" xfId="0" applyNumberFormat="1" applyFont="1" applyFill="1" applyBorder="1" applyAlignment="1">
      <alignment vertical="top" wrapText="1"/>
    </xf>
    <xf numFmtId="3" fontId="4" fillId="11" borderId="20" xfId="0" applyNumberFormat="1" applyFont="1" applyFill="1" applyBorder="1" applyAlignment="1">
      <alignment vertical="top" wrapText="1"/>
    </xf>
    <xf numFmtId="0" fontId="4" fillId="11" borderId="17" xfId="0" applyFont="1" applyFill="1" applyBorder="1" applyAlignment="1">
      <alignment vertical="top" wrapText="1"/>
    </xf>
    <xf numFmtId="3" fontId="3" fillId="11" borderId="18" xfId="0" applyNumberFormat="1" applyFont="1" applyFill="1" applyBorder="1" applyAlignment="1">
      <alignment vertical="top" wrapText="1"/>
    </xf>
    <xf numFmtId="3" fontId="3" fillId="11" borderId="19" xfId="0" applyNumberFormat="1" applyFont="1" applyFill="1" applyBorder="1" applyAlignment="1">
      <alignment vertical="top" wrapText="1"/>
    </xf>
    <xf numFmtId="3" fontId="3" fillId="11" borderId="20" xfId="0" applyNumberFormat="1" applyFont="1" applyFill="1" applyBorder="1" applyAlignment="1">
      <alignment vertical="top" wrapText="1"/>
    </xf>
    <xf numFmtId="0" fontId="3" fillId="11" borderId="18" xfId="0" applyFont="1" applyFill="1" applyBorder="1" applyAlignment="1">
      <alignment vertical="top"/>
    </xf>
    <xf numFmtId="3" fontId="3" fillId="11" borderId="19" xfId="0" applyNumberFormat="1" applyFont="1" applyFill="1" applyBorder="1" applyAlignment="1">
      <alignment vertical="top"/>
    </xf>
    <xf numFmtId="3" fontId="3" fillId="11" borderId="20" xfId="0" applyNumberFormat="1" applyFont="1" applyFill="1" applyBorder="1" applyAlignment="1">
      <alignment vertical="top"/>
    </xf>
    <xf numFmtId="0" fontId="4" fillId="11" borderId="1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/>
    </xf>
    <xf numFmtId="3" fontId="4" fillId="11" borderId="11" xfId="0" applyNumberFormat="1" applyFont="1" applyFill="1" applyBorder="1" applyAlignment="1">
      <alignment vertical="top"/>
    </xf>
    <xf numFmtId="3" fontId="4" fillId="11" borderId="12" xfId="0" applyNumberFormat="1" applyFont="1" applyFill="1" applyBorder="1" applyAlignment="1">
      <alignment vertical="top"/>
    </xf>
    <xf numFmtId="3" fontId="31" fillId="0" borderId="11" xfId="0" applyNumberFormat="1" applyFont="1" applyFill="1" applyBorder="1" applyAlignment="1">
      <alignment wrapText="1"/>
    </xf>
    <xf numFmtId="3" fontId="3" fillId="11" borderId="11" xfId="0" applyNumberFormat="1" applyFont="1" applyFill="1" applyBorder="1" applyAlignment="1">
      <alignment vertical="top"/>
    </xf>
    <xf numFmtId="3" fontId="3" fillId="11" borderId="12" xfId="0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4" fillId="11" borderId="11" xfId="0" applyNumberFormat="1" applyFont="1" applyFill="1" applyBorder="1" applyAlignment="1">
      <alignment vertical="top" wrapText="1"/>
    </xf>
    <xf numFmtId="3" fontId="4" fillId="11" borderId="12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3" fontId="4" fillId="0" borderId="19" xfId="0" applyNumberFormat="1" applyFont="1" applyFill="1" applyBorder="1" applyAlignment="1">
      <alignment vertical="top"/>
    </xf>
    <xf numFmtId="0" fontId="14" fillId="11" borderId="17" xfId="0" applyFont="1" applyFill="1" applyBorder="1" applyAlignment="1">
      <alignment vertical="top"/>
    </xf>
    <xf numFmtId="0" fontId="14" fillId="11" borderId="18" xfId="0" applyFont="1" applyFill="1" applyBorder="1" applyAlignment="1">
      <alignment vertical="top"/>
    </xf>
    <xf numFmtId="3" fontId="14" fillId="11" borderId="19" xfId="0" applyNumberFormat="1" applyFont="1" applyFill="1" applyBorder="1" applyAlignment="1">
      <alignment vertical="top"/>
    </xf>
    <xf numFmtId="3" fontId="14" fillId="11" borderId="20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vertical="top" wrapText="1"/>
    </xf>
    <xf numFmtId="3" fontId="14" fillId="0" borderId="16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25" borderId="22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4" fillId="5" borderId="25" xfId="0" applyNumberFormat="1" applyFont="1" applyFill="1" applyBorder="1" applyAlignment="1">
      <alignment horizontal="right" wrapText="1"/>
    </xf>
    <xf numFmtId="0" fontId="4" fillId="5" borderId="26" xfId="0" applyFont="1" applyFill="1" applyBorder="1" applyAlignment="1">
      <alignment horizontal="center" wrapText="1"/>
    </xf>
    <xf numFmtId="3" fontId="4" fillId="5" borderId="34" xfId="0" applyNumberFormat="1" applyFont="1" applyFill="1" applyBorder="1" applyAlignment="1">
      <alignment horizontal="right" wrapText="1"/>
    </xf>
    <xf numFmtId="0" fontId="4" fillId="5" borderId="3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5" borderId="28" xfId="0" applyFont="1" applyFill="1" applyBorder="1" applyAlignment="1">
      <alignment horizontal="right" wrapText="1"/>
    </xf>
    <xf numFmtId="3" fontId="32" fillId="5" borderId="25" xfId="0" applyNumberFormat="1" applyFont="1" applyFill="1" applyBorder="1" applyAlignment="1">
      <alignment horizontal="right" wrapText="1"/>
    </xf>
    <xf numFmtId="0" fontId="32" fillId="5" borderId="2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2" fillId="5" borderId="28" xfId="0" applyFont="1" applyFill="1" applyBorder="1" applyAlignment="1">
      <alignment horizontal="right" wrapText="1"/>
    </xf>
    <xf numFmtId="0" fontId="32" fillId="5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/>
    </xf>
    <xf numFmtId="166" fontId="4" fillId="5" borderId="19" xfId="0" applyNumberFormat="1" applyFont="1" applyFill="1" applyBorder="1" applyAlignment="1">
      <alignment horizontal="right"/>
    </xf>
    <xf numFmtId="0" fontId="4" fillId="5" borderId="20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 wrapText="1"/>
    </xf>
    <xf numFmtId="3" fontId="4" fillId="5" borderId="11" xfId="0" applyNumberFormat="1" applyFont="1" applyFill="1" applyBorder="1" applyAlignment="1">
      <alignment horizontal="right" wrapText="1"/>
    </xf>
    <xf numFmtId="0" fontId="3" fillId="25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3" fontId="4" fillId="5" borderId="15" xfId="0" applyNumberFormat="1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164" fontId="4" fillId="5" borderId="19" xfId="0" applyNumberFormat="1" applyFont="1" applyFill="1" applyBorder="1" applyAlignment="1">
      <alignment/>
    </xf>
    <xf numFmtId="3" fontId="4" fillId="5" borderId="11" xfId="0" applyNumberFormat="1" applyFon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0" fontId="4" fillId="5" borderId="19" xfId="0" applyFont="1" applyFill="1" applyBorder="1" applyAlignment="1">
      <alignment/>
    </xf>
    <xf numFmtId="166" fontId="4" fillId="5" borderId="19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3" fillId="2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3" xfId="0" applyNumberFormat="1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3" fontId="2" fillId="0" borderId="36" xfId="0" applyNumberFormat="1" applyFont="1" applyBorder="1" applyAlignment="1">
      <alignment wrapText="1"/>
    </xf>
    <xf numFmtId="3" fontId="3" fillId="0" borderId="36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3" fontId="2" fillId="0" borderId="39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2" xfId="0" applyNumberFormat="1" applyFont="1" applyBorder="1" applyAlignment="1">
      <alignment horizontal="center" wrapText="1"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44" xfId="0" applyFont="1" applyBorder="1" applyAlignment="1">
      <alignment/>
    </xf>
    <xf numFmtId="3" fontId="2" fillId="0" borderId="45" xfId="0" applyNumberFormat="1" applyFont="1" applyBorder="1" applyAlignment="1">
      <alignment/>
    </xf>
    <xf numFmtId="3" fontId="12" fillId="0" borderId="45" xfId="0" applyNumberFormat="1" applyFont="1" applyFill="1" applyBorder="1" applyAlignment="1">
      <alignment horizontal="right"/>
    </xf>
    <xf numFmtId="3" fontId="12" fillId="0" borderId="45" xfId="0" applyNumberFormat="1" applyFont="1" applyBorder="1" applyAlignment="1">
      <alignment horizontal="right" wrapText="1"/>
    </xf>
    <xf numFmtId="3" fontId="12" fillId="0" borderId="46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31" fillId="0" borderId="0" xfId="0" applyFont="1" applyAlignment="1">
      <alignment wrapText="1"/>
    </xf>
    <xf numFmtId="3" fontId="3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4" fillId="0" borderId="0" xfId="0" applyFont="1" applyFill="1" applyAlignment="1">
      <alignment wrapText="1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31" fillId="0" borderId="0" xfId="0" applyFont="1" applyFill="1" applyAlignment="1">
      <alignment wrapText="1"/>
    </xf>
    <xf numFmtId="3" fontId="3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/>
    </xf>
    <xf numFmtId="0" fontId="0" fillId="0" borderId="0" xfId="91" applyFill="1">
      <alignment/>
      <protection/>
    </xf>
    <xf numFmtId="167" fontId="3" fillId="0" borderId="0" xfId="91" applyNumberFormat="1" applyFont="1" applyFill="1" applyBorder="1">
      <alignment/>
      <protection/>
    </xf>
    <xf numFmtId="0" fontId="3" fillId="0" borderId="0" xfId="91" applyFont="1" applyFill="1" applyBorder="1">
      <alignment/>
      <protection/>
    </xf>
    <xf numFmtId="0" fontId="3" fillId="0" borderId="0" xfId="91" applyFont="1" applyFill="1">
      <alignment/>
      <protection/>
    </xf>
    <xf numFmtId="0" fontId="4" fillId="0" borderId="0" xfId="91" applyFont="1" applyFill="1">
      <alignment/>
      <protection/>
    </xf>
    <xf numFmtId="167" fontId="3" fillId="0" borderId="0" xfId="91" applyNumberFormat="1" applyFont="1" applyFill="1">
      <alignment/>
      <protection/>
    </xf>
    <xf numFmtId="0" fontId="3" fillId="0" borderId="47" xfId="91" applyFont="1" applyFill="1" applyBorder="1" applyAlignment="1">
      <alignment horizontal="center" wrapText="1"/>
      <protection/>
    </xf>
    <xf numFmtId="0" fontId="4" fillId="0" borderId="48" xfId="91" applyFont="1" applyFill="1" applyBorder="1" applyAlignment="1">
      <alignment horizontal="center" wrapText="1"/>
      <protection/>
    </xf>
    <xf numFmtId="0" fontId="4" fillId="0" borderId="47" xfId="91" applyFont="1" applyFill="1" applyBorder="1" applyAlignment="1">
      <alignment horizontal="center" wrapText="1"/>
      <protection/>
    </xf>
    <xf numFmtId="167" fontId="3" fillId="0" borderId="0" xfId="91" applyNumberFormat="1" applyFont="1" applyFill="1" applyAlignment="1">
      <alignment horizontal="center" wrapText="1"/>
      <protection/>
    </xf>
    <xf numFmtId="0" fontId="3" fillId="0" borderId="0" xfId="91" applyFont="1" applyFill="1" applyAlignment="1">
      <alignment horizontal="center" wrapText="1"/>
      <protection/>
    </xf>
    <xf numFmtId="0" fontId="3" fillId="0" borderId="47" xfId="91" applyFont="1" applyFill="1" applyBorder="1">
      <alignment/>
      <protection/>
    </xf>
    <xf numFmtId="3" fontId="3" fillId="0" borderId="47" xfId="91" applyNumberFormat="1" applyFont="1" applyFill="1" applyBorder="1">
      <alignment/>
      <protection/>
    </xf>
    <xf numFmtId="3" fontId="4" fillId="0" borderId="47" xfId="91" applyNumberFormat="1" applyFont="1" applyFill="1" applyBorder="1">
      <alignment/>
      <protection/>
    </xf>
    <xf numFmtId="3" fontId="3" fillId="0" borderId="48" xfId="91" applyNumberFormat="1" applyFont="1" applyFill="1" applyBorder="1">
      <alignment/>
      <protection/>
    </xf>
    <xf numFmtId="0" fontId="3" fillId="0" borderId="47" xfId="91" applyFont="1" applyFill="1" applyBorder="1" applyAlignment="1">
      <alignment wrapText="1"/>
      <protection/>
    </xf>
    <xf numFmtId="3" fontId="3" fillId="0" borderId="49" xfId="91" applyNumberFormat="1" applyFont="1" applyFill="1" applyBorder="1">
      <alignment/>
      <protection/>
    </xf>
    <xf numFmtId="0" fontId="4" fillId="0" borderId="47" xfId="91" applyFont="1" applyFill="1" applyBorder="1">
      <alignment/>
      <protection/>
    </xf>
    <xf numFmtId="0" fontId="4" fillId="0" borderId="29" xfId="91" applyFont="1" applyFill="1" applyBorder="1">
      <alignment/>
      <protection/>
    </xf>
    <xf numFmtId="3" fontId="4" fillId="0" borderId="0" xfId="91" applyNumberFormat="1" applyFont="1" applyFill="1" applyBorder="1">
      <alignment/>
      <protection/>
    </xf>
    <xf numFmtId="3" fontId="4" fillId="0" borderId="29" xfId="91" applyNumberFormat="1" applyFont="1" applyFill="1" applyBorder="1">
      <alignment/>
      <protection/>
    </xf>
    <xf numFmtId="167" fontId="4" fillId="0" borderId="0" xfId="91" applyNumberFormat="1" applyFont="1" applyFill="1">
      <alignment/>
      <protection/>
    </xf>
    <xf numFmtId="3" fontId="3" fillId="0" borderId="2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3" fillId="0" borderId="26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3" fontId="3" fillId="25" borderId="11" xfId="0" applyNumberFormat="1" applyFont="1" applyFill="1" applyBorder="1" applyAlignment="1">
      <alignment horizontal="right"/>
    </xf>
    <xf numFmtId="3" fontId="3" fillId="25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 horizontal="right"/>
    </xf>
    <xf numFmtId="3" fontId="3" fillId="25" borderId="27" xfId="0" applyNumberFormat="1" applyFont="1" applyFill="1" applyBorder="1" applyAlignment="1">
      <alignment horizontal="right"/>
    </xf>
    <xf numFmtId="3" fontId="4" fillId="21" borderId="34" xfId="0" applyNumberFormat="1" applyFont="1" applyFill="1" applyBorder="1" applyAlignment="1">
      <alignment horizontal="right"/>
    </xf>
    <xf numFmtId="3" fontId="4" fillId="21" borderId="50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3" fontId="4" fillId="0" borderId="53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/>
    </xf>
    <xf numFmtId="3" fontId="3" fillId="20" borderId="27" xfId="0" applyNumberFormat="1" applyFont="1" applyFill="1" applyBorder="1" applyAlignment="1">
      <alignment horizontal="right"/>
    </xf>
    <xf numFmtId="3" fontId="3" fillId="20" borderId="26" xfId="0" applyNumberFormat="1" applyFont="1" applyFill="1" applyBorder="1" applyAlignment="1">
      <alignment horizontal="right"/>
    </xf>
    <xf numFmtId="3" fontId="3" fillId="20" borderId="25" xfId="0" applyNumberFormat="1" applyFont="1" applyFill="1" applyBorder="1" applyAlignment="1">
      <alignment horizontal="right"/>
    </xf>
    <xf numFmtId="3" fontId="3" fillId="20" borderId="11" xfId="0" applyNumberFormat="1" applyFont="1" applyFill="1" applyBorder="1" applyAlignment="1">
      <alignment horizontal="right"/>
    </xf>
    <xf numFmtId="3" fontId="3" fillId="20" borderId="12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5" fontId="3" fillId="0" borderId="25" xfId="68" applyNumberFormat="1" applyFont="1" applyFill="1" applyBorder="1" applyAlignment="1">
      <alignment horizontal="center" wrapText="1"/>
    </xf>
    <xf numFmtId="165" fontId="3" fillId="0" borderId="26" xfId="68" applyNumberFormat="1" applyFont="1" applyFill="1" applyBorder="1" applyAlignment="1">
      <alignment horizontal="center" wrapText="1"/>
    </xf>
    <xf numFmtId="165" fontId="3" fillId="0" borderId="11" xfId="68" applyNumberFormat="1" applyFont="1" applyFill="1" applyBorder="1" applyAlignment="1">
      <alignment horizontal="center" wrapText="1"/>
    </xf>
    <xf numFmtId="165" fontId="3" fillId="0" borderId="12" xfId="68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/>
    </xf>
    <xf numFmtId="0" fontId="3" fillId="0" borderId="2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/>
    </xf>
    <xf numFmtId="0" fontId="0" fillId="0" borderId="25" xfId="0" applyFont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wrapText="1"/>
    </xf>
    <xf numFmtId="0" fontId="4" fillId="25" borderId="18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24" borderId="19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20" borderId="19" xfId="0" applyFont="1" applyFill="1" applyBorder="1" applyAlignment="1">
      <alignment horizontal="center" wrapText="1"/>
    </xf>
    <xf numFmtId="0" fontId="4" fillId="20" borderId="2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left" wrapText="1" indent="4"/>
    </xf>
    <xf numFmtId="0" fontId="3" fillId="0" borderId="25" xfId="0" applyFont="1" applyFill="1" applyBorder="1" applyAlignment="1">
      <alignment horizontal="left" wrapText="1" indent="4"/>
    </xf>
    <xf numFmtId="3" fontId="4" fillId="0" borderId="2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0" fontId="4" fillId="24" borderId="18" xfId="0" applyFont="1" applyFill="1" applyBorder="1" applyAlignment="1">
      <alignment horizontal="center" wrapText="1"/>
    </xf>
    <xf numFmtId="3" fontId="3" fillId="24" borderId="25" xfId="0" applyNumberFormat="1" applyFont="1" applyFill="1" applyBorder="1" applyAlignment="1">
      <alignment horizontal="right"/>
    </xf>
    <xf numFmtId="3" fontId="3" fillId="24" borderId="27" xfId="0" applyNumberFormat="1" applyFont="1" applyFill="1" applyBorder="1" applyAlignment="1">
      <alignment horizontal="right"/>
    </xf>
    <xf numFmtId="0" fontId="4" fillId="24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 indent="4"/>
    </xf>
    <xf numFmtId="3" fontId="3" fillId="0" borderId="25" xfId="0" applyNumberFormat="1" applyFont="1" applyFill="1" applyBorder="1" applyAlignment="1">
      <alignment horizontal="right" wrapText="1"/>
    </xf>
    <xf numFmtId="3" fontId="3" fillId="0" borderId="2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left" wrapText="1" indent="4" shrinkToFit="1"/>
    </xf>
    <xf numFmtId="0" fontId="3" fillId="0" borderId="25" xfId="0" applyFont="1" applyFill="1" applyBorder="1" applyAlignment="1">
      <alignment horizontal="left" wrapText="1" indent="4" shrinkToFit="1"/>
    </xf>
    <xf numFmtId="0" fontId="4" fillId="0" borderId="28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" fillId="0" borderId="0" xfId="92" applyFont="1" applyFill="1" applyAlignment="1">
      <alignment horizontal="left"/>
      <protection/>
    </xf>
    <xf numFmtId="0" fontId="14" fillId="0" borderId="17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left" wrapText="1"/>
    </xf>
    <xf numFmtId="3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4" fillId="0" borderId="0" xfId="91" applyFont="1" applyFill="1" applyAlignment="1">
      <alignment horizontal="center"/>
      <protection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 2_mellékletek 2013. III. névi rendelethez Kőszeg" xfId="91"/>
    <cellStyle name="Normál_2013. költségvetés mell Bozsok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5"/>
  <sheetViews>
    <sheetView zoomScaleSheetLayoutView="100"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50.75390625" style="2" customWidth="1"/>
    <col min="2" max="2" width="10.875" style="2" customWidth="1"/>
    <col min="3" max="3" width="2.625" style="2" bestFit="1" customWidth="1"/>
    <col min="4" max="4" width="10.25390625" style="2" customWidth="1"/>
    <col min="5" max="5" width="2.875" style="2" customWidth="1"/>
    <col min="6" max="6" width="10.00390625" style="2" customWidth="1"/>
    <col min="7" max="7" width="2.875" style="2" customWidth="1"/>
    <col min="8" max="8" width="9.75390625" style="2" customWidth="1"/>
    <col min="9" max="9" width="2.25390625" style="2" customWidth="1"/>
    <col min="10" max="10" width="10.625" style="2" customWidth="1"/>
    <col min="11" max="11" width="1.875" style="2" customWidth="1"/>
    <col min="12" max="12" width="8.375" style="105" customWidth="1"/>
    <col min="13" max="13" width="2.75390625" style="2" customWidth="1"/>
    <col min="14" max="14" width="8.25390625" style="2" customWidth="1"/>
    <col min="15" max="15" width="2.625" style="2" bestFit="1" customWidth="1"/>
    <col min="16" max="16" width="8.625" style="2" customWidth="1"/>
    <col min="17" max="17" width="2.625" style="2" customWidth="1"/>
    <col min="18" max="18" width="7.375" style="2" customWidth="1"/>
    <col min="19" max="19" width="2.625" style="2" customWidth="1"/>
    <col min="20" max="20" width="7.00390625" style="2" customWidth="1"/>
    <col min="21" max="21" width="2.625" style="2" customWidth="1"/>
    <col min="22" max="22" width="7.25390625" style="2" customWidth="1"/>
    <col min="23" max="23" width="2.875" style="2" customWidth="1"/>
    <col min="24" max="24" width="8.25390625" style="2" customWidth="1"/>
    <col min="25" max="25" width="2.625" style="2" customWidth="1"/>
    <col min="26" max="26" width="8.25390625" style="2" customWidth="1"/>
    <col min="27" max="27" width="2.625" style="2" customWidth="1"/>
    <col min="28" max="28" width="8.25390625" style="2" customWidth="1"/>
    <col min="29" max="29" width="2.625" style="2" customWidth="1"/>
    <col min="30" max="30" width="8.25390625" style="2" customWidth="1"/>
    <col min="31" max="31" width="2.625" style="2" customWidth="1"/>
    <col min="32" max="32" width="7.375" style="2" customWidth="1"/>
    <col min="33" max="33" width="2.625" style="2" customWidth="1"/>
    <col min="34" max="34" width="8.00390625" style="2" customWidth="1"/>
    <col min="35" max="35" width="3.125" style="2" customWidth="1"/>
    <col min="36" max="36" width="7.375" style="2" customWidth="1"/>
    <col min="37" max="37" width="2.625" style="2" customWidth="1"/>
    <col min="38" max="38" width="15.00390625" style="5" bestFit="1" customWidth="1"/>
    <col min="39" max="39" width="4.00390625" style="5" customWidth="1"/>
    <col min="40" max="40" width="14.875" style="2" hidden="1" customWidth="1"/>
    <col min="41" max="42" width="0" style="2" hidden="1" customWidth="1"/>
    <col min="43" max="16384" width="9.125" style="2" customWidth="1"/>
  </cols>
  <sheetData>
    <row r="1" spans="1:40" ht="15.75">
      <c r="A1" s="17" t="s">
        <v>374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4"/>
      <c r="M1" s="17"/>
      <c r="N1" s="484" t="s">
        <v>31</v>
      </c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7"/>
      <c r="AK1" s="7"/>
      <c r="AL1" s="17"/>
      <c r="AM1" s="17"/>
      <c r="AN1" s="17"/>
    </row>
    <row r="2" spans="14:40" ht="15.75">
      <c r="N2" s="484" t="s">
        <v>154</v>
      </c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7"/>
      <c r="AK2" s="7"/>
      <c r="AL2" s="17"/>
      <c r="AM2" s="17"/>
      <c r="AN2" s="17"/>
    </row>
    <row r="3" spans="1:38" ht="8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0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9" s="1" customFormat="1" ht="66.75" customHeight="1" thickBot="1">
      <c r="A4" s="106" t="s">
        <v>0</v>
      </c>
      <c r="B4" s="479" t="s">
        <v>10</v>
      </c>
      <c r="C4" s="480"/>
      <c r="D4" s="479" t="s">
        <v>32</v>
      </c>
      <c r="E4" s="493"/>
      <c r="F4" s="479" t="s">
        <v>23</v>
      </c>
      <c r="G4" s="480"/>
      <c r="H4" s="479" t="s">
        <v>33</v>
      </c>
      <c r="I4" s="480"/>
      <c r="J4" s="479" t="s">
        <v>34</v>
      </c>
      <c r="K4" s="480"/>
      <c r="L4" s="479" t="s">
        <v>42</v>
      </c>
      <c r="M4" s="480"/>
      <c r="N4" s="477" t="s">
        <v>21</v>
      </c>
      <c r="O4" s="478"/>
      <c r="P4" s="477" t="s">
        <v>27</v>
      </c>
      <c r="Q4" s="478"/>
      <c r="R4" s="477" t="s">
        <v>35</v>
      </c>
      <c r="S4" s="478"/>
      <c r="T4" s="477" t="s">
        <v>36</v>
      </c>
      <c r="U4" s="478"/>
      <c r="V4" s="477" t="s">
        <v>37</v>
      </c>
      <c r="W4" s="478"/>
      <c r="X4" s="473" t="s">
        <v>38</v>
      </c>
      <c r="Y4" s="474"/>
      <c r="Z4" s="477" t="s">
        <v>22</v>
      </c>
      <c r="AA4" s="478"/>
      <c r="AB4" s="477" t="s">
        <v>28</v>
      </c>
      <c r="AC4" s="478"/>
      <c r="AD4" s="477" t="s">
        <v>39</v>
      </c>
      <c r="AE4" s="478"/>
      <c r="AF4" s="477" t="s">
        <v>40</v>
      </c>
      <c r="AG4" s="478"/>
      <c r="AH4" s="487" t="s">
        <v>41</v>
      </c>
      <c r="AI4" s="488"/>
      <c r="AJ4" s="477" t="s">
        <v>155</v>
      </c>
      <c r="AK4" s="478"/>
      <c r="AL4" s="485" t="s">
        <v>156</v>
      </c>
      <c r="AM4" s="486"/>
    </row>
    <row r="5" spans="1:39" s="1" customFormat="1" ht="20.25" customHeight="1" thickBot="1">
      <c r="A5" s="107" t="s">
        <v>43</v>
      </c>
      <c r="B5" s="270"/>
      <c r="C5" s="270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2"/>
      <c r="Y5" s="272"/>
      <c r="Z5" s="271"/>
      <c r="AA5" s="271"/>
      <c r="AB5" s="271"/>
      <c r="AC5" s="271"/>
      <c r="AD5" s="271"/>
      <c r="AE5" s="271"/>
      <c r="AF5" s="271"/>
      <c r="AG5" s="271"/>
      <c r="AH5" s="273"/>
      <c r="AI5" s="273"/>
      <c r="AJ5" s="108"/>
      <c r="AK5" s="108"/>
      <c r="AL5" s="438"/>
      <c r="AM5" s="439"/>
    </row>
    <row r="6" spans="1:39" s="1" customFormat="1" ht="20.25" customHeight="1" thickBot="1">
      <c r="A6" s="107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/>
      <c r="Y6" s="110"/>
      <c r="Z6" s="109"/>
      <c r="AA6" s="109"/>
      <c r="AB6" s="109"/>
      <c r="AC6" s="109"/>
      <c r="AD6" s="109"/>
      <c r="AE6" s="109"/>
      <c r="AF6" s="109"/>
      <c r="AG6" s="109"/>
      <c r="AH6" s="111"/>
      <c r="AI6" s="111"/>
      <c r="AJ6" s="108"/>
      <c r="AK6" s="108"/>
      <c r="AL6" s="438"/>
      <c r="AM6" s="439"/>
    </row>
    <row r="7" spans="1:39" s="1" customFormat="1" ht="12.75">
      <c r="A7" s="112" t="s">
        <v>25</v>
      </c>
      <c r="B7" s="113"/>
      <c r="C7" s="114"/>
      <c r="D7" s="274">
        <v>35.01</v>
      </c>
      <c r="E7" s="275" t="s">
        <v>4</v>
      </c>
      <c r="F7" s="115"/>
      <c r="G7" s="116"/>
      <c r="H7" s="115"/>
      <c r="I7" s="116"/>
      <c r="J7" s="115"/>
      <c r="K7" s="116"/>
      <c r="L7" s="117"/>
      <c r="M7" s="116"/>
      <c r="N7" s="118"/>
      <c r="O7" s="119"/>
      <c r="P7" s="118"/>
      <c r="Q7" s="119"/>
      <c r="R7" s="118"/>
      <c r="S7" s="119"/>
      <c r="T7" s="118"/>
      <c r="U7" s="119"/>
      <c r="V7" s="118"/>
      <c r="W7" s="119"/>
      <c r="X7" s="120"/>
      <c r="Y7" s="121"/>
      <c r="Z7" s="118"/>
      <c r="AA7" s="119"/>
      <c r="AB7" s="118"/>
      <c r="AC7" s="119"/>
      <c r="AD7" s="118"/>
      <c r="AE7" s="119"/>
      <c r="AF7" s="118"/>
      <c r="AG7" s="119"/>
      <c r="AH7" s="122"/>
      <c r="AI7" s="123"/>
      <c r="AJ7" s="118"/>
      <c r="AK7" s="119"/>
      <c r="AL7" s="124"/>
      <c r="AM7" s="125"/>
    </row>
    <row r="8" spans="1:39" s="1" customFormat="1" ht="15" customHeight="1">
      <c r="A8" s="126" t="s">
        <v>44</v>
      </c>
      <c r="B8" s="127"/>
      <c r="C8" s="128"/>
      <c r="D8" s="494">
        <f>ROUND(D7*4580000,0)</f>
        <v>160345800</v>
      </c>
      <c r="E8" s="495"/>
      <c r="F8" s="129"/>
      <c r="G8" s="130"/>
      <c r="H8" s="129"/>
      <c r="I8" s="130"/>
      <c r="J8" s="129"/>
      <c r="K8" s="130"/>
      <c r="L8" s="131"/>
      <c r="M8" s="130"/>
      <c r="N8" s="475"/>
      <c r="O8" s="476"/>
      <c r="P8" s="475"/>
      <c r="Q8" s="476"/>
      <c r="R8" s="475"/>
      <c r="S8" s="476"/>
      <c r="T8" s="475"/>
      <c r="U8" s="476"/>
      <c r="V8" s="475"/>
      <c r="W8" s="476"/>
      <c r="X8" s="134"/>
      <c r="Y8" s="135"/>
      <c r="Z8" s="132"/>
      <c r="AA8" s="133"/>
      <c r="AB8" s="132"/>
      <c r="AC8" s="133"/>
      <c r="AD8" s="132"/>
      <c r="AE8" s="133"/>
      <c r="AF8" s="132"/>
      <c r="AG8" s="133"/>
      <c r="AH8" s="136"/>
      <c r="AI8" s="137"/>
      <c r="AJ8" s="132"/>
      <c r="AK8" s="133"/>
      <c r="AL8" s="276">
        <f>B8+D8+F8+H8+J8+X8+AH8+L8</f>
        <v>160345800</v>
      </c>
      <c r="AM8" s="277"/>
    </row>
    <row r="9" spans="1:39" s="1" customFormat="1" ht="25.5">
      <c r="A9" s="138" t="s">
        <v>96</v>
      </c>
      <c r="B9" s="491">
        <f>B11+B13+B15+B17</f>
        <v>83150252</v>
      </c>
      <c r="C9" s="492"/>
      <c r="D9" s="139"/>
      <c r="E9" s="140"/>
      <c r="F9" s="139"/>
      <c r="G9" s="141"/>
      <c r="H9" s="139"/>
      <c r="I9" s="141"/>
      <c r="J9" s="139"/>
      <c r="K9" s="141"/>
      <c r="L9" s="142"/>
      <c r="M9" s="141"/>
      <c r="N9" s="143"/>
      <c r="O9" s="144"/>
      <c r="P9" s="143"/>
      <c r="Q9" s="144"/>
      <c r="R9" s="143"/>
      <c r="S9" s="144"/>
      <c r="T9" s="143"/>
      <c r="U9" s="144"/>
      <c r="V9" s="143"/>
      <c r="W9" s="144"/>
      <c r="X9" s="145"/>
      <c r="Y9" s="146"/>
      <c r="Z9" s="143"/>
      <c r="AA9" s="144"/>
      <c r="AB9" s="143"/>
      <c r="AC9" s="144"/>
      <c r="AD9" s="143"/>
      <c r="AE9" s="144"/>
      <c r="AF9" s="143"/>
      <c r="AG9" s="144"/>
      <c r="AH9" s="147"/>
      <c r="AI9" s="148"/>
      <c r="AJ9" s="143"/>
      <c r="AK9" s="144"/>
      <c r="AL9" s="278">
        <f>B9+D9+F9+H9+J9+X9+AH9+L9</f>
        <v>83150252</v>
      </c>
      <c r="AM9" s="279"/>
    </row>
    <row r="10" spans="1:39" s="1" customFormat="1" ht="25.5" customHeight="1">
      <c r="A10" s="497" t="s">
        <v>157</v>
      </c>
      <c r="B10" s="280"/>
      <c r="C10" s="281"/>
      <c r="D10" s="115"/>
      <c r="E10" s="18"/>
      <c r="F10" s="115"/>
      <c r="G10" s="116"/>
      <c r="H10" s="115"/>
      <c r="I10" s="116"/>
      <c r="J10" s="115"/>
      <c r="K10" s="116"/>
      <c r="L10" s="117"/>
      <c r="M10" s="116"/>
      <c r="N10" s="118"/>
      <c r="O10" s="119"/>
      <c r="P10" s="118"/>
      <c r="Q10" s="119"/>
      <c r="R10" s="118"/>
      <c r="S10" s="119"/>
      <c r="T10" s="118"/>
      <c r="U10" s="119"/>
      <c r="V10" s="118"/>
      <c r="W10" s="119"/>
      <c r="X10" s="120"/>
      <c r="Y10" s="121"/>
      <c r="Z10" s="118"/>
      <c r="AA10" s="119"/>
      <c r="AB10" s="118"/>
      <c r="AC10" s="119"/>
      <c r="AD10" s="118"/>
      <c r="AE10" s="119"/>
      <c r="AF10" s="118"/>
      <c r="AG10" s="119"/>
      <c r="AH10" s="122"/>
      <c r="AI10" s="123"/>
      <c r="AJ10" s="118"/>
      <c r="AK10" s="119"/>
      <c r="AL10" s="282"/>
      <c r="AM10" s="125"/>
    </row>
    <row r="11" spans="1:39" s="1" customFormat="1" ht="12.75">
      <c r="A11" s="490"/>
      <c r="B11" s="397">
        <f>13531640</f>
        <v>13531640</v>
      </c>
      <c r="C11" s="401"/>
      <c r="D11" s="482"/>
      <c r="E11" s="496"/>
      <c r="F11" s="482"/>
      <c r="G11" s="483"/>
      <c r="H11" s="482"/>
      <c r="I11" s="483"/>
      <c r="J11" s="482"/>
      <c r="K11" s="483"/>
      <c r="L11" s="482"/>
      <c r="M11" s="483"/>
      <c r="N11" s="475"/>
      <c r="O11" s="476"/>
      <c r="P11" s="475"/>
      <c r="Q11" s="476"/>
      <c r="R11" s="475"/>
      <c r="S11" s="476"/>
      <c r="T11" s="475"/>
      <c r="U11" s="476"/>
      <c r="V11" s="475"/>
      <c r="W11" s="476"/>
      <c r="X11" s="134"/>
      <c r="Y11" s="135"/>
      <c r="Z11" s="132"/>
      <c r="AA11" s="133"/>
      <c r="AB11" s="132"/>
      <c r="AC11" s="133"/>
      <c r="AD11" s="132"/>
      <c r="AE11" s="133"/>
      <c r="AF11" s="132"/>
      <c r="AG11" s="133"/>
      <c r="AH11" s="136"/>
      <c r="AI11" s="137"/>
      <c r="AJ11" s="132"/>
      <c r="AK11" s="133"/>
      <c r="AL11" s="283">
        <f>B11+D11+F11+H11+J11+X11+AH11+L11</f>
        <v>13531640</v>
      </c>
      <c r="AM11" s="284"/>
    </row>
    <row r="12" spans="1:39" s="1" customFormat="1" ht="12.75">
      <c r="A12" s="489" t="s">
        <v>85</v>
      </c>
      <c r="B12" s="285"/>
      <c r="C12" s="286"/>
      <c r="D12" s="139"/>
      <c r="E12" s="140"/>
      <c r="F12" s="139"/>
      <c r="G12" s="141"/>
      <c r="H12" s="139"/>
      <c r="I12" s="141"/>
      <c r="J12" s="139"/>
      <c r="K12" s="141"/>
      <c r="L12" s="142"/>
      <c r="M12" s="141"/>
      <c r="N12" s="143"/>
      <c r="O12" s="144"/>
      <c r="P12" s="143"/>
      <c r="Q12" s="144"/>
      <c r="R12" s="143"/>
      <c r="S12" s="144"/>
      <c r="T12" s="143"/>
      <c r="U12" s="144"/>
      <c r="V12" s="143"/>
      <c r="W12" s="144"/>
      <c r="X12" s="145"/>
      <c r="Y12" s="146"/>
      <c r="Z12" s="143"/>
      <c r="AA12" s="144"/>
      <c r="AB12" s="143"/>
      <c r="AC12" s="144"/>
      <c r="AD12" s="143"/>
      <c r="AE12" s="144"/>
      <c r="AF12" s="143"/>
      <c r="AG12" s="144"/>
      <c r="AH12" s="147"/>
      <c r="AI12" s="148"/>
      <c r="AJ12" s="143"/>
      <c r="AK12" s="144"/>
      <c r="AL12" s="287"/>
      <c r="AM12" s="288"/>
    </row>
    <row r="13" spans="1:39" s="1" customFormat="1" ht="12.75">
      <c r="A13" s="490"/>
      <c r="B13" s="399">
        <v>45280000</v>
      </c>
      <c r="C13" s="400"/>
      <c r="D13" s="129"/>
      <c r="E13" s="149"/>
      <c r="F13" s="129"/>
      <c r="G13" s="130"/>
      <c r="H13" s="129"/>
      <c r="I13" s="130"/>
      <c r="J13" s="129"/>
      <c r="K13" s="130"/>
      <c r="L13" s="131"/>
      <c r="M13" s="130"/>
      <c r="N13" s="475"/>
      <c r="O13" s="476"/>
      <c r="P13" s="475"/>
      <c r="Q13" s="476"/>
      <c r="R13" s="475"/>
      <c r="S13" s="476"/>
      <c r="T13" s="475"/>
      <c r="U13" s="476"/>
      <c r="V13" s="475"/>
      <c r="W13" s="476"/>
      <c r="X13" s="134"/>
      <c r="Y13" s="135"/>
      <c r="Z13" s="132"/>
      <c r="AA13" s="133"/>
      <c r="AB13" s="132"/>
      <c r="AC13" s="133"/>
      <c r="AD13" s="132"/>
      <c r="AE13" s="133"/>
      <c r="AF13" s="132"/>
      <c r="AG13" s="133"/>
      <c r="AH13" s="136"/>
      <c r="AI13" s="137"/>
      <c r="AJ13" s="132"/>
      <c r="AK13" s="133"/>
      <c r="AL13" s="283">
        <f>B13+D13+F13+H13+J13+X13+AH13+L13</f>
        <v>45280000</v>
      </c>
      <c r="AM13" s="284"/>
    </row>
    <row r="14" spans="1:39" s="1" customFormat="1" ht="12.75">
      <c r="A14" s="489" t="s">
        <v>86</v>
      </c>
      <c r="B14" s="285"/>
      <c r="C14" s="286"/>
      <c r="D14" s="139"/>
      <c r="E14" s="140"/>
      <c r="F14" s="139"/>
      <c r="G14" s="141"/>
      <c r="H14" s="139"/>
      <c r="I14" s="141"/>
      <c r="J14" s="139"/>
      <c r="K14" s="141"/>
      <c r="L14" s="142"/>
      <c r="M14" s="141"/>
      <c r="N14" s="143"/>
      <c r="O14" s="144"/>
      <c r="P14" s="143"/>
      <c r="Q14" s="144"/>
      <c r="R14" s="143"/>
      <c r="S14" s="144"/>
      <c r="T14" s="143"/>
      <c r="U14" s="144"/>
      <c r="V14" s="143"/>
      <c r="W14" s="144"/>
      <c r="X14" s="145"/>
      <c r="Y14" s="146"/>
      <c r="Z14" s="143"/>
      <c r="AA14" s="144"/>
      <c r="AB14" s="143"/>
      <c r="AC14" s="144"/>
      <c r="AD14" s="143"/>
      <c r="AE14" s="144"/>
      <c r="AF14" s="143"/>
      <c r="AG14" s="144"/>
      <c r="AH14" s="147"/>
      <c r="AI14" s="148"/>
      <c r="AJ14" s="143"/>
      <c r="AK14" s="144"/>
      <c r="AL14" s="287"/>
      <c r="AM14" s="288"/>
    </row>
    <row r="15" spans="1:39" s="1" customFormat="1" ht="12.75">
      <c r="A15" s="490"/>
      <c r="B15" s="399">
        <v>3588312</v>
      </c>
      <c r="C15" s="400"/>
      <c r="D15" s="129"/>
      <c r="E15" s="149"/>
      <c r="F15" s="129"/>
      <c r="G15" s="130"/>
      <c r="H15" s="129"/>
      <c r="I15" s="130"/>
      <c r="J15" s="129"/>
      <c r="K15" s="130"/>
      <c r="L15" s="131"/>
      <c r="M15" s="130"/>
      <c r="N15" s="475"/>
      <c r="O15" s="476"/>
      <c r="P15" s="475"/>
      <c r="Q15" s="476"/>
      <c r="R15" s="475"/>
      <c r="S15" s="476"/>
      <c r="T15" s="475"/>
      <c r="U15" s="476"/>
      <c r="V15" s="475"/>
      <c r="W15" s="476"/>
      <c r="X15" s="134"/>
      <c r="Y15" s="135"/>
      <c r="Z15" s="132"/>
      <c r="AA15" s="133"/>
      <c r="AB15" s="132"/>
      <c r="AC15" s="133"/>
      <c r="AD15" s="132"/>
      <c r="AE15" s="133"/>
      <c r="AF15" s="132"/>
      <c r="AG15" s="133"/>
      <c r="AH15" s="136"/>
      <c r="AI15" s="137"/>
      <c r="AJ15" s="132"/>
      <c r="AK15" s="133"/>
      <c r="AL15" s="283">
        <f>B15+D15+F15+H15+J15+X15+AH15+L15</f>
        <v>3588312</v>
      </c>
      <c r="AM15" s="284"/>
    </row>
    <row r="16" spans="1:39" s="1" customFormat="1" ht="12.75" customHeight="1">
      <c r="A16" s="502" t="s">
        <v>87</v>
      </c>
      <c r="B16" s="285"/>
      <c r="C16" s="286"/>
      <c r="D16" s="139"/>
      <c r="E16" s="140"/>
      <c r="F16" s="139"/>
      <c r="G16" s="141"/>
      <c r="H16" s="139"/>
      <c r="I16" s="141"/>
      <c r="J16" s="139"/>
      <c r="K16" s="141"/>
      <c r="L16" s="142"/>
      <c r="M16" s="141"/>
      <c r="N16" s="143"/>
      <c r="O16" s="144"/>
      <c r="P16" s="143"/>
      <c r="Q16" s="144"/>
      <c r="R16" s="143"/>
      <c r="S16" s="144"/>
      <c r="T16" s="143"/>
      <c r="U16" s="144"/>
      <c r="V16" s="143"/>
      <c r="W16" s="144"/>
      <c r="X16" s="145"/>
      <c r="Y16" s="146"/>
      <c r="Z16" s="143"/>
      <c r="AA16" s="144"/>
      <c r="AB16" s="143"/>
      <c r="AC16" s="144"/>
      <c r="AD16" s="143"/>
      <c r="AE16" s="144"/>
      <c r="AF16" s="143"/>
      <c r="AG16" s="144"/>
      <c r="AH16" s="147"/>
      <c r="AI16" s="148"/>
      <c r="AJ16" s="143"/>
      <c r="AK16" s="144"/>
      <c r="AL16" s="287"/>
      <c r="AM16" s="288"/>
    </row>
    <row r="17" spans="1:39" s="1" customFormat="1" ht="12.75">
      <c r="A17" s="503"/>
      <c r="B17" s="399">
        <v>20750300</v>
      </c>
      <c r="C17" s="400"/>
      <c r="D17" s="129"/>
      <c r="E17" s="149"/>
      <c r="F17" s="129"/>
      <c r="G17" s="130"/>
      <c r="H17" s="129"/>
      <c r="I17" s="130"/>
      <c r="J17" s="129"/>
      <c r="K17" s="130"/>
      <c r="L17" s="131"/>
      <c r="M17" s="130"/>
      <c r="N17" s="475"/>
      <c r="O17" s="476"/>
      <c r="P17" s="475"/>
      <c r="Q17" s="476"/>
      <c r="R17" s="475"/>
      <c r="S17" s="476"/>
      <c r="T17" s="475"/>
      <c r="U17" s="476"/>
      <c r="V17" s="475"/>
      <c r="W17" s="476"/>
      <c r="X17" s="134"/>
      <c r="Y17" s="135"/>
      <c r="Z17" s="132"/>
      <c r="AA17" s="133"/>
      <c r="AB17" s="132"/>
      <c r="AC17" s="133"/>
      <c r="AD17" s="132"/>
      <c r="AE17" s="133"/>
      <c r="AF17" s="132"/>
      <c r="AG17" s="133"/>
      <c r="AH17" s="136"/>
      <c r="AI17" s="137"/>
      <c r="AJ17" s="132"/>
      <c r="AK17" s="133"/>
      <c r="AL17" s="283">
        <f>B17+D17+F17+H17+J17+X17+AH17+L17</f>
        <v>20750300</v>
      </c>
      <c r="AM17" s="284"/>
    </row>
    <row r="18" spans="1:39" s="1" customFormat="1" ht="12.75">
      <c r="A18" s="150" t="s">
        <v>88</v>
      </c>
      <c r="B18" s="156">
        <v>11395</v>
      </c>
      <c r="C18" s="289" t="s">
        <v>4</v>
      </c>
      <c r="D18" s="139"/>
      <c r="E18" s="140"/>
      <c r="F18" s="139"/>
      <c r="G18" s="141"/>
      <c r="H18" s="139"/>
      <c r="I18" s="141"/>
      <c r="J18" s="139"/>
      <c r="K18" s="141"/>
      <c r="L18" s="142"/>
      <c r="M18" s="141"/>
      <c r="N18" s="143"/>
      <c r="O18" s="144"/>
      <c r="P18" s="143"/>
      <c r="Q18" s="144"/>
      <c r="R18" s="143"/>
      <c r="S18" s="144"/>
      <c r="T18" s="143"/>
      <c r="U18" s="144"/>
      <c r="V18" s="143"/>
      <c r="W18" s="144"/>
      <c r="X18" s="145"/>
      <c r="Y18" s="146"/>
      <c r="Z18" s="143"/>
      <c r="AA18" s="144"/>
      <c r="AB18" s="143"/>
      <c r="AC18" s="144"/>
      <c r="AD18" s="143"/>
      <c r="AE18" s="144"/>
      <c r="AF18" s="143"/>
      <c r="AG18" s="144"/>
      <c r="AH18" s="147"/>
      <c r="AI18" s="148"/>
      <c r="AJ18" s="143"/>
      <c r="AK18" s="144"/>
      <c r="AL18" s="282"/>
      <c r="AM18" s="279"/>
    </row>
    <row r="19" spans="1:39" s="1" customFormat="1" ht="26.25" customHeight="1" thickBot="1">
      <c r="A19" s="151" t="s">
        <v>158</v>
      </c>
      <c r="B19" s="498">
        <f>B18*2700-22767926</f>
        <v>7998574</v>
      </c>
      <c r="C19" s="499"/>
      <c r="D19" s="129"/>
      <c r="E19" s="149"/>
      <c r="F19" s="129"/>
      <c r="G19" s="130"/>
      <c r="H19" s="129"/>
      <c r="I19" s="130"/>
      <c r="J19" s="129"/>
      <c r="K19" s="130"/>
      <c r="L19" s="131"/>
      <c r="M19" s="130"/>
      <c r="N19" s="475"/>
      <c r="O19" s="476"/>
      <c r="P19" s="475"/>
      <c r="Q19" s="476"/>
      <c r="R19" s="475"/>
      <c r="S19" s="476"/>
      <c r="T19" s="475"/>
      <c r="U19" s="476"/>
      <c r="V19" s="475"/>
      <c r="W19" s="476"/>
      <c r="X19" s="134"/>
      <c r="Y19" s="135"/>
      <c r="Z19" s="132"/>
      <c r="AA19" s="133"/>
      <c r="AB19" s="132"/>
      <c r="AC19" s="133"/>
      <c r="AD19" s="132"/>
      <c r="AE19" s="133"/>
      <c r="AF19" s="132"/>
      <c r="AG19" s="133"/>
      <c r="AH19" s="136"/>
      <c r="AI19" s="137"/>
      <c r="AJ19" s="132"/>
      <c r="AK19" s="133"/>
      <c r="AL19" s="276">
        <f>B19+D19+F19+H19+J19+X19+AH19+L19</f>
        <v>7998574</v>
      </c>
      <c r="AM19" s="277"/>
    </row>
    <row r="20" spans="1:39" ht="16.5" customHeight="1">
      <c r="A20" s="138" t="s">
        <v>89</v>
      </c>
      <c r="B20" s="181"/>
      <c r="C20" s="188"/>
      <c r="D20" s="152"/>
      <c r="E20" s="153"/>
      <c r="F20" s="152"/>
      <c r="G20" s="154"/>
      <c r="H20" s="152"/>
      <c r="I20" s="154"/>
      <c r="J20" s="152"/>
      <c r="K20" s="154"/>
      <c r="L20" s="155"/>
      <c r="M20" s="154"/>
      <c r="N20" s="156"/>
      <c r="O20" s="157"/>
      <c r="P20" s="156"/>
      <c r="Q20" s="157"/>
      <c r="R20" s="156"/>
      <c r="S20" s="157"/>
      <c r="T20" s="156"/>
      <c r="U20" s="157"/>
      <c r="V20" s="158"/>
      <c r="W20" s="159"/>
      <c r="X20" s="160"/>
      <c r="Y20" s="161"/>
      <c r="Z20" s="158"/>
      <c r="AA20" s="159"/>
      <c r="AB20" s="158"/>
      <c r="AC20" s="159"/>
      <c r="AD20" s="158"/>
      <c r="AE20" s="159"/>
      <c r="AF20" s="158"/>
      <c r="AG20" s="159"/>
      <c r="AH20" s="162"/>
      <c r="AI20" s="163"/>
      <c r="AJ20" s="158"/>
      <c r="AK20" s="159"/>
      <c r="AL20" s="290"/>
      <c r="AM20" s="291"/>
    </row>
    <row r="21" spans="1:39" ht="16.5" customHeight="1" thickBot="1">
      <c r="A21" s="164" t="s">
        <v>159</v>
      </c>
      <c r="B21" s="455">
        <v>334050</v>
      </c>
      <c r="C21" s="456"/>
      <c r="D21" s="165"/>
      <c r="E21" s="166"/>
      <c r="F21" s="165"/>
      <c r="G21" s="167"/>
      <c r="H21" s="165"/>
      <c r="I21" s="167"/>
      <c r="J21" s="165"/>
      <c r="K21" s="167"/>
      <c r="L21" s="168"/>
      <c r="M21" s="167"/>
      <c r="N21" s="475"/>
      <c r="O21" s="476"/>
      <c r="P21" s="475"/>
      <c r="Q21" s="476"/>
      <c r="R21" s="475"/>
      <c r="S21" s="476"/>
      <c r="T21" s="475"/>
      <c r="U21" s="476"/>
      <c r="V21" s="475"/>
      <c r="W21" s="476"/>
      <c r="X21" s="409"/>
      <c r="Y21" s="410"/>
      <c r="Z21" s="397"/>
      <c r="AA21" s="401"/>
      <c r="AB21" s="397"/>
      <c r="AC21" s="401"/>
      <c r="AD21" s="397"/>
      <c r="AE21" s="401"/>
      <c r="AF21" s="397"/>
      <c r="AG21" s="401"/>
      <c r="AH21" s="443"/>
      <c r="AI21" s="442"/>
      <c r="AJ21" s="397"/>
      <c r="AK21" s="401"/>
      <c r="AL21" s="276">
        <f>B21+D21+F21+H21+J21+X21+AH21+L21</f>
        <v>334050</v>
      </c>
      <c r="AM21" s="185"/>
    </row>
    <row r="22" spans="1:39" ht="16.5" customHeight="1">
      <c r="A22" s="138" t="s">
        <v>90</v>
      </c>
      <c r="B22" s="292">
        <v>12606000</v>
      </c>
      <c r="C22" s="188" t="s">
        <v>5</v>
      </c>
      <c r="D22" s="152"/>
      <c r="E22" s="153"/>
      <c r="F22" s="152"/>
      <c r="G22" s="154"/>
      <c r="H22" s="152"/>
      <c r="I22" s="154"/>
      <c r="J22" s="152"/>
      <c r="K22" s="154"/>
      <c r="L22" s="155"/>
      <c r="M22" s="154"/>
      <c r="N22" s="504"/>
      <c r="O22" s="505"/>
      <c r="P22" s="504"/>
      <c r="Q22" s="505"/>
      <c r="R22" s="504"/>
      <c r="S22" s="505"/>
      <c r="T22" s="504"/>
      <c r="U22" s="505"/>
      <c r="V22" s="504"/>
      <c r="W22" s="505"/>
      <c r="X22" s="160"/>
      <c r="Y22" s="161"/>
      <c r="Z22" s="158"/>
      <c r="AA22" s="159"/>
      <c r="AB22" s="158"/>
      <c r="AC22" s="159"/>
      <c r="AD22" s="158"/>
      <c r="AE22" s="159"/>
      <c r="AF22" s="158"/>
      <c r="AG22" s="159"/>
      <c r="AH22" s="162"/>
      <c r="AI22" s="163"/>
      <c r="AJ22" s="158"/>
      <c r="AK22" s="159"/>
      <c r="AL22" s="290"/>
      <c r="AM22" s="291"/>
    </row>
    <row r="23" spans="1:39" ht="16.5" customHeight="1">
      <c r="A23" s="164" t="s">
        <v>160</v>
      </c>
      <c r="B23" s="455">
        <f>B22*1</f>
        <v>12606000</v>
      </c>
      <c r="C23" s="456"/>
      <c r="D23" s="165"/>
      <c r="E23" s="166"/>
      <c r="F23" s="165"/>
      <c r="G23" s="167"/>
      <c r="H23" s="165"/>
      <c r="I23" s="167"/>
      <c r="J23" s="165"/>
      <c r="K23" s="167"/>
      <c r="L23" s="168"/>
      <c r="M23" s="167"/>
      <c r="N23" s="397"/>
      <c r="O23" s="398"/>
      <c r="P23" s="397"/>
      <c r="Q23" s="398"/>
      <c r="R23" s="397"/>
      <c r="S23" s="398"/>
      <c r="T23" s="397"/>
      <c r="U23" s="398"/>
      <c r="V23" s="399"/>
      <c r="W23" s="400"/>
      <c r="X23" s="409"/>
      <c r="Y23" s="410"/>
      <c r="Z23" s="397"/>
      <c r="AA23" s="401"/>
      <c r="AB23" s="397"/>
      <c r="AC23" s="401"/>
      <c r="AD23" s="397"/>
      <c r="AE23" s="401"/>
      <c r="AF23" s="397"/>
      <c r="AG23" s="401"/>
      <c r="AH23" s="443"/>
      <c r="AI23" s="442"/>
      <c r="AJ23" s="397"/>
      <c r="AK23" s="401"/>
      <c r="AL23" s="276">
        <f>B23+D23+F23+H23+J23+X23+AH23+L23</f>
        <v>12606000</v>
      </c>
      <c r="AM23" s="185"/>
    </row>
    <row r="24" spans="1:40" s="1" customFormat="1" ht="26.25" thickBot="1">
      <c r="A24" s="150" t="s">
        <v>91</v>
      </c>
      <c r="B24" s="506">
        <v>80000</v>
      </c>
      <c r="C24" s="507"/>
      <c r="D24" s="139"/>
      <c r="E24" s="140"/>
      <c r="F24" s="139"/>
      <c r="G24" s="141"/>
      <c r="H24" s="139"/>
      <c r="I24" s="141"/>
      <c r="J24" s="139"/>
      <c r="K24" s="141"/>
      <c r="L24" s="142"/>
      <c r="M24" s="141"/>
      <c r="N24" s="500"/>
      <c r="O24" s="501"/>
      <c r="P24" s="500"/>
      <c r="Q24" s="501"/>
      <c r="R24" s="500"/>
      <c r="S24" s="501"/>
      <c r="T24" s="500"/>
      <c r="U24" s="501"/>
      <c r="V24" s="500"/>
      <c r="W24" s="501"/>
      <c r="X24" s="145"/>
      <c r="Y24" s="146"/>
      <c r="Z24" s="143"/>
      <c r="AA24" s="144"/>
      <c r="AB24" s="143"/>
      <c r="AC24" s="144"/>
      <c r="AD24" s="143"/>
      <c r="AE24" s="144"/>
      <c r="AF24" s="143"/>
      <c r="AG24" s="144"/>
      <c r="AH24" s="147"/>
      <c r="AI24" s="148"/>
      <c r="AJ24" s="143"/>
      <c r="AK24" s="144"/>
      <c r="AL24" s="293">
        <f>B24+D24+F24+H24+J24+X24+AH24+L24</f>
        <v>80000</v>
      </c>
      <c r="AM24" s="279"/>
      <c r="AN24" s="23">
        <f>AL8+AL9+AL19+AL21+AL23+AL24</f>
        <v>264514676</v>
      </c>
    </row>
    <row r="25" spans="1:39" s="1" customFormat="1" ht="20.25" customHeight="1" thickBot="1">
      <c r="A25" s="107" t="s">
        <v>26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10"/>
      <c r="Y25" s="110"/>
      <c r="Z25" s="109"/>
      <c r="AA25" s="109"/>
      <c r="AB25" s="109"/>
      <c r="AC25" s="109"/>
      <c r="AD25" s="109"/>
      <c r="AE25" s="109"/>
      <c r="AF25" s="109"/>
      <c r="AG25" s="109"/>
      <c r="AH25" s="111"/>
      <c r="AI25" s="111"/>
      <c r="AJ25" s="108"/>
      <c r="AK25" s="108"/>
      <c r="AL25" s="438"/>
      <c r="AM25" s="439"/>
    </row>
    <row r="26" spans="1:39" ht="14.25" customHeight="1">
      <c r="A26" s="169" t="s">
        <v>45</v>
      </c>
      <c r="B26" s="169"/>
      <c r="C26" s="170"/>
      <c r="D26" s="169"/>
      <c r="E26" s="19"/>
      <c r="F26" s="169"/>
      <c r="G26" s="170"/>
      <c r="H26" s="169"/>
      <c r="I26" s="170"/>
      <c r="J26" s="169"/>
      <c r="K26" s="170"/>
      <c r="L26" s="171"/>
      <c r="M26" s="170"/>
      <c r="N26" s="173">
        <v>11.1</v>
      </c>
      <c r="O26" s="174" t="s">
        <v>4</v>
      </c>
      <c r="P26" s="173">
        <v>5.9</v>
      </c>
      <c r="Q26" s="174" t="s">
        <v>4</v>
      </c>
      <c r="R26" s="173">
        <v>2.5</v>
      </c>
      <c r="S26" s="174" t="s">
        <v>4</v>
      </c>
      <c r="T26" s="173">
        <v>2.2</v>
      </c>
      <c r="U26" s="174" t="s">
        <v>4</v>
      </c>
      <c r="V26" s="173"/>
      <c r="W26" s="174"/>
      <c r="X26" s="294">
        <f aca="true" t="shared" si="0" ref="X26:X31">V26+T26+R26+P26+N26</f>
        <v>21.700000000000003</v>
      </c>
      <c r="Y26" s="161" t="s">
        <v>4</v>
      </c>
      <c r="Z26" s="173">
        <v>10.4</v>
      </c>
      <c r="AA26" s="174" t="s">
        <v>4</v>
      </c>
      <c r="AB26" s="173">
        <v>2.2</v>
      </c>
      <c r="AC26" s="174" t="s">
        <v>4</v>
      </c>
      <c r="AD26" s="173">
        <v>1.9</v>
      </c>
      <c r="AE26" s="174" t="s">
        <v>4</v>
      </c>
      <c r="AF26" s="173">
        <v>1.5</v>
      </c>
      <c r="AG26" s="174" t="s">
        <v>4</v>
      </c>
      <c r="AH26" s="295">
        <f aca="true" t="shared" si="1" ref="AH26:AH41">Z26+AB26+AD26+AF26</f>
        <v>16</v>
      </c>
      <c r="AI26" s="296" t="s">
        <v>4</v>
      </c>
      <c r="AJ26" s="173"/>
      <c r="AK26" s="174"/>
      <c r="AL26" s="297">
        <f aca="true" t="shared" si="2" ref="AL26:AL41">B26+D26+F26+H26+J26+X26+AH26+L26</f>
        <v>37.7</v>
      </c>
      <c r="AM26" s="185" t="s">
        <v>4</v>
      </c>
    </row>
    <row r="27" spans="1:39" ht="14.25" customHeight="1" thickBot="1">
      <c r="A27" s="175" t="s">
        <v>161</v>
      </c>
      <c r="B27" s="470"/>
      <c r="C27" s="471"/>
      <c r="D27" s="470"/>
      <c r="E27" s="472"/>
      <c r="F27" s="470"/>
      <c r="G27" s="471"/>
      <c r="H27" s="470"/>
      <c r="I27" s="471"/>
      <c r="J27" s="470"/>
      <c r="K27" s="471"/>
      <c r="L27" s="470"/>
      <c r="M27" s="471"/>
      <c r="N27" s="397">
        <f>ROUND(N26*4469900*8/12,0)</f>
        <v>33077260</v>
      </c>
      <c r="O27" s="401"/>
      <c r="P27" s="397">
        <f>ROUND(P26*4469900*8/12,0)</f>
        <v>17581607</v>
      </c>
      <c r="Q27" s="401"/>
      <c r="R27" s="397">
        <f>ROUND(R26*4469900*8/12,0)</f>
        <v>7449833</v>
      </c>
      <c r="S27" s="401"/>
      <c r="T27" s="397">
        <f>ROUND(T26*4469900*8/12,0)</f>
        <v>6555853</v>
      </c>
      <c r="U27" s="401"/>
      <c r="V27" s="397"/>
      <c r="W27" s="401"/>
      <c r="X27" s="409">
        <f t="shared" si="0"/>
        <v>64664553</v>
      </c>
      <c r="Y27" s="410"/>
      <c r="Z27" s="397">
        <f>ROUND(Z26*4469900*8/12,0)</f>
        <v>30991307</v>
      </c>
      <c r="AA27" s="401"/>
      <c r="AB27" s="397">
        <f>ROUND(AB26*4469900*8/12,0)</f>
        <v>6555853</v>
      </c>
      <c r="AC27" s="401"/>
      <c r="AD27" s="397">
        <f>ROUND(AD26*4469900*8/12,0)</f>
        <v>5661873</v>
      </c>
      <c r="AE27" s="401"/>
      <c r="AF27" s="397">
        <f>ROUND(AF26*4469900*8/12,0)</f>
        <v>4469900</v>
      </c>
      <c r="AG27" s="401"/>
      <c r="AH27" s="443">
        <f t="shared" si="1"/>
        <v>47678933</v>
      </c>
      <c r="AI27" s="442"/>
      <c r="AJ27" s="397"/>
      <c r="AK27" s="401"/>
      <c r="AL27" s="298">
        <f t="shared" si="2"/>
        <v>112343486</v>
      </c>
      <c r="AM27" s="299"/>
    </row>
    <row r="28" spans="1:39" ht="14.25" customHeight="1">
      <c r="A28" s="176" t="s">
        <v>46</v>
      </c>
      <c r="B28" s="169"/>
      <c r="C28" s="170"/>
      <c r="D28" s="169"/>
      <c r="E28" s="19"/>
      <c r="F28" s="169"/>
      <c r="G28" s="170"/>
      <c r="H28" s="169"/>
      <c r="I28" s="170"/>
      <c r="J28" s="169"/>
      <c r="K28" s="170"/>
      <c r="L28" s="171"/>
      <c r="M28" s="170"/>
      <c r="N28" s="300">
        <v>11.2</v>
      </c>
      <c r="O28" s="157" t="s">
        <v>4</v>
      </c>
      <c r="P28" s="301">
        <v>5.6</v>
      </c>
      <c r="Q28" s="157" t="s">
        <v>4</v>
      </c>
      <c r="R28" s="300">
        <v>2.3</v>
      </c>
      <c r="S28" s="157" t="s">
        <v>4</v>
      </c>
      <c r="T28" s="300">
        <v>1.8</v>
      </c>
      <c r="U28" s="157" t="s">
        <v>4</v>
      </c>
      <c r="V28" s="173"/>
      <c r="W28" s="174"/>
      <c r="X28" s="294">
        <f t="shared" si="0"/>
        <v>20.9</v>
      </c>
      <c r="Y28" s="161" t="s">
        <v>4</v>
      </c>
      <c r="Z28" s="300">
        <v>10.8</v>
      </c>
      <c r="AA28" s="157" t="s">
        <v>4</v>
      </c>
      <c r="AB28" s="300">
        <v>2.2</v>
      </c>
      <c r="AC28" s="157" t="s">
        <v>4</v>
      </c>
      <c r="AD28" s="300">
        <v>1.8</v>
      </c>
      <c r="AE28" s="157" t="s">
        <v>4</v>
      </c>
      <c r="AF28" s="300">
        <v>1.5</v>
      </c>
      <c r="AG28" s="157" t="s">
        <v>4</v>
      </c>
      <c r="AH28" s="295">
        <f t="shared" si="1"/>
        <v>16.3</v>
      </c>
      <c r="AI28" s="296" t="s">
        <v>4</v>
      </c>
      <c r="AJ28" s="300"/>
      <c r="AK28" s="157"/>
      <c r="AL28" s="297">
        <f t="shared" si="2"/>
        <v>37.2</v>
      </c>
      <c r="AM28" s="185" t="s">
        <v>4</v>
      </c>
    </row>
    <row r="29" spans="1:39" ht="14.25" customHeight="1" thickBot="1">
      <c r="A29" s="175" t="s">
        <v>162</v>
      </c>
      <c r="B29" s="470"/>
      <c r="C29" s="471"/>
      <c r="D29" s="470"/>
      <c r="E29" s="472"/>
      <c r="F29" s="470"/>
      <c r="G29" s="471"/>
      <c r="H29" s="470"/>
      <c r="I29" s="471"/>
      <c r="J29" s="470"/>
      <c r="K29" s="471"/>
      <c r="L29" s="470"/>
      <c r="M29" s="471"/>
      <c r="N29" s="397">
        <f>ROUND(N28*4469900*4/12,0)</f>
        <v>16687627</v>
      </c>
      <c r="O29" s="401"/>
      <c r="P29" s="397">
        <f>ROUND(P28*4469900*4/12,0)</f>
        <v>8343813</v>
      </c>
      <c r="Q29" s="401"/>
      <c r="R29" s="397">
        <f>ROUND(R28*4469900*4/12,0)</f>
        <v>3426923</v>
      </c>
      <c r="S29" s="401"/>
      <c r="T29" s="397">
        <f>ROUND(T28*4469900*4/12,0)</f>
        <v>2681940</v>
      </c>
      <c r="U29" s="401"/>
      <c r="V29" s="397"/>
      <c r="W29" s="401"/>
      <c r="X29" s="409">
        <f t="shared" si="0"/>
        <v>31140303</v>
      </c>
      <c r="Y29" s="410"/>
      <c r="Z29" s="397">
        <f>ROUND(Z28*4469900*4/12,0)</f>
        <v>16091640</v>
      </c>
      <c r="AA29" s="401"/>
      <c r="AB29" s="397">
        <f>ROUND(AB28*4469900*4/12,0)</f>
        <v>3277927</v>
      </c>
      <c r="AC29" s="401"/>
      <c r="AD29" s="397">
        <f>ROUND(AD28*4469900*4/12,0)</f>
        <v>2681940</v>
      </c>
      <c r="AE29" s="401"/>
      <c r="AF29" s="397">
        <f>ROUND(AF28*4469900*4/12,0)</f>
        <v>2234950</v>
      </c>
      <c r="AG29" s="401"/>
      <c r="AH29" s="443">
        <f t="shared" si="1"/>
        <v>24286457</v>
      </c>
      <c r="AI29" s="442"/>
      <c r="AJ29" s="397"/>
      <c r="AK29" s="401"/>
      <c r="AL29" s="298">
        <f t="shared" si="2"/>
        <v>55426760</v>
      </c>
      <c r="AM29" s="299"/>
    </row>
    <row r="30" spans="1:39" ht="14.25" customHeight="1">
      <c r="A30" s="176" t="s">
        <v>163</v>
      </c>
      <c r="B30" s="169"/>
      <c r="C30" s="170"/>
      <c r="D30" s="169"/>
      <c r="E30" s="19"/>
      <c r="F30" s="169"/>
      <c r="G30" s="170"/>
      <c r="H30" s="169"/>
      <c r="I30" s="170"/>
      <c r="J30" s="169"/>
      <c r="K30" s="170"/>
      <c r="L30" s="171"/>
      <c r="M30" s="170"/>
      <c r="N30" s="300">
        <f>N28</f>
        <v>11.2</v>
      </c>
      <c r="O30" s="157" t="s">
        <v>4</v>
      </c>
      <c r="P30" s="302">
        <f>P28</f>
        <v>5.6</v>
      </c>
      <c r="Q30" s="157" t="s">
        <v>4</v>
      </c>
      <c r="R30" s="300">
        <f>R28</f>
        <v>2.3</v>
      </c>
      <c r="S30" s="157" t="s">
        <v>4</v>
      </c>
      <c r="T30" s="300">
        <f>T28</f>
        <v>1.8</v>
      </c>
      <c r="U30" s="157" t="s">
        <v>4</v>
      </c>
      <c r="V30" s="173"/>
      <c r="W30" s="174"/>
      <c r="X30" s="294">
        <f t="shared" si="0"/>
        <v>20.9</v>
      </c>
      <c r="Y30" s="161" t="s">
        <v>4</v>
      </c>
      <c r="Z30" s="300">
        <f>Z28</f>
        <v>10.8</v>
      </c>
      <c r="AA30" s="157" t="s">
        <v>4</v>
      </c>
      <c r="AB30" s="300">
        <f>AB28</f>
        <v>2.2</v>
      </c>
      <c r="AC30" s="157" t="s">
        <v>4</v>
      </c>
      <c r="AD30" s="300">
        <f>AD28</f>
        <v>1.8</v>
      </c>
      <c r="AE30" s="157" t="s">
        <v>4</v>
      </c>
      <c r="AF30" s="300">
        <f>AF28</f>
        <v>1.5</v>
      </c>
      <c r="AG30" s="157" t="s">
        <v>4</v>
      </c>
      <c r="AH30" s="295">
        <f t="shared" si="1"/>
        <v>16.3</v>
      </c>
      <c r="AI30" s="296" t="s">
        <v>4</v>
      </c>
      <c r="AJ30" s="300"/>
      <c r="AK30" s="157"/>
      <c r="AL30" s="297">
        <f t="shared" si="2"/>
        <v>37.2</v>
      </c>
      <c r="AM30" s="185" t="s">
        <v>4</v>
      </c>
    </row>
    <row r="31" spans="1:39" ht="14.25" customHeight="1" thickBot="1">
      <c r="A31" s="175" t="s">
        <v>164</v>
      </c>
      <c r="B31" s="470"/>
      <c r="C31" s="471"/>
      <c r="D31" s="470"/>
      <c r="E31" s="472"/>
      <c r="F31" s="470"/>
      <c r="G31" s="471"/>
      <c r="H31" s="470"/>
      <c r="I31" s="471"/>
      <c r="J31" s="470"/>
      <c r="K31" s="471"/>
      <c r="L31" s="470"/>
      <c r="M31" s="471"/>
      <c r="N31" s="397">
        <f>ROUND(N30*38200,0)</f>
        <v>427840</v>
      </c>
      <c r="O31" s="401"/>
      <c r="P31" s="397">
        <f>ROUND(P30*38200,0)</f>
        <v>213920</v>
      </c>
      <c r="Q31" s="401"/>
      <c r="R31" s="397">
        <f>ROUND(R30*38200,0)</f>
        <v>87860</v>
      </c>
      <c r="S31" s="401"/>
      <c r="T31" s="397">
        <f>ROUND(T30*38200,0)</f>
        <v>68760</v>
      </c>
      <c r="U31" s="401"/>
      <c r="V31" s="397"/>
      <c r="W31" s="401"/>
      <c r="X31" s="409">
        <f t="shared" si="0"/>
        <v>798380</v>
      </c>
      <c r="Y31" s="410"/>
      <c r="Z31" s="397">
        <f>ROUND(Z30*38200,0)</f>
        <v>412560</v>
      </c>
      <c r="AA31" s="401"/>
      <c r="AB31" s="397">
        <f>ROUND(AB30*38200,0)</f>
        <v>84040</v>
      </c>
      <c r="AC31" s="401"/>
      <c r="AD31" s="397">
        <f>ROUND(AD30*38200,0)</f>
        <v>68760</v>
      </c>
      <c r="AE31" s="401"/>
      <c r="AF31" s="397">
        <f>ROUND(AF30*38200,0)</f>
        <v>57300</v>
      </c>
      <c r="AG31" s="401"/>
      <c r="AH31" s="443">
        <f t="shared" si="1"/>
        <v>622660</v>
      </c>
      <c r="AI31" s="442"/>
      <c r="AJ31" s="397"/>
      <c r="AK31" s="401"/>
      <c r="AL31" s="298">
        <f t="shared" si="2"/>
        <v>1421040</v>
      </c>
      <c r="AM31" s="299"/>
    </row>
    <row r="32" spans="1:39" ht="14.25" customHeight="1">
      <c r="A32" s="177" t="s">
        <v>47</v>
      </c>
      <c r="B32" s="178"/>
      <c r="C32" s="179"/>
      <c r="D32" s="178"/>
      <c r="E32" s="14"/>
      <c r="F32" s="178"/>
      <c r="G32" s="179"/>
      <c r="H32" s="178"/>
      <c r="I32" s="179"/>
      <c r="J32" s="178"/>
      <c r="K32" s="179"/>
      <c r="L32" s="180"/>
      <c r="M32" s="179"/>
      <c r="N32" s="300">
        <v>7</v>
      </c>
      <c r="O32" s="303" t="s">
        <v>4</v>
      </c>
      <c r="P32" s="173">
        <v>4</v>
      </c>
      <c r="Q32" s="303" t="s">
        <v>4</v>
      </c>
      <c r="R32" s="173">
        <v>2</v>
      </c>
      <c r="S32" s="303" t="s">
        <v>4</v>
      </c>
      <c r="T32" s="173">
        <v>1</v>
      </c>
      <c r="U32" s="303" t="s">
        <v>4</v>
      </c>
      <c r="V32" s="304"/>
      <c r="W32" s="303"/>
      <c r="X32" s="160">
        <f>V32+T32++R32+P32+N32</f>
        <v>14</v>
      </c>
      <c r="Y32" s="161" t="s">
        <v>4</v>
      </c>
      <c r="Z32" s="173">
        <v>8</v>
      </c>
      <c r="AA32" s="303" t="s">
        <v>4</v>
      </c>
      <c r="AB32" s="173">
        <v>1</v>
      </c>
      <c r="AC32" s="303" t="s">
        <v>4</v>
      </c>
      <c r="AD32" s="173">
        <v>1</v>
      </c>
      <c r="AE32" s="303" t="s">
        <v>4</v>
      </c>
      <c r="AF32" s="173">
        <v>1</v>
      </c>
      <c r="AG32" s="303" t="s">
        <v>4</v>
      </c>
      <c r="AH32" s="295">
        <f t="shared" si="1"/>
        <v>11</v>
      </c>
      <c r="AI32" s="296" t="s">
        <v>4</v>
      </c>
      <c r="AJ32" s="173"/>
      <c r="AK32" s="303"/>
      <c r="AL32" s="305">
        <f t="shared" si="2"/>
        <v>25</v>
      </c>
      <c r="AM32" s="291" t="s">
        <v>4</v>
      </c>
    </row>
    <row r="33" spans="1:39" ht="14.25" customHeight="1" thickBot="1">
      <c r="A33" s="164" t="s">
        <v>48</v>
      </c>
      <c r="B33" s="470"/>
      <c r="C33" s="471"/>
      <c r="D33" s="470"/>
      <c r="E33" s="472"/>
      <c r="F33" s="470"/>
      <c r="G33" s="471"/>
      <c r="H33" s="470"/>
      <c r="I33" s="471"/>
      <c r="J33" s="470"/>
      <c r="K33" s="471"/>
      <c r="L33" s="470"/>
      <c r="M33" s="471"/>
      <c r="N33" s="397">
        <f>ROUND(N32*1800000*8/12,0)</f>
        <v>8400000</v>
      </c>
      <c r="O33" s="401"/>
      <c r="P33" s="397">
        <f>ROUND(P32*1800000*8/12,0)</f>
        <v>4800000</v>
      </c>
      <c r="Q33" s="401"/>
      <c r="R33" s="397">
        <f>ROUND(R32*1800000*8/12,0)</f>
        <v>2400000</v>
      </c>
      <c r="S33" s="401"/>
      <c r="T33" s="397">
        <f>ROUND(T32*1800000*8/12,0)</f>
        <v>1200000</v>
      </c>
      <c r="U33" s="401"/>
      <c r="V33" s="399"/>
      <c r="W33" s="400"/>
      <c r="X33" s="409">
        <f>V33+T33+R33+P33+N33</f>
        <v>16800000</v>
      </c>
      <c r="Y33" s="410"/>
      <c r="Z33" s="397">
        <f>ROUND(Z32*1800000*8/12,0)</f>
        <v>9600000</v>
      </c>
      <c r="AA33" s="401"/>
      <c r="AB33" s="397">
        <f>ROUND(AB32*1800000*8/12,0)</f>
        <v>1200000</v>
      </c>
      <c r="AC33" s="401"/>
      <c r="AD33" s="397">
        <f>ROUND(AD32*1800000*8/12,0)</f>
        <v>1200000</v>
      </c>
      <c r="AE33" s="401"/>
      <c r="AF33" s="397">
        <f>ROUND(AF32*1800000*8/12,0)</f>
        <v>1200000</v>
      </c>
      <c r="AG33" s="401"/>
      <c r="AH33" s="443">
        <f t="shared" si="1"/>
        <v>13200000</v>
      </c>
      <c r="AI33" s="442"/>
      <c r="AJ33" s="397"/>
      <c r="AK33" s="401"/>
      <c r="AL33" s="306">
        <f t="shared" si="2"/>
        <v>30000000</v>
      </c>
      <c r="AM33" s="185"/>
    </row>
    <row r="34" spans="1:39" ht="14.25" customHeight="1">
      <c r="A34" s="177" t="s">
        <v>47</v>
      </c>
      <c r="B34" s="178"/>
      <c r="C34" s="179"/>
      <c r="D34" s="178"/>
      <c r="E34" s="14"/>
      <c r="F34" s="178"/>
      <c r="G34" s="179"/>
      <c r="H34" s="178"/>
      <c r="I34" s="179"/>
      <c r="J34" s="178"/>
      <c r="K34" s="179"/>
      <c r="L34" s="180"/>
      <c r="M34" s="179"/>
      <c r="N34" s="300">
        <v>7</v>
      </c>
      <c r="O34" s="303" t="s">
        <v>4</v>
      </c>
      <c r="P34" s="173">
        <v>4</v>
      </c>
      <c r="Q34" s="303" t="s">
        <v>4</v>
      </c>
      <c r="R34" s="173">
        <v>2</v>
      </c>
      <c r="S34" s="303" t="s">
        <v>4</v>
      </c>
      <c r="T34" s="173">
        <v>1</v>
      </c>
      <c r="U34" s="303" t="s">
        <v>4</v>
      </c>
      <c r="V34" s="304"/>
      <c r="W34" s="303"/>
      <c r="X34" s="160">
        <f>V34+T34++R34+P34+N34</f>
        <v>14</v>
      </c>
      <c r="Y34" s="161" t="s">
        <v>4</v>
      </c>
      <c r="Z34" s="173">
        <v>8</v>
      </c>
      <c r="AA34" s="303" t="s">
        <v>4</v>
      </c>
      <c r="AB34" s="173">
        <v>1</v>
      </c>
      <c r="AC34" s="303" t="s">
        <v>4</v>
      </c>
      <c r="AD34" s="173">
        <v>1</v>
      </c>
      <c r="AE34" s="303" t="s">
        <v>4</v>
      </c>
      <c r="AF34" s="173">
        <v>1</v>
      </c>
      <c r="AG34" s="303" t="s">
        <v>4</v>
      </c>
      <c r="AH34" s="295">
        <f t="shared" si="1"/>
        <v>11</v>
      </c>
      <c r="AI34" s="296" t="s">
        <v>4</v>
      </c>
      <c r="AJ34" s="173"/>
      <c r="AK34" s="303"/>
      <c r="AL34" s="305">
        <f t="shared" si="2"/>
        <v>25</v>
      </c>
      <c r="AM34" s="291" t="s">
        <v>4</v>
      </c>
    </row>
    <row r="35" spans="1:39" ht="14.25" customHeight="1" thickBot="1">
      <c r="A35" s="164" t="s">
        <v>92</v>
      </c>
      <c r="B35" s="470"/>
      <c r="C35" s="471"/>
      <c r="D35" s="470"/>
      <c r="E35" s="472"/>
      <c r="F35" s="470"/>
      <c r="G35" s="471"/>
      <c r="H35" s="470"/>
      <c r="I35" s="471"/>
      <c r="J35" s="470"/>
      <c r="K35" s="471"/>
      <c r="L35" s="470"/>
      <c r="M35" s="471"/>
      <c r="N35" s="397">
        <f>ROUND(N34*1800000*4/12,0)</f>
        <v>4200000</v>
      </c>
      <c r="O35" s="401"/>
      <c r="P35" s="397">
        <f>ROUND(P34*1800000*4/12,0)</f>
        <v>2400000</v>
      </c>
      <c r="Q35" s="401"/>
      <c r="R35" s="397">
        <f>ROUND(R34*1800000*4/12,0)</f>
        <v>1200000</v>
      </c>
      <c r="S35" s="401"/>
      <c r="T35" s="397">
        <f>ROUND(T34*1800000*4/12,0)</f>
        <v>600000</v>
      </c>
      <c r="U35" s="401"/>
      <c r="V35" s="399"/>
      <c r="W35" s="400"/>
      <c r="X35" s="409">
        <f>V35+T35+R35+P35+N35</f>
        <v>8400000</v>
      </c>
      <c r="Y35" s="410"/>
      <c r="Z35" s="397">
        <f>ROUND(Z34*1800000*4/12,0)</f>
        <v>4800000</v>
      </c>
      <c r="AA35" s="401"/>
      <c r="AB35" s="397">
        <f>ROUND(AB34*1800000*4/12,0)</f>
        <v>600000</v>
      </c>
      <c r="AC35" s="401"/>
      <c r="AD35" s="397">
        <f>ROUND(AD34*1800000*4/12,0)</f>
        <v>600000</v>
      </c>
      <c r="AE35" s="401"/>
      <c r="AF35" s="397">
        <f>ROUND(AF34*1800000*4/12,0)</f>
        <v>600000</v>
      </c>
      <c r="AG35" s="401"/>
      <c r="AH35" s="443">
        <f t="shared" si="1"/>
        <v>6600000</v>
      </c>
      <c r="AI35" s="442"/>
      <c r="AJ35" s="397"/>
      <c r="AK35" s="401"/>
      <c r="AL35" s="306">
        <f t="shared" si="2"/>
        <v>15000000</v>
      </c>
      <c r="AM35" s="185"/>
    </row>
    <row r="36" spans="1:39" ht="14.25" customHeight="1">
      <c r="A36" s="468" t="s">
        <v>165</v>
      </c>
      <c r="B36" s="182"/>
      <c r="C36" s="183"/>
      <c r="D36" s="182"/>
      <c r="E36" s="13"/>
      <c r="F36" s="182"/>
      <c r="G36" s="183"/>
      <c r="H36" s="182"/>
      <c r="I36" s="183"/>
      <c r="J36" s="182"/>
      <c r="K36" s="183"/>
      <c r="L36" s="180"/>
      <c r="M36" s="183"/>
      <c r="N36" s="300">
        <v>123</v>
      </c>
      <c r="O36" s="157" t="s">
        <v>4</v>
      </c>
      <c r="P36" s="300">
        <v>64</v>
      </c>
      <c r="Q36" s="157" t="s">
        <v>4</v>
      </c>
      <c r="R36" s="300">
        <v>28</v>
      </c>
      <c r="S36" s="157" t="s">
        <v>4</v>
      </c>
      <c r="T36" s="173">
        <v>24</v>
      </c>
      <c r="U36" s="174" t="s">
        <v>4</v>
      </c>
      <c r="V36" s="304"/>
      <c r="W36" s="303"/>
      <c r="X36" s="160">
        <f>V36+T36++R36+P36+N36</f>
        <v>239</v>
      </c>
      <c r="Y36" s="161" t="s">
        <v>4</v>
      </c>
      <c r="Z36" s="300">
        <v>114</v>
      </c>
      <c r="AA36" s="157" t="s">
        <v>4</v>
      </c>
      <c r="AB36" s="300">
        <v>25</v>
      </c>
      <c r="AC36" s="157" t="s">
        <v>4</v>
      </c>
      <c r="AD36" s="300">
        <v>20</v>
      </c>
      <c r="AE36" s="157" t="s">
        <v>4</v>
      </c>
      <c r="AF36" s="173">
        <v>16</v>
      </c>
      <c r="AG36" s="174" t="s">
        <v>4</v>
      </c>
      <c r="AH36" s="295">
        <f t="shared" si="1"/>
        <v>175</v>
      </c>
      <c r="AI36" s="296" t="s">
        <v>4</v>
      </c>
      <c r="AJ36" s="173"/>
      <c r="AK36" s="174"/>
      <c r="AL36" s="305">
        <f t="shared" si="2"/>
        <v>414</v>
      </c>
      <c r="AM36" s="291" t="s">
        <v>4</v>
      </c>
    </row>
    <row r="37" spans="1:39" ht="14.25" customHeight="1" thickBot="1">
      <c r="A37" s="469"/>
      <c r="B37" s="470"/>
      <c r="C37" s="471"/>
      <c r="D37" s="470"/>
      <c r="E37" s="472"/>
      <c r="F37" s="470"/>
      <c r="G37" s="471"/>
      <c r="H37" s="470"/>
      <c r="I37" s="471"/>
      <c r="J37" s="470"/>
      <c r="K37" s="471"/>
      <c r="L37" s="470"/>
      <c r="M37" s="471"/>
      <c r="N37" s="397">
        <f>ROUND(N36*81700*8/12,0)</f>
        <v>6699400</v>
      </c>
      <c r="O37" s="401"/>
      <c r="P37" s="397">
        <f>ROUND(P36*81700*8/12,0)</f>
        <v>3485867</v>
      </c>
      <c r="Q37" s="401"/>
      <c r="R37" s="397">
        <f>ROUND(R36*81700*8/12,0)</f>
        <v>1525067</v>
      </c>
      <c r="S37" s="401"/>
      <c r="T37" s="397">
        <f>ROUND(T36*81700*8/12,0)</f>
        <v>1307200</v>
      </c>
      <c r="U37" s="401"/>
      <c r="V37" s="399"/>
      <c r="W37" s="400"/>
      <c r="X37" s="409">
        <f>V37+T37+R37+P37+N37</f>
        <v>13017534</v>
      </c>
      <c r="Y37" s="410"/>
      <c r="Z37" s="397">
        <f>ROUND(Z36*81700*8/12,0)</f>
        <v>6209200</v>
      </c>
      <c r="AA37" s="401"/>
      <c r="AB37" s="397">
        <f>ROUND(AB36*81700*8/12,0)</f>
        <v>1361667</v>
      </c>
      <c r="AC37" s="401"/>
      <c r="AD37" s="397">
        <f>ROUND(AD36*81700*8/12,0)</f>
        <v>1089333</v>
      </c>
      <c r="AE37" s="401"/>
      <c r="AF37" s="397">
        <f>ROUND(AF36*81700*8/12,0)</f>
        <v>871467</v>
      </c>
      <c r="AG37" s="401"/>
      <c r="AH37" s="443">
        <f t="shared" si="1"/>
        <v>9531667</v>
      </c>
      <c r="AI37" s="442"/>
      <c r="AJ37" s="397"/>
      <c r="AK37" s="401"/>
      <c r="AL37" s="306">
        <f t="shared" si="2"/>
        <v>22549201</v>
      </c>
      <c r="AM37" s="185"/>
    </row>
    <row r="38" spans="1:39" ht="14.25" customHeight="1">
      <c r="A38" s="468" t="s">
        <v>166</v>
      </c>
      <c r="B38" s="182"/>
      <c r="C38" s="183"/>
      <c r="D38" s="182"/>
      <c r="E38" s="13"/>
      <c r="F38" s="182"/>
      <c r="G38" s="183"/>
      <c r="H38" s="182"/>
      <c r="I38" s="183"/>
      <c r="J38" s="182"/>
      <c r="K38" s="183"/>
      <c r="L38" s="180"/>
      <c r="M38" s="183"/>
      <c r="N38" s="173">
        <v>125</v>
      </c>
      <c r="O38" s="174" t="s">
        <v>4</v>
      </c>
      <c r="P38" s="173">
        <v>62</v>
      </c>
      <c r="Q38" s="174" t="s">
        <v>4</v>
      </c>
      <c r="R38" s="173">
        <v>26</v>
      </c>
      <c r="S38" s="174" t="s">
        <v>4</v>
      </c>
      <c r="T38" s="173">
        <v>20</v>
      </c>
      <c r="U38" s="174" t="s">
        <v>4</v>
      </c>
      <c r="V38" s="304"/>
      <c r="W38" s="303"/>
      <c r="X38" s="160">
        <f>V38+T38++R38+P38+N38</f>
        <v>233</v>
      </c>
      <c r="Y38" s="161" t="s">
        <v>4</v>
      </c>
      <c r="Z38" s="173">
        <v>121</v>
      </c>
      <c r="AA38" s="174" t="s">
        <v>4</v>
      </c>
      <c r="AB38" s="173">
        <v>25</v>
      </c>
      <c r="AC38" s="174" t="s">
        <v>4</v>
      </c>
      <c r="AD38" s="173">
        <v>20</v>
      </c>
      <c r="AE38" s="174" t="s">
        <v>4</v>
      </c>
      <c r="AF38" s="173">
        <v>16</v>
      </c>
      <c r="AG38" s="174" t="s">
        <v>4</v>
      </c>
      <c r="AH38" s="295">
        <f t="shared" si="1"/>
        <v>182</v>
      </c>
      <c r="AI38" s="296" t="s">
        <v>4</v>
      </c>
      <c r="AJ38" s="173"/>
      <c r="AK38" s="174"/>
      <c r="AL38" s="307">
        <f t="shared" si="2"/>
        <v>415</v>
      </c>
      <c r="AM38" s="291" t="s">
        <v>4</v>
      </c>
    </row>
    <row r="39" spans="1:39" ht="14.25" customHeight="1" thickBot="1">
      <c r="A39" s="469"/>
      <c r="B39" s="470"/>
      <c r="C39" s="471"/>
      <c r="D39" s="470"/>
      <c r="E39" s="472"/>
      <c r="F39" s="470"/>
      <c r="G39" s="471"/>
      <c r="H39" s="470"/>
      <c r="I39" s="471"/>
      <c r="J39" s="470"/>
      <c r="K39" s="471"/>
      <c r="L39" s="470"/>
      <c r="M39" s="471"/>
      <c r="N39" s="397">
        <f>ROUND(N38*81700*4/12,0)</f>
        <v>3404167</v>
      </c>
      <c r="O39" s="401"/>
      <c r="P39" s="397">
        <f>ROUND(P38*81700*4/12,0)</f>
        <v>1688467</v>
      </c>
      <c r="Q39" s="401"/>
      <c r="R39" s="397">
        <f>ROUND(R38*81700*4/12,0)</f>
        <v>708067</v>
      </c>
      <c r="S39" s="401"/>
      <c r="T39" s="397">
        <f>ROUND(T38*81700*4/12,0)</f>
        <v>544667</v>
      </c>
      <c r="U39" s="401"/>
      <c r="V39" s="399"/>
      <c r="W39" s="400"/>
      <c r="X39" s="409">
        <f>V39+T39+R39+P39+N39</f>
        <v>6345368</v>
      </c>
      <c r="Y39" s="410"/>
      <c r="Z39" s="397">
        <f>ROUND(Z38*81700*4/12,0)</f>
        <v>3295233</v>
      </c>
      <c r="AA39" s="401"/>
      <c r="AB39" s="397">
        <f>ROUND(AB38*81700*4/12,0)</f>
        <v>680833</v>
      </c>
      <c r="AC39" s="401"/>
      <c r="AD39" s="397">
        <f>ROUND(AD38*81700*4/12,0)</f>
        <v>544667</v>
      </c>
      <c r="AE39" s="401"/>
      <c r="AF39" s="397">
        <f>ROUND(AF38*81700*4/12,0)</f>
        <v>435733</v>
      </c>
      <c r="AG39" s="401"/>
      <c r="AH39" s="443">
        <f t="shared" si="1"/>
        <v>4956466</v>
      </c>
      <c r="AI39" s="442"/>
      <c r="AJ39" s="397"/>
      <c r="AK39" s="401"/>
      <c r="AL39" s="306">
        <f t="shared" si="2"/>
        <v>11301834</v>
      </c>
      <c r="AM39" s="185"/>
    </row>
    <row r="40" spans="1:39" ht="14.25" customHeight="1">
      <c r="A40" s="176" t="s">
        <v>167</v>
      </c>
      <c r="B40" s="169"/>
      <c r="C40" s="170"/>
      <c r="D40" s="169"/>
      <c r="E40" s="19"/>
      <c r="F40" s="169"/>
      <c r="G40" s="170"/>
      <c r="H40" s="169"/>
      <c r="I40" s="170"/>
      <c r="J40" s="169"/>
      <c r="K40" s="170"/>
      <c r="L40" s="171"/>
      <c r="M40" s="170"/>
      <c r="N40" s="300">
        <v>1</v>
      </c>
      <c r="O40" s="157" t="s">
        <v>4</v>
      </c>
      <c r="P40" s="302">
        <v>2</v>
      </c>
      <c r="Q40" s="157" t="s">
        <v>4</v>
      </c>
      <c r="R40" s="300"/>
      <c r="S40" s="157" t="s">
        <v>4</v>
      </c>
      <c r="T40" s="300"/>
      <c r="U40" s="157" t="s">
        <v>4</v>
      </c>
      <c r="V40" s="173"/>
      <c r="W40" s="174"/>
      <c r="X40" s="294">
        <f>V40+T40+R40+P40+N40</f>
        <v>3</v>
      </c>
      <c r="Y40" s="161" t="s">
        <v>4</v>
      </c>
      <c r="Z40" s="300">
        <v>3</v>
      </c>
      <c r="AA40" s="157" t="s">
        <v>4</v>
      </c>
      <c r="AB40" s="302">
        <v>1</v>
      </c>
      <c r="AC40" s="157" t="s">
        <v>4</v>
      </c>
      <c r="AD40" s="300"/>
      <c r="AE40" s="157" t="s">
        <v>4</v>
      </c>
      <c r="AF40" s="300"/>
      <c r="AG40" s="157" t="s">
        <v>4</v>
      </c>
      <c r="AH40" s="295">
        <f t="shared" si="1"/>
        <v>4</v>
      </c>
      <c r="AI40" s="296" t="s">
        <v>4</v>
      </c>
      <c r="AJ40" s="300"/>
      <c r="AK40" s="157"/>
      <c r="AL40" s="308">
        <f t="shared" si="2"/>
        <v>7</v>
      </c>
      <c r="AM40" s="291" t="s">
        <v>4</v>
      </c>
    </row>
    <row r="41" spans="1:40" ht="14.25" customHeight="1" thickBot="1">
      <c r="A41" s="169" t="s">
        <v>168</v>
      </c>
      <c r="B41" s="466"/>
      <c r="C41" s="467"/>
      <c r="D41" s="466"/>
      <c r="E41" s="481"/>
      <c r="F41" s="466"/>
      <c r="G41" s="467"/>
      <c r="H41" s="466"/>
      <c r="I41" s="467"/>
      <c r="J41" s="466"/>
      <c r="K41" s="467"/>
      <c r="L41" s="466"/>
      <c r="M41" s="467"/>
      <c r="N41" s="402">
        <f>ROUND(1*418900,0)</f>
        <v>418900</v>
      </c>
      <c r="O41" s="408"/>
      <c r="P41" s="402">
        <f>ROUND(2*418900,0)</f>
        <v>837800</v>
      </c>
      <c r="Q41" s="408"/>
      <c r="R41" s="402">
        <v>0</v>
      </c>
      <c r="S41" s="408"/>
      <c r="T41" s="402">
        <v>0</v>
      </c>
      <c r="U41" s="408"/>
      <c r="V41" s="402"/>
      <c r="W41" s="408"/>
      <c r="X41" s="404">
        <f>V41+T41+R41+P41+N41</f>
        <v>1256700</v>
      </c>
      <c r="Y41" s="405"/>
      <c r="Z41" s="402">
        <f>ROUND(3*418900,0)</f>
        <v>1256700</v>
      </c>
      <c r="AA41" s="408"/>
      <c r="AB41" s="402">
        <f>ROUND(AB40*418900,0)</f>
        <v>418900</v>
      </c>
      <c r="AC41" s="408"/>
      <c r="AD41" s="402">
        <f>ROUND(AD40*384000,0)</f>
        <v>0</v>
      </c>
      <c r="AE41" s="408"/>
      <c r="AF41" s="402">
        <f>ROUND(AF40*384000,0)</f>
        <v>0</v>
      </c>
      <c r="AG41" s="408"/>
      <c r="AH41" s="444">
        <f t="shared" si="1"/>
        <v>1675600</v>
      </c>
      <c r="AI41" s="445"/>
      <c r="AJ41" s="402"/>
      <c r="AK41" s="408"/>
      <c r="AL41" s="306">
        <f t="shared" si="2"/>
        <v>2932300</v>
      </c>
      <c r="AM41" s="185"/>
      <c r="AN41" s="3">
        <f>AL41+AL39+AL37+AL35+AL33+AL31+AL29+AL27</f>
        <v>250974621</v>
      </c>
    </row>
    <row r="42" spans="1:39" s="1" customFormat="1" ht="20.25" customHeight="1" thickBot="1">
      <c r="A42" s="107" t="s">
        <v>49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10"/>
      <c r="Y42" s="110"/>
      <c r="Z42" s="109"/>
      <c r="AA42" s="109"/>
      <c r="AB42" s="109"/>
      <c r="AC42" s="109"/>
      <c r="AD42" s="109"/>
      <c r="AE42" s="109"/>
      <c r="AF42" s="109"/>
      <c r="AG42" s="109"/>
      <c r="AH42" s="111"/>
      <c r="AI42" s="111"/>
      <c r="AJ42" s="108"/>
      <c r="AK42" s="108"/>
      <c r="AL42" s="438"/>
      <c r="AM42" s="439"/>
    </row>
    <row r="43" spans="1:39" ht="16.5" customHeight="1">
      <c r="A43" s="178" t="s">
        <v>169</v>
      </c>
      <c r="B43" s="182"/>
      <c r="C43" s="183"/>
      <c r="D43" s="182"/>
      <c r="E43" s="13"/>
      <c r="F43" s="182"/>
      <c r="G43" s="183"/>
      <c r="H43" s="182"/>
      <c r="I43" s="183"/>
      <c r="J43" s="182"/>
      <c r="K43" s="183"/>
      <c r="L43" s="158"/>
      <c r="M43" s="159"/>
      <c r="N43" s="158"/>
      <c r="O43" s="174"/>
      <c r="P43" s="158"/>
      <c r="Q43" s="174"/>
      <c r="R43" s="158"/>
      <c r="S43" s="174"/>
      <c r="T43" s="158"/>
      <c r="U43" s="174"/>
      <c r="V43" s="158"/>
      <c r="W43" s="159"/>
      <c r="X43" s="160"/>
      <c r="Y43" s="161"/>
      <c r="Z43" s="158"/>
      <c r="AA43" s="159"/>
      <c r="AB43" s="158"/>
      <c r="AC43" s="159"/>
      <c r="AD43" s="158"/>
      <c r="AE43" s="159"/>
      <c r="AF43" s="158"/>
      <c r="AG43" s="159"/>
      <c r="AH43" s="162"/>
      <c r="AI43" s="163"/>
      <c r="AJ43" s="158"/>
      <c r="AK43" s="159"/>
      <c r="AL43" s="184">
        <f aca="true" t="shared" si="3" ref="AL43:AL69">B43+D43+F43+H43+J43+X43+AH43+L43</f>
        <v>0</v>
      </c>
      <c r="AM43" s="185"/>
    </row>
    <row r="44" spans="1:39" ht="16.5" customHeight="1" thickBot="1">
      <c r="A44" s="164"/>
      <c r="B44" s="455"/>
      <c r="C44" s="456"/>
      <c r="D44" s="460"/>
      <c r="E44" s="461"/>
      <c r="F44" s="460"/>
      <c r="G44" s="462"/>
      <c r="H44" s="460"/>
      <c r="I44" s="462"/>
      <c r="J44" s="460"/>
      <c r="K44" s="462"/>
      <c r="L44" s="397"/>
      <c r="M44" s="401"/>
      <c r="N44" s="397"/>
      <c r="O44" s="398"/>
      <c r="P44" s="397"/>
      <c r="Q44" s="398"/>
      <c r="R44" s="397"/>
      <c r="S44" s="398"/>
      <c r="T44" s="397"/>
      <c r="U44" s="398"/>
      <c r="V44" s="399"/>
      <c r="W44" s="400"/>
      <c r="X44" s="409"/>
      <c r="Y44" s="410"/>
      <c r="Z44" s="397"/>
      <c r="AA44" s="401"/>
      <c r="AB44" s="397"/>
      <c r="AC44" s="401"/>
      <c r="AD44" s="397"/>
      <c r="AE44" s="401"/>
      <c r="AF44" s="397"/>
      <c r="AG44" s="401"/>
      <c r="AH44" s="443"/>
      <c r="AI44" s="442"/>
      <c r="AJ44" s="397"/>
      <c r="AK44" s="401"/>
      <c r="AL44" s="276">
        <f t="shared" si="3"/>
        <v>0</v>
      </c>
      <c r="AM44" s="185"/>
    </row>
    <row r="45" spans="1:39" ht="16.5" customHeight="1">
      <c r="A45" s="177" t="s">
        <v>50</v>
      </c>
      <c r="B45" s="181"/>
      <c r="C45" s="188"/>
      <c r="D45" s="181"/>
      <c r="E45" s="189"/>
      <c r="F45" s="181"/>
      <c r="G45" s="188"/>
      <c r="H45" s="181"/>
      <c r="I45" s="188"/>
      <c r="J45" s="181"/>
      <c r="K45" s="188"/>
      <c r="L45" s="158"/>
      <c r="M45" s="159"/>
      <c r="N45" s="156"/>
      <c r="O45" s="157"/>
      <c r="P45" s="156"/>
      <c r="Q45" s="157"/>
      <c r="R45" s="156"/>
      <c r="S45" s="157"/>
      <c r="T45" s="156"/>
      <c r="U45" s="157"/>
      <c r="V45" s="158"/>
      <c r="W45" s="159"/>
      <c r="X45" s="160"/>
      <c r="Y45" s="161"/>
      <c r="Z45" s="158"/>
      <c r="AA45" s="159"/>
      <c r="AB45" s="158"/>
      <c r="AC45" s="159"/>
      <c r="AD45" s="158"/>
      <c r="AE45" s="159"/>
      <c r="AF45" s="158"/>
      <c r="AG45" s="159"/>
      <c r="AH45" s="162"/>
      <c r="AI45" s="163"/>
      <c r="AJ45" s="158"/>
      <c r="AK45" s="159"/>
      <c r="AL45" s="309">
        <f t="shared" si="3"/>
        <v>0</v>
      </c>
      <c r="AM45" s="291"/>
    </row>
    <row r="46" spans="1:39" ht="16.5" customHeight="1" thickBot="1">
      <c r="A46" s="164" t="s">
        <v>97</v>
      </c>
      <c r="B46" s="455">
        <v>68267000</v>
      </c>
      <c r="C46" s="456"/>
      <c r="D46" s="187"/>
      <c r="E46" s="196"/>
      <c r="F46" s="187"/>
      <c r="G46" s="197"/>
      <c r="H46" s="187"/>
      <c r="I46" s="197"/>
      <c r="J46" s="187"/>
      <c r="K46" s="197"/>
      <c r="L46" s="397"/>
      <c r="M46" s="401"/>
      <c r="N46" s="397"/>
      <c r="O46" s="398"/>
      <c r="P46" s="397"/>
      <c r="Q46" s="398"/>
      <c r="R46" s="397"/>
      <c r="S46" s="398"/>
      <c r="T46" s="397"/>
      <c r="U46" s="398"/>
      <c r="V46" s="399"/>
      <c r="W46" s="400"/>
      <c r="X46" s="409"/>
      <c r="Y46" s="410"/>
      <c r="Z46" s="397"/>
      <c r="AA46" s="401"/>
      <c r="AB46" s="397"/>
      <c r="AC46" s="401"/>
      <c r="AD46" s="397"/>
      <c r="AE46" s="401"/>
      <c r="AF46" s="397"/>
      <c r="AG46" s="401"/>
      <c r="AH46" s="443"/>
      <c r="AI46" s="442"/>
      <c r="AJ46" s="397"/>
      <c r="AK46" s="401"/>
      <c r="AL46" s="276">
        <f t="shared" si="3"/>
        <v>68267000</v>
      </c>
      <c r="AM46" s="185"/>
    </row>
    <row r="47" spans="1:39" ht="16.5" customHeight="1">
      <c r="A47" s="177" t="s">
        <v>98</v>
      </c>
      <c r="B47" s="180"/>
      <c r="C47" s="183"/>
      <c r="D47" s="182"/>
      <c r="E47" s="13"/>
      <c r="F47" s="182"/>
      <c r="G47" s="183"/>
      <c r="H47" s="182"/>
      <c r="I47" s="183"/>
      <c r="J47" s="182"/>
      <c r="K47" s="183"/>
      <c r="L47" s="310">
        <v>4</v>
      </c>
      <c r="M47" s="311" t="s">
        <v>4</v>
      </c>
      <c r="N47" s="158"/>
      <c r="O47" s="159"/>
      <c r="P47" s="158"/>
      <c r="Q47" s="159"/>
      <c r="R47" s="158"/>
      <c r="S47" s="159"/>
      <c r="T47" s="158"/>
      <c r="U47" s="159"/>
      <c r="V47" s="158"/>
      <c r="W47" s="159"/>
      <c r="X47" s="186"/>
      <c r="Y47" s="20"/>
      <c r="Z47" s="158"/>
      <c r="AA47" s="159"/>
      <c r="AB47" s="158"/>
      <c r="AC47" s="159"/>
      <c r="AD47" s="158"/>
      <c r="AE47" s="159"/>
      <c r="AF47" s="158"/>
      <c r="AG47" s="159"/>
      <c r="AH47" s="162"/>
      <c r="AI47" s="163"/>
      <c r="AJ47" s="158"/>
      <c r="AK47" s="159"/>
      <c r="AL47" s="309">
        <f t="shared" si="3"/>
        <v>4</v>
      </c>
      <c r="AM47" s="291" t="s">
        <v>4</v>
      </c>
    </row>
    <row r="48" spans="1:40" ht="16.5" customHeight="1" thickBot="1">
      <c r="A48" s="164" t="s">
        <v>99</v>
      </c>
      <c r="B48" s="455"/>
      <c r="C48" s="456"/>
      <c r="D48" s="460"/>
      <c r="E48" s="461"/>
      <c r="F48" s="460"/>
      <c r="G48" s="462"/>
      <c r="H48" s="460"/>
      <c r="I48" s="462"/>
      <c r="J48" s="460"/>
      <c r="K48" s="462"/>
      <c r="L48" s="399">
        <f>L47*3000000</f>
        <v>12000000</v>
      </c>
      <c r="M48" s="400"/>
      <c r="N48" s="397"/>
      <c r="O48" s="398"/>
      <c r="P48" s="397"/>
      <c r="Q48" s="398"/>
      <c r="R48" s="397"/>
      <c r="S48" s="398"/>
      <c r="T48" s="397"/>
      <c r="U48" s="398"/>
      <c r="V48" s="397"/>
      <c r="W48" s="401"/>
      <c r="X48" s="409"/>
      <c r="Y48" s="410"/>
      <c r="Z48" s="397"/>
      <c r="AA48" s="401"/>
      <c r="AB48" s="397"/>
      <c r="AC48" s="401"/>
      <c r="AD48" s="397"/>
      <c r="AE48" s="401"/>
      <c r="AF48" s="397"/>
      <c r="AG48" s="401"/>
      <c r="AH48" s="443"/>
      <c r="AI48" s="442"/>
      <c r="AJ48" s="397"/>
      <c r="AK48" s="401"/>
      <c r="AL48" s="306">
        <f t="shared" si="3"/>
        <v>12000000</v>
      </c>
      <c r="AM48" s="185"/>
      <c r="AN48" s="3"/>
    </row>
    <row r="49" spans="1:39" ht="15.75" customHeight="1">
      <c r="A49" s="177" t="s">
        <v>100</v>
      </c>
      <c r="B49" s="182"/>
      <c r="C49" s="183"/>
      <c r="D49" s="182"/>
      <c r="E49" s="13"/>
      <c r="F49" s="182"/>
      <c r="G49" s="183"/>
      <c r="H49" s="182"/>
      <c r="I49" s="183"/>
      <c r="J49" s="182"/>
      <c r="K49" s="183"/>
      <c r="L49" s="310">
        <v>3.5</v>
      </c>
      <c r="M49" s="311" t="s">
        <v>4</v>
      </c>
      <c r="N49" s="158"/>
      <c r="O49" s="159"/>
      <c r="P49" s="158"/>
      <c r="Q49" s="159"/>
      <c r="R49" s="158"/>
      <c r="S49" s="159"/>
      <c r="T49" s="158"/>
      <c r="U49" s="159"/>
      <c r="V49" s="158"/>
      <c r="W49" s="159"/>
      <c r="X49" s="186"/>
      <c r="Y49" s="20"/>
      <c r="Z49" s="158"/>
      <c r="AA49" s="159"/>
      <c r="AB49" s="158"/>
      <c r="AC49" s="159"/>
      <c r="AD49" s="158"/>
      <c r="AE49" s="159"/>
      <c r="AF49" s="158"/>
      <c r="AG49" s="159"/>
      <c r="AH49" s="162"/>
      <c r="AI49" s="163"/>
      <c r="AJ49" s="158"/>
      <c r="AK49" s="159"/>
      <c r="AL49" s="305">
        <f t="shared" si="3"/>
        <v>3.5</v>
      </c>
      <c r="AM49" s="291" t="s">
        <v>4</v>
      </c>
    </row>
    <row r="50" spans="1:39" ht="16.5" customHeight="1" thickBot="1">
      <c r="A50" s="164" t="s">
        <v>99</v>
      </c>
      <c r="B50" s="455"/>
      <c r="C50" s="456"/>
      <c r="D50" s="460"/>
      <c r="E50" s="461"/>
      <c r="F50" s="460"/>
      <c r="G50" s="462"/>
      <c r="H50" s="460"/>
      <c r="I50" s="462"/>
      <c r="J50" s="460"/>
      <c r="K50" s="462"/>
      <c r="L50" s="399">
        <f>L49*3000000</f>
        <v>10500000</v>
      </c>
      <c r="M50" s="400"/>
      <c r="N50" s="397"/>
      <c r="O50" s="398"/>
      <c r="P50" s="397"/>
      <c r="Q50" s="398"/>
      <c r="R50" s="397"/>
      <c r="S50" s="398"/>
      <c r="T50" s="397"/>
      <c r="U50" s="398"/>
      <c r="V50" s="397"/>
      <c r="W50" s="401"/>
      <c r="X50" s="409"/>
      <c r="Y50" s="410"/>
      <c r="Z50" s="397"/>
      <c r="AA50" s="401"/>
      <c r="AB50" s="397"/>
      <c r="AC50" s="401"/>
      <c r="AD50" s="397"/>
      <c r="AE50" s="401"/>
      <c r="AF50" s="397"/>
      <c r="AG50" s="401"/>
      <c r="AH50" s="443"/>
      <c r="AI50" s="442"/>
      <c r="AJ50" s="397"/>
      <c r="AK50" s="401"/>
      <c r="AL50" s="306">
        <f t="shared" si="3"/>
        <v>10500000</v>
      </c>
      <c r="AM50" s="185"/>
    </row>
    <row r="51" spans="1:41" ht="16.5" customHeight="1">
      <c r="A51" s="177" t="s">
        <v>51</v>
      </c>
      <c r="B51" s="182"/>
      <c r="C51" s="183"/>
      <c r="D51" s="182"/>
      <c r="E51" s="13"/>
      <c r="F51" s="182"/>
      <c r="G51" s="183"/>
      <c r="H51" s="182"/>
      <c r="I51" s="183"/>
      <c r="J51" s="182"/>
      <c r="K51" s="183"/>
      <c r="L51" s="158">
        <v>93</v>
      </c>
      <c r="M51" s="311" t="s">
        <v>4</v>
      </c>
      <c r="N51" s="158"/>
      <c r="O51" s="159"/>
      <c r="P51" s="158"/>
      <c r="Q51" s="159"/>
      <c r="R51" s="158"/>
      <c r="S51" s="159"/>
      <c r="T51" s="158"/>
      <c r="U51" s="159"/>
      <c r="V51" s="158"/>
      <c r="W51" s="159"/>
      <c r="X51" s="186"/>
      <c r="Y51" s="20"/>
      <c r="Z51" s="158"/>
      <c r="AA51" s="159"/>
      <c r="AB51" s="158"/>
      <c r="AC51" s="159"/>
      <c r="AD51" s="158"/>
      <c r="AE51" s="159"/>
      <c r="AF51" s="158"/>
      <c r="AG51" s="159"/>
      <c r="AH51" s="162"/>
      <c r="AI51" s="163"/>
      <c r="AJ51" s="158"/>
      <c r="AK51" s="159"/>
      <c r="AL51" s="305">
        <f t="shared" si="3"/>
        <v>93</v>
      </c>
      <c r="AM51" s="291" t="s">
        <v>4</v>
      </c>
      <c r="AO51" s="6" t="s">
        <v>170</v>
      </c>
    </row>
    <row r="52" spans="1:41" ht="16.5" customHeight="1" thickBot="1">
      <c r="A52" s="187" t="s">
        <v>52</v>
      </c>
      <c r="B52" s="455"/>
      <c r="C52" s="456"/>
      <c r="D52" s="460"/>
      <c r="E52" s="461"/>
      <c r="F52" s="460"/>
      <c r="G52" s="462"/>
      <c r="H52" s="460"/>
      <c r="I52" s="462"/>
      <c r="J52" s="460"/>
      <c r="K52" s="462"/>
      <c r="L52" s="399">
        <f>L51*55360</f>
        <v>5148480</v>
      </c>
      <c r="M52" s="400"/>
      <c r="N52" s="397"/>
      <c r="O52" s="398"/>
      <c r="P52" s="397"/>
      <c r="Q52" s="398"/>
      <c r="R52" s="397"/>
      <c r="S52" s="398"/>
      <c r="T52" s="397"/>
      <c r="U52" s="398"/>
      <c r="V52" s="397"/>
      <c r="W52" s="401"/>
      <c r="X52" s="409"/>
      <c r="Y52" s="410"/>
      <c r="Z52" s="397"/>
      <c r="AA52" s="401"/>
      <c r="AB52" s="397"/>
      <c r="AC52" s="401"/>
      <c r="AD52" s="397"/>
      <c r="AE52" s="401"/>
      <c r="AF52" s="397"/>
      <c r="AG52" s="401"/>
      <c r="AH52" s="443"/>
      <c r="AI52" s="442"/>
      <c r="AJ52" s="397"/>
      <c r="AK52" s="401"/>
      <c r="AL52" s="306">
        <f t="shared" si="3"/>
        <v>5148480</v>
      </c>
      <c r="AM52" s="185"/>
      <c r="AN52" s="3"/>
      <c r="AO52" s="2">
        <f>AL51*5536</f>
        <v>514848</v>
      </c>
    </row>
    <row r="53" spans="1:41" ht="16.5" customHeight="1">
      <c r="A53" s="177" t="s">
        <v>53</v>
      </c>
      <c r="B53" s="182"/>
      <c r="C53" s="183"/>
      <c r="D53" s="182"/>
      <c r="E53" s="13"/>
      <c r="F53" s="182"/>
      <c r="G53" s="183"/>
      <c r="H53" s="182"/>
      <c r="I53" s="183"/>
      <c r="J53" s="182"/>
      <c r="K53" s="183"/>
      <c r="L53" s="158">
        <v>17</v>
      </c>
      <c r="M53" s="311" t="s">
        <v>4</v>
      </c>
      <c r="N53" s="158"/>
      <c r="O53" s="159"/>
      <c r="P53" s="158"/>
      <c r="Q53" s="159"/>
      <c r="R53" s="158"/>
      <c r="S53" s="159"/>
      <c r="T53" s="158"/>
      <c r="U53" s="159"/>
      <c r="V53" s="158"/>
      <c r="W53" s="159"/>
      <c r="X53" s="186"/>
      <c r="Y53" s="20"/>
      <c r="Z53" s="158"/>
      <c r="AA53" s="159"/>
      <c r="AB53" s="158"/>
      <c r="AC53" s="159"/>
      <c r="AD53" s="158"/>
      <c r="AE53" s="159"/>
      <c r="AF53" s="158"/>
      <c r="AG53" s="159"/>
      <c r="AH53" s="162"/>
      <c r="AI53" s="163"/>
      <c r="AJ53" s="158"/>
      <c r="AK53" s="159"/>
      <c r="AL53" s="305">
        <f t="shared" si="3"/>
        <v>17</v>
      </c>
      <c r="AM53" s="291" t="s">
        <v>4</v>
      </c>
      <c r="AO53" s="2" t="s">
        <v>171</v>
      </c>
    </row>
    <row r="54" spans="1:41" ht="16.5" customHeight="1" thickBot="1">
      <c r="A54" s="164" t="s">
        <v>172</v>
      </c>
      <c r="B54" s="455"/>
      <c r="C54" s="456"/>
      <c r="D54" s="460"/>
      <c r="E54" s="461"/>
      <c r="F54" s="460"/>
      <c r="G54" s="462"/>
      <c r="H54" s="460"/>
      <c r="I54" s="462"/>
      <c r="J54" s="460"/>
      <c r="K54" s="462"/>
      <c r="L54" s="399">
        <f>L53*210000</f>
        <v>3570000</v>
      </c>
      <c r="M54" s="400"/>
      <c r="N54" s="397"/>
      <c r="O54" s="398"/>
      <c r="P54" s="397"/>
      <c r="Q54" s="398"/>
      <c r="R54" s="397"/>
      <c r="S54" s="398"/>
      <c r="T54" s="397"/>
      <c r="U54" s="398"/>
      <c r="V54" s="397"/>
      <c r="W54" s="401"/>
      <c r="X54" s="409"/>
      <c r="Y54" s="410"/>
      <c r="Z54" s="397"/>
      <c r="AA54" s="401"/>
      <c r="AB54" s="397"/>
      <c r="AC54" s="401"/>
      <c r="AD54" s="397"/>
      <c r="AE54" s="401"/>
      <c r="AF54" s="397"/>
      <c r="AG54" s="401"/>
      <c r="AH54" s="443"/>
      <c r="AI54" s="442"/>
      <c r="AJ54" s="397"/>
      <c r="AK54" s="401"/>
      <c r="AL54" s="306">
        <f t="shared" si="3"/>
        <v>3570000</v>
      </c>
      <c r="AM54" s="185"/>
      <c r="AO54" s="2">
        <f>17*63000</f>
        <v>1071000</v>
      </c>
    </row>
    <row r="55" spans="1:41" ht="16.5" customHeight="1">
      <c r="A55" s="177" t="s">
        <v>54</v>
      </c>
      <c r="B55" s="182"/>
      <c r="C55" s="183"/>
      <c r="D55" s="182"/>
      <c r="E55" s="13"/>
      <c r="F55" s="182"/>
      <c r="G55" s="183"/>
      <c r="H55" s="182"/>
      <c r="I55" s="183"/>
      <c r="J55" s="182"/>
      <c r="K55" s="183"/>
      <c r="L55" s="158">
        <v>59</v>
      </c>
      <c r="M55" s="311" t="s">
        <v>4</v>
      </c>
      <c r="N55" s="158"/>
      <c r="O55" s="159"/>
      <c r="P55" s="158"/>
      <c r="Q55" s="159"/>
      <c r="R55" s="158"/>
      <c r="S55" s="159"/>
      <c r="T55" s="158"/>
      <c r="U55" s="159"/>
      <c r="V55" s="158"/>
      <c r="W55" s="159"/>
      <c r="X55" s="186"/>
      <c r="Y55" s="20"/>
      <c r="Z55" s="158"/>
      <c r="AA55" s="159"/>
      <c r="AB55" s="158"/>
      <c r="AC55" s="159"/>
      <c r="AD55" s="158"/>
      <c r="AE55" s="159"/>
      <c r="AF55" s="158"/>
      <c r="AG55" s="159"/>
      <c r="AH55" s="162"/>
      <c r="AI55" s="163"/>
      <c r="AJ55" s="158"/>
      <c r="AK55" s="159"/>
      <c r="AL55" s="305">
        <f t="shared" si="3"/>
        <v>59</v>
      </c>
      <c r="AM55" s="291" t="s">
        <v>4</v>
      </c>
      <c r="AO55" s="2" t="s">
        <v>173</v>
      </c>
    </row>
    <row r="56" spans="1:41" ht="16.5" customHeight="1" thickBot="1">
      <c r="A56" s="187" t="s">
        <v>55</v>
      </c>
      <c r="B56" s="455"/>
      <c r="C56" s="456"/>
      <c r="D56" s="460"/>
      <c r="E56" s="461"/>
      <c r="F56" s="460"/>
      <c r="G56" s="462"/>
      <c r="H56" s="460"/>
      <c r="I56" s="462"/>
      <c r="J56" s="460"/>
      <c r="K56" s="462"/>
      <c r="L56" s="399">
        <f>L55*109000</f>
        <v>6431000</v>
      </c>
      <c r="M56" s="400"/>
      <c r="N56" s="402"/>
      <c r="O56" s="403"/>
      <c r="P56" s="402"/>
      <c r="Q56" s="403"/>
      <c r="R56" s="402"/>
      <c r="S56" s="403"/>
      <c r="T56" s="402"/>
      <c r="U56" s="403"/>
      <c r="V56" s="402"/>
      <c r="W56" s="408"/>
      <c r="X56" s="409"/>
      <c r="Y56" s="410"/>
      <c r="Z56" s="397"/>
      <c r="AA56" s="401"/>
      <c r="AB56" s="397"/>
      <c r="AC56" s="401"/>
      <c r="AD56" s="397"/>
      <c r="AE56" s="401"/>
      <c r="AF56" s="397"/>
      <c r="AG56" s="401"/>
      <c r="AH56" s="443"/>
      <c r="AI56" s="442"/>
      <c r="AJ56" s="397"/>
      <c r="AK56" s="401"/>
      <c r="AL56" s="306">
        <f t="shared" si="3"/>
        <v>6431000</v>
      </c>
      <c r="AM56" s="185"/>
      <c r="AN56" s="3"/>
      <c r="AO56" s="2">
        <f>59*54500</f>
        <v>3215500</v>
      </c>
    </row>
    <row r="57" spans="1:41" ht="16.5" customHeight="1">
      <c r="A57" s="181" t="s">
        <v>56</v>
      </c>
      <c r="B57" s="181"/>
      <c r="C57" s="188"/>
      <c r="D57" s="181"/>
      <c r="E57" s="189"/>
      <c r="F57" s="181"/>
      <c r="G57" s="188"/>
      <c r="H57" s="181"/>
      <c r="I57" s="188"/>
      <c r="J57" s="181"/>
      <c r="K57" s="188"/>
      <c r="L57" s="158">
        <v>43</v>
      </c>
      <c r="M57" s="312" t="s">
        <v>4</v>
      </c>
      <c r="N57" s="156"/>
      <c r="O57" s="157"/>
      <c r="P57" s="156"/>
      <c r="Q57" s="157"/>
      <c r="R57" s="156"/>
      <c r="S57" s="157"/>
      <c r="T57" s="156"/>
      <c r="U57" s="157"/>
      <c r="V57" s="158"/>
      <c r="W57" s="159"/>
      <c r="X57" s="186"/>
      <c r="Y57" s="20"/>
      <c r="Z57" s="158"/>
      <c r="AA57" s="159"/>
      <c r="AB57" s="158"/>
      <c r="AC57" s="159"/>
      <c r="AD57" s="158"/>
      <c r="AE57" s="159"/>
      <c r="AF57" s="158"/>
      <c r="AG57" s="159"/>
      <c r="AH57" s="162"/>
      <c r="AI57" s="163"/>
      <c r="AJ57" s="158"/>
      <c r="AK57" s="159"/>
      <c r="AL57" s="305">
        <f t="shared" si="3"/>
        <v>43</v>
      </c>
      <c r="AM57" s="291" t="s">
        <v>4</v>
      </c>
      <c r="AO57" s="2" t="s">
        <v>174</v>
      </c>
    </row>
    <row r="58" spans="1:41" ht="16.5" customHeight="1" thickBot="1">
      <c r="A58" s="187" t="s">
        <v>57</v>
      </c>
      <c r="B58" s="455"/>
      <c r="C58" s="456"/>
      <c r="D58" s="460"/>
      <c r="E58" s="461"/>
      <c r="F58" s="460"/>
      <c r="G58" s="462"/>
      <c r="H58" s="460"/>
      <c r="I58" s="462"/>
      <c r="J58" s="460"/>
      <c r="K58" s="462"/>
      <c r="L58" s="399">
        <f>L57*206100</f>
        <v>8862300</v>
      </c>
      <c r="M58" s="400"/>
      <c r="N58" s="397"/>
      <c r="O58" s="401"/>
      <c r="P58" s="397"/>
      <c r="Q58" s="401"/>
      <c r="R58" s="397"/>
      <c r="S58" s="401"/>
      <c r="T58" s="397"/>
      <c r="U58" s="401"/>
      <c r="V58" s="397"/>
      <c r="W58" s="401"/>
      <c r="X58" s="409"/>
      <c r="Y58" s="410"/>
      <c r="Z58" s="397"/>
      <c r="AA58" s="401"/>
      <c r="AB58" s="397"/>
      <c r="AC58" s="401"/>
      <c r="AD58" s="397"/>
      <c r="AE58" s="401"/>
      <c r="AF58" s="397"/>
      <c r="AG58" s="401"/>
      <c r="AH58" s="443"/>
      <c r="AI58" s="442"/>
      <c r="AJ58" s="397"/>
      <c r="AK58" s="401"/>
      <c r="AL58" s="306">
        <f t="shared" si="3"/>
        <v>8862300</v>
      </c>
      <c r="AM58" s="185"/>
      <c r="AO58" s="2">
        <f>43*41220</f>
        <v>1772460</v>
      </c>
    </row>
    <row r="59" spans="1:39" ht="16.5" customHeight="1">
      <c r="A59" s="177" t="s">
        <v>58</v>
      </c>
      <c r="B59" s="182"/>
      <c r="C59" s="183"/>
      <c r="D59" s="182"/>
      <c r="E59" s="13"/>
      <c r="F59" s="182"/>
      <c r="G59" s="183"/>
      <c r="H59" s="182"/>
      <c r="I59" s="183"/>
      <c r="J59" s="182"/>
      <c r="K59" s="183"/>
      <c r="L59" s="158"/>
      <c r="M59" s="312"/>
      <c r="N59" s="158"/>
      <c r="O59" s="159"/>
      <c r="P59" s="158"/>
      <c r="Q59" s="159"/>
      <c r="R59" s="158"/>
      <c r="S59" s="159"/>
      <c r="T59" s="158"/>
      <c r="U59" s="159"/>
      <c r="V59" s="158">
        <v>19</v>
      </c>
      <c r="W59" s="159" t="s">
        <v>4</v>
      </c>
      <c r="X59" s="160">
        <f>V59+T59++R59+P59+N59</f>
        <v>19</v>
      </c>
      <c r="Y59" s="161" t="s">
        <v>4</v>
      </c>
      <c r="Z59" s="158"/>
      <c r="AA59" s="159"/>
      <c r="AB59" s="158"/>
      <c r="AC59" s="159"/>
      <c r="AD59" s="158"/>
      <c r="AE59" s="159"/>
      <c r="AF59" s="158"/>
      <c r="AG59" s="159"/>
      <c r="AH59" s="162"/>
      <c r="AI59" s="163"/>
      <c r="AJ59" s="158"/>
      <c r="AK59" s="159"/>
      <c r="AL59" s="305">
        <f t="shared" si="3"/>
        <v>19</v>
      </c>
      <c r="AM59" s="291" t="s">
        <v>4</v>
      </c>
    </row>
    <row r="60" spans="1:39" ht="16.5" customHeight="1" thickBot="1">
      <c r="A60" s="187" t="s">
        <v>59</v>
      </c>
      <c r="B60" s="455"/>
      <c r="C60" s="456"/>
      <c r="D60" s="460"/>
      <c r="E60" s="461"/>
      <c r="F60" s="460"/>
      <c r="G60" s="462"/>
      <c r="H60" s="460"/>
      <c r="I60" s="462"/>
      <c r="J60" s="460"/>
      <c r="K60" s="462"/>
      <c r="L60" s="397"/>
      <c r="M60" s="401"/>
      <c r="N60" s="399"/>
      <c r="O60" s="400"/>
      <c r="P60" s="397"/>
      <c r="Q60" s="398"/>
      <c r="R60" s="397"/>
      <c r="S60" s="398"/>
      <c r="T60" s="397"/>
      <c r="U60" s="398"/>
      <c r="V60" s="399">
        <f>V59*494100</f>
        <v>9387900</v>
      </c>
      <c r="W60" s="400"/>
      <c r="X60" s="409">
        <f>V60+T60+R60+P60+N60</f>
        <v>9387900</v>
      </c>
      <c r="Y60" s="410"/>
      <c r="Z60" s="397"/>
      <c r="AA60" s="401"/>
      <c r="AB60" s="397"/>
      <c r="AC60" s="401"/>
      <c r="AD60" s="397"/>
      <c r="AE60" s="401"/>
      <c r="AF60" s="397"/>
      <c r="AG60" s="401"/>
      <c r="AH60" s="443"/>
      <c r="AI60" s="442"/>
      <c r="AJ60" s="397"/>
      <c r="AK60" s="401"/>
      <c r="AL60" s="306">
        <f t="shared" si="3"/>
        <v>9387900</v>
      </c>
      <c r="AM60" s="185"/>
    </row>
    <row r="61" spans="1:41" ht="16.5" customHeight="1">
      <c r="A61" s="181" t="s">
        <v>60</v>
      </c>
      <c r="B61" s="181"/>
      <c r="C61" s="188"/>
      <c r="D61" s="181"/>
      <c r="E61" s="189"/>
      <c r="F61" s="181"/>
      <c r="G61" s="188"/>
      <c r="H61" s="181"/>
      <c r="I61" s="188"/>
      <c r="J61" s="181"/>
      <c r="K61" s="188"/>
      <c r="L61" s="158">
        <v>25</v>
      </c>
      <c r="M61" s="311" t="s">
        <v>4</v>
      </c>
      <c r="N61" s="156"/>
      <c r="O61" s="157"/>
      <c r="P61" s="156"/>
      <c r="Q61" s="157"/>
      <c r="R61" s="156"/>
      <c r="S61" s="157"/>
      <c r="T61" s="156"/>
      <c r="U61" s="157"/>
      <c r="V61" s="158"/>
      <c r="W61" s="159"/>
      <c r="X61" s="186"/>
      <c r="Y61" s="20"/>
      <c r="Z61" s="158"/>
      <c r="AA61" s="159"/>
      <c r="AB61" s="158"/>
      <c r="AC61" s="159"/>
      <c r="AD61" s="158"/>
      <c r="AE61" s="159"/>
      <c r="AF61" s="158"/>
      <c r="AG61" s="159"/>
      <c r="AH61" s="162"/>
      <c r="AI61" s="163"/>
      <c r="AJ61" s="158"/>
      <c r="AK61" s="159"/>
      <c r="AL61" s="305">
        <f t="shared" si="3"/>
        <v>25</v>
      </c>
      <c r="AM61" s="291" t="s">
        <v>4</v>
      </c>
      <c r="AO61" s="2" t="s">
        <v>175</v>
      </c>
    </row>
    <row r="62" spans="1:41" ht="16.5" customHeight="1" thickBot="1">
      <c r="A62" s="187" t="s">
        <v>61</v>
      </c>
      <c r="B62" s="455"/>
      <c r="C62" s="456"/>
      <c r="D62" s="460"/>
      <c r="E62" s="461"/>
      <c r="F62" s="460"/>
      <c r="G62" s="462"/>
      <c r="H62" s="460"/>
      <c r="I62" s="462"/>
      <c r="J62" s="460"/>
      <c r="K62" s="462"/>
      <c r="L62" s="399">
        <f>L61*468350</f>
        <v>11708750</v>
      </c>
      <c r="M62" s="400"/>
      <c r="N62" s="397"/>
      <c r="O62" s="401"/>
      <c r="P62" s="397"/>
      <c r="Q62" s="401"/>
      <c r="R62" s="397"/>
      <c r="S62" s="401"/>
      <c r="T62" s="397"/>
      <c r="U62" s="401"/>
      <c r="V62" s="397"/>
      <c r="W62" s="401"/>
      <c r="X62" s="409"/>
      <c r="Y62" s="410"/>
      <c r="Z62" s="397"/>
      <c r="AA62" s="401"/>
      <c r="AB62" s="397"/>
      <c r="AC62" s="401"/>
      <c r="AD62" s="397"/>
      <c r="AE62" s="401"/>
      <c r="AF62" s="397"/>
      <c r="AG62" s="401"/>
      <c r="AH62" s="443"/>
      <c r="AI62" s="442"/>
      <c r="AJ62" s="397"/>
      <c r="AK62" s="401"/>
      <c r="AL62" s="306">
        <f t="shared" si="3"/>
        <v>11708750</v>
      </c>
      <c r="AM62" s="185"/>
      <c r="AN62" s="3"/>
      <c r="AO62" s="2">
        <f>25*46835</f>
        <v>1170875</v>
      </c>
    </row>
    <row r="63" spans="1:39" ht="18.75" customHeight="1">
      <c r="A63" s="463" t="s">
        <v>101</v>
      </c>
      <c r="B63" s="190"/>
      <c r="C63" s="191"/>
      <c r="D63" s="190"/>
      <c r="E63" s="21"/>
      <c r="F63" s="190"/>
      <c r="G63" s="191"/>
      <c r="H63" s="190"/>
      <c r="I63" s="191"/>
      <c r="J63" s="190"/>
      <c r="K63" s="191"/>
      <c r="L63" s="158">
        <v>8</v>
      </c>
      <c r="M63" s="311" t="s">
        <v>4</v>
      </c>
      <c r="N63" s="158"/>
      <c r="O63" s="159"/>
      <c r="P63" s="158"/>
      <c r="Q63" s="159"/>
      <c r="R63" s="158"/>
      <c r="S63" s="159"/>
      <c r="T63" s="158"/>
      <c r="U63" s="159"/>
      <c r="V63" s="158"/>
      <c r="W63" s="159"/>
      <c r="X63" s="186"/>
      <c r="Y63" s="20"/>
      <c r="Z63" s="158"/>
      <c r="AA63" s="159"/>
      <c r="AB63" s="158"/>
      <c r="AC63" s="159"/>
      <c r="AD63" s="158"/>
      <c r="AE63" s="159"/>
      <c r="AF63" s="158"/>
      <c r="AG63" s="159"/>
      <c r="AH63" s="162"/>
      <c r="AI63" s="163"/>
      <c r="AJ63" s="158"/>
      <c r="AK63" s="159"/>
      <c r="AL63" s="309">
        <f t="shared" si="3"/>
        <v>8</v>
      </c>
      <c r="AM63" s="291" t="s">
        <v>4</v>
      </c>
    </row>
    <row r="64" spans="1:39" ht="16.5" customHeight="1" thickBot="1">
      <c r="A64" s="464"/>
      <c r="B64" s="455"/>
      <c r="C64" s="456"/>
      <c r="D64" s="460"/>
      <c r="E64" s="461"/>
      <c r="F64" s="460"/>
      <c r="G64" s="462"/>
      <c r="H64" s="460"/>
      <c r="I64" s="462"/>
      <c r="J64" s="460"/>
      <c r="K64" s="462"/>
      <c r="L64" s="399">
        <f>L63*2606040</f>
        <v>20848320</v>
      </c>
      <c r="M64" s="400"/>
      <c r="N64" s="397"/>
      <c r="O64" s="398"/>
      <c r="P64" s="397"/>
      <c r="Q64" s="398"/>
      <c r="R64" s="397"/>
      <c r="S64" s="398"/>
      <c r="T64" s="397"/>
      <c r="U64" s="398"/>
      <c r="V64" s="397"/>
      <c r="W64" s="401"/>
      <c r="X64" s="409"/>
      <c r="Y64" s="410"/>
      <c r="Z64" s="397"/>
      <c r="AA64" s="401"/>
      <c r="AB64" s="397"/>
      <c r="AC64" s="401"/>
      <c r="AD64" s="397"/>
      <c r="AE64" s="401"/>
      <c r="AF64" s="397"/>
      <c r="AG64" s="401"/>
      <c r="AH64" s="443"/>
      <c r="AI64" s="442"/>
      <c r="AJ64" s="397"/>
      <c r="AK64" s="401"/>
      <c r="AL64" s="306">
        <f t="shared" si="3"/>
        <v>20848320</v>
      </c>
      <c r="AM64" s="185"/>
    </row>
    <row r="65" spans="1:39" ht="16.5" customHeight="1">
      <c r="A65" s="463" t="s">
        <v>102</v>
      </c>
      <c r="B65" s="182"/>
      <c r="C65" s="183"/>
      <c r="D65" s="182"/>
      <c r="E65" s="13"/>
      <c r="F65" s="182"/>
      <c r="G65" s="183"/>
      <c r="H65" s="182"/>
      <c r="I65" s="183"/>
      <c r="J65" s="182"/>
      <c r="K65" s="183"/>
      <c r="L65" s="158"/>
      <c r="M65" s="311"/>
      <c r="N65" s="158"/>
      <c r="O65" s="159"/>
      <c r="P65" s="158"/>
      <c r="Q65" s="159"/>
      <c r="R65" s="158"/>
      <c r="S65" s="159"/>
      <c r="T65" s="158"/>
      <c r="U65" s="159"/>
      <c r="V65" s="158"/>
      <c r="W65" s="159"/>
      <c r="X65" s="186"/>
      <c r="Y65" s="20"/>
      <c r="Z65" s="158"/>
      <c r="AA65" s="159"/>
      <c r="AB65" s="158"/>
      <c r="AC65" s="159"/>
      <c r="AD65" s="158"/>
      <c r="AE65" s="159"/>
      <c r="AF65" s="158"/>
      <c r="AG65" s="159"/>
      <c r="AH65" s="162"/>
      <c r="AI65" s="163"/>
      <c r="AJ65" s="158"/>
      <c r="AK65" s="159"/>
      <c r="AL65" s="309">
        <f t="shared" si="3"/>
        <v>0</v>
      </c>
      <c r="AM65" s="291" t="s">
        <v>4</v>
      </c>
    </row>
    <row r="66" spans="1:40" ht="16.5" customHeight="1" thickBot="1">
      <c r="A66" s="464"/>
      <c r="B66" s="455"/>
      <c r="C66" s="456"/>
      <c r="D66" s="460"/>
      <c r="E66" s="461"/>
      <c r="F66" s="460"/>
      <c r="G66" s="462"/>
      <c r="H66" s="460"/>
      <c r="I66" s="462"/>
      <c r="J66" s="460"/>
      <c r="K66" s="462"/>
      <c r="L66" s="399">
        <v>1913000</v>
      </c>
      <c r="M66" s="400"/>
      <c r="N66" s="397"/>
      <c r="O66" s="398"/>
      <c r="P66" s="397"/>
      <c r="Q66" s="398"/>
      <c r="R66" s="397"/>
      <c r="S66" s="398"/>
      <c r="T66" s="397"/>
      <c r="U66" s="398"/>
      <c r="V66" s="397"/>
      <c r="W66" s="401"/>
      <c r="X66" s="409"/>
      <c r="Y66" s="410"/>
      <c r="Z66" s="397"/>
      <c r="AA66" s="401"/>
      <c r="AB66" s="397"/>
      <c r="AC66" s="401"/>
      <c r="AD66" s="397"/>
      <c r="AE66" s="401"/>
      <c r="AF66" s="397"/>
      <c r="AG66" s="401"/>
      <c r="AH66" s="443"/>
      <c r="AI66" s="442"/>
      <c r="AJ66" s="397"/>
      <c r="AK66" s="401"/>
      <c r="AL66" s="306">
        <f t="shared" si="3"/>
        <v>1913000</v>
      </c>
      <c r="AM66" s="185"/>
      <c r="AN66" s="3"/>
    </row>
    <row r="67" spans="1:39" ht="16.5" customHeight="1">
      <c r="A67" s="192" t="s">
        <v>62</v>
      </c>
      <c r="B67" s="192"/>
      <c r="C67" s="313"/>
      <c r="D67" s="192"/>
      <c r="E67" s="314"/>
      <c r="F67" s="192"/>
      <c r="G67" s="313"/>
      <c r="H67" s="192"/>
      <c r="I67" s="313"/>
      <c r="J67" s="192"/>
      <c r="K67" s="313"/>
      <c r="L67" s="156"/>
      <c r="M67" s="303"/>
      <c r="N67" s="304"/>
      <c r="O67" s="303"/>
      <c r="P67" s="304"/>
      <c r="Q67" s="157"/>
      <c r="R67" s="304"/>
      <c r="S67" s="157"/>
      <c r="T67" s="304"/>
      <c r="U67" s="157"/>
      <c r="V67" s="304"/>
      <c r="W67" s="303"/>
      <c r="X67" s="160">
        <f>V67+T67++R67+P67+N67</f>
        <v>0</v>
      </c>
      <c r="Y67" s="161" t="s">
        <v>4</v>
      </c>
      <c r="Z67" s="304"/>
      <c r="AA67" s="303"/>
      <c r="AB67" s="304"/>
      <c r="AC67" s="303"/>
      <c r="AD67" s="304"/>
      <c r="AE67" s="303"/>
      <c r="AF67" s="304"/>
      <c r="AG67" s="303"/>
      <c r="AH67" s="315">
        <f aca="true" t="shared" si="4" ref="AH67:AH72">Z67+AB67+AD67+AF67</f>
        <v>0</v>
      </c>
      <c r="AI67" s="296" t="s">
        <v>4</v>
      </c>
      <c r="AJ67" s="304"/>
      <c r="AK67" s="303"/>
      <c r="AL67" s="305">
        <f t="shared" si="3"/>
        <v>0</v>
      </c>
      <c r="AM67" s="291" t="s">
        <v>4</v>
      </c>
    </row>
    <row r="68" spans="1:39" ht="16.5" customHeight="1" thickBot="1">
      <c r="A68" s="193" t="s">
        <v>63</v>
      </c>
      <c r="B68" s="397">
        <v>48682560</v>
      </c>
      <c r="C68" s="401"/>
      <c r="D68" s="460"/>
      <c r="E68" s="461"/>
      <c r="F68" s="460"/>
      <c r="G68" s="462"/>
      <c r="H68" s="460"/>
      <c r="I68" s="462"/>
      <c r="J68" s="460"/>
      <c r="K68" s="462"/>
      <c r="L68" s="399"/>
      <c r="M68" s="400"/>
      <c r="N68" s="399"/>
      <c r="O68" s="400"/>
      <c r="P68" s="449"/>
      <c r="Q68" s="450"/>
      <c r="R68" s="449"/>
      <c r="S68" s="450"/>
      <c r="T68" s="449"/>
      <c r="U68" s="450"/>
      <c r="V68" s="399"/>
      <c r="W68" s="400"/>
      <c r="X68" s="409">
        <f>V68+T68+R68+P68+N68</f>
        <v>0</v>
      </c>
      <c r="Y68" s="410"/>
      <c r="Z68" s="399"/>
      <c r="AA68" s="400"/>
      <c r="AB68" s="399"/>
      <c r="AC68" s="400"/>
      <c r="AD68" s="399"/>
      <c r="AE68" s="400"/>
      <c r="AF68" s="399"/>
      <c r="AG68" s="400"/>
      <c r="AH68" s="443">
        <f t="shared" si="4"/>
        <v>0</v>
      </c>
      <c r="AI68" s="442"/>
      <c r="AJ68" s="399"/>
      <c r="AK68" s="400"/>
      <c r="AL68" s="306">
        <f t="shared" si="3"/>
        <v>48682560</v>
      </c>
      <c r="AM68" s="185"/>
    </row>
    <row r="69" spans="1:39" ht="16.5" customHeight="1">
      <c r="A69" s="192" t="s">
        <v>64</v>
      </c>
      <c r="B69" s="304"/>
      <c r="C69" s="303"/>
      <c r="D69" s="192"/>
      <c r="E69" s="314"/>
      <c r="F69" s="192"/>
      <c r="G69" s="313"/>
      <c r="H69" s="192"/>
      <c r="I69" s="313"/>
      <c r="J69" s="192"/>
      <c r="K69" s="313"/>
      <c r="L69" s="156"/>
      <c r="M69" s="303"/>
      <c r="N69" s="304"/>
      <c r="O69" s="303"/>
      <c r="P69" s="304"/>
      <c r="Q69" s="303"/>
      <c r="R69" s="304"/>
      <c r="S69" s="303"/>
      <c r="T69" s="304"/>
      <c r="U69" s="303"/>
      <c r="V69" s="304"/>
      <c r="W69" s="303"/>
      <c r="X69" s="160">
        <f>V69+T69++R69+P69+N69</f>
        <v>0</v>
      </c>
      <c r="Y69" s="161" t="s">
        <v>4</v>
      </c>
      <c r="Z69" s="304"/>
      <c r="AA69" s="303"/>
      <c r="AB69" s="304"/>
      <c r="AC69" s="303"/>
      <c r="AD69" s="304"/>
      <c r="AE69" s="303"/>
      <c r="AF69" s="304"/>
      <c r="AG69" s="303"/>
      <c r="AH69" s="315">
        <f t="shared" si="4"/>
        <v>0</v>
      </c>
      <c r="AI69" s="296" t="s">
        <v>4</v>
      </c>
      <c r="AJ69" s="304"/>
      <c r="AK69" s="303"/>
      <c r="AL69" s="307">
        <f t="shared" si="3"/>
        <v>0</v>
      </c>
      <c r="AM69" s="291" t="s">
        <v>4</v>
      </c>
    </row>
    <row r="70" spans="1:39" ht="16.5" customHeight="1" thickBot="1">
      <c r="A70" s="193" t="s">
        <v>65</v>
      </c>
      <c r="B70" s="397">
        <f>77053571-X70-AH70-AJ70</f>
        <v>70628039</v>
      </c>
      <c r="C70" s="401"/>
      <c r="D70" s="460"/>
      <c r="E70" s="461"/>
      <c r="F70" s="460"/>
      <c r="G70" s="462"/>
      <c r="H70" s="460"/>
      <c r="I70" s="462"/>
      <c r="J70" s="460"/>
      <c r="K70" s="462"/>
      <c r="L70" s="399"/>
      <c r="M70" s="400"/>
      <c r="N70" s="399">
        <f>1227912-252080</f>
        <v>975832</v>
      </c>
      <c r="O70" s="400"/>
      <c r="P70" s="397">
        <f>488110-84245</f>
        <v>403865</v>
      </c>
      <c r="Q70" s="401"/>
      <c r="R70" s="399"/>
      <c r="S70" s="440"/>
      <c r="T70" s="399"/>
      <c r="U70" s="440"/>
      <c r="V70" s="446">
        <f>253340-48665</f>
        <v>204675</v>
      </c>
      <c r="W70" s="400"/>
      <c r="X70" s="409">
        <f>V70+T70+R70+P70+N70</f>
        <v>1584372</v>
      </c>
      <c r="Y70" s="410"/>
      <c r="Z70" s="399">
        <f>1128376-79200</f>
        <v>1049176</v>
      </c>
      <c r="AA70" s="459"/>
      <c r="AB70" s="399">
        <f>401615+301183-88570</f>
        <v>614228</v>
      </c>
      <c r="AC70" s="440"/>
      <c r="AD70" s="399">
        <f>0</f>
        <v>0</v>
      </c>
      <c r="AE70" s="440"/>
      <c r="AF70" s="399"/>
      <c r="AG70" s="440"/>
      <c r="AH70" s="441">
        <f t="shared" si="4"/>
        <v>1663404</v>
      </c>
      <c r="AI70" s="442"/>
      <c r="AJ70" s="399">
        <f>1856507-4420+1325669</f>
        <v>3177756</v>
      </c>
      <c r="AK70" s="400"/>
      <c r="AL70" s="306">
        <f>B70+D70+F70+H70+J70+X70+AH70+L70+AJ70</f>
        <v>77053571</v>
      </c>
      <c r="AM70" s="185"/>
    </row>
    <row r="71" spans="1:39" ht="16.5" customHeight="1">
      <c r="A71" s="192" t="s">
        <v>176</v>
      </c>
      <c r="B71" s="304"/>
      <c r="C71" s="303"/>
      <c r="D71" s="192"/>
      <c r="E71" s="314"/>
      <c r="F71" s="192"/>
      <c r="G71" s="313"/>
      <c r="H71" s="192"/>
      <c r="I71" s="313"/>
      <c r="J71" s="192"/>
      <c r="K71" s="313"/>
      <c r="L71" s="156"/>
      <c r="M71" s="303"/>
      <c r="N71" s="304"/>
      <c r="O71" s="303"/>
      <c r="P71" s="304"/>
      <c r="Q71" s="303"/>
      <c r="R71" s="304"/>
      <c r="S71" s="303"/>
      <c r="T71" s="304"/>
      <c r="U71" s="303"/>
      <c r="V71" s="304">
        <v>2</v>
      </c>
      <c r="W71" s="303" t="s">
        <v>4</v>
      </c>
      <c r="X71" s="160">
        <f>V71+T71++R71+P71+N71</f>
        <v>2</v>
      </c>
      <c r="Y71" s="161" t="s">
        <v>4</v>
      </c>
      <c r="Z71" s="304"/>
      <c r="AA71" s="303"/>
      <c r="AB71" s="304"/>
      <c r="AC71" s="303"/>
      <c r="AD71" s="304"/>
      <c r="AE71" s="303"/>
      <c r="AF71" s="304"/>
      <c r="AG71" s="303"/>
      <c r="AH71" s="315">
        <f t="shared" si="4"/>
        <v>0</v>
      </c>
      <c r="AI71" s="296" t="s">
        <v>4</v>
      </c>
      <c r="AJ71" s="304"/>
      <c r="AK71" s="303"/>
      <c r="AL71" s="307">
        <f>B71+D71+F71+H71+J71+X71+AH71+L71</f>
        <v>2</v>
      </c>
      <c r="AM71" s="291" t="s">
        <v>4</v>
      </c>
    </row>
    <row r="72" spans="1:40" ht="16.5" customHeight="1" thickBot="1">
      <c r="A72" s="195" t="s">
        <v>177</v>
      </c>
      <c r="B72" s="457"/>
      <c r="C72" s="458"/>
      <c r="D72" s="453"/>
      <c r="E72" s="465"/>
      <c r="F72" s="453"/>
      <c r="G72" s="454"/>
      <c r="H72" s="453"/>
      <c r="I72" s="454"/>
      <c r="J72" s="453"/>
      <c r="K72" s="454"/>
      <c r="L72" s="406"/>
      <c r="M72" s="407"/>
      <c r="N72" s="406"/>
      <c r="O72" s="407"/>
      <c r="P72" s="269"/>
      <c r="Q72" s="174"/>
      <c r="R72" s="406"/>
      <c r="S72" s="407"/>
      <c r="T72" s="406"/>
      <c r="U72" s="407"/>
      <c r="V72" s="406">
        <f>V71*1508760</f>
        <v>3017520</v>
      </c>
      <c r="W72" s="407"/>
      <c r="X72" s="404">
        <f>V72+T72+R72+P72+N72</f>
        <v>3017520</v>
      </c>
      <c r="Y72" s="405"/>
      <c r="Z72" s="406"/>
      <c r="AA72" s="407"/>
      <c r="AB72" s="406"/>
      <c r="AC72" s="407"/>
      <c r="AD72" s="406"/>
      <c r="AE72" s="407"/>
      <c r="AF72" s="406"/>
      <c r="AG72" s="407"/>
      <c r="AH72" s="444">
        <f t="shared" si="4"/>
        <v>0</v>
      </c>
      <c r="AI72" s="445"/>
      <c r="AJ72" s="406"/>
      <c r="AK72" s="407"/>
      <c r="AL72" s="306">
        <f>B72+D72+F72+H72+J72+X72+AH72+L72</f>
        <v>3017520</v>
      </c>
      <c r="AM72" s="185"/>
      <c r="AN72" s="3">
        <f>AL72+AL70+AL68+AL66+AL64+AL62+AL60+AL56+AL58+AL54+AL52+AL50+AL48+AL46</f>
        <v>287390401</v>
      </c>
    </row>
    <row r="73" spans="1:39" s="1" customFormat="1" ht="20.25" customHeight="1" thickBot="1">
      <c r="A73" s="107" t="s">
        <v>66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10"/>
      <c r="Y73" s="110"/>
      <c r="Z73" s="109"/>
      <c r="AA73" s="109"/>
      <c r="AB73" s="109"/>
      <c r="AC73" s="109"/>
      <c r="AD73" s="109"/>
      <c r="AE73" s="109"/>
      <c r="AF73" s="109"/>
      <c r="AG73" s="109"/>
      <c r="AH73" s="111"/>
      <c r="AI73" s="111"/>
      <c r="AJ73" s="108"/>
      <c r="AK73" s="108"/>
      <c r="AL73" s="438"/>
      <c r="AM73" s="439"/>
    </row>
    <row r="74" spans="1:39" ht="16.5" customHeight="1">
      <c r="A74" s="178" t="s">
        <v>67</v>
      </c>
      <c r="B74" s="182"/>
      <c r="C74" s="183"/>
      <c r="D74" s="182"/>
      <c r="E74" s="13"/>
      <c r="F74" s="180">
        <v>11395</v>
      </c>
      <c r="G74" s="183" t="s">
        <v>4</v>
      </c>
      <c r="H74" s="180">
        <v>11395</v>
      </c>
      <c r="I74" s="183" t="s">
        <v>4</v>
      </c>
      <c r="J74" s="182"/>
      <c r="K74" s="183"/>
      <c r="L74" s="180"/>
      <c r="M74" s="183"/>
      <c r="N74" s="158"/>
      <c r="O74" s="174"/>
      <c r="P74" s="158"/>
      <c r="Q74" s="174"/>
      <c r="R74" s="158"/>
      <c r="S74" s="174"/>
      <c r="T74" s="158"/>
      <c r="U74" s="174"/>
      <c r="V74" s="158"/>
      <c r="W74" s="159"/>
      <c r="X74" s="160"/>
      <c r="Y74" s="161"/>
      <c r="Z74" s="158"/>
      <c r="AA74" s="159"/>
      <c r="AB74" s="158"/>
      <c r="AC74" s="159"/>
      <c r="AD74" s="158"/>
      <c r="AE74" s="159"/>
      <c r="AF74" s="158"/>
      <c r="AG74" s="159"/>
      <c r="AH74" s="162"/>
      <c r="AI74" s="163"/>
      <c r="AJ74" s="158"/>
      <c r="AK74" s="159"/>
      <c r="AL74" s="306">
        <v>11395</v>
      </c>
      <c r="AM74" s="185" t="s">
        <v>4</v>
      </c>
    </row>
    <row r="75" spans="1:39" ht="16.5" customHeight="1" thickBot="1">
      <c r="A75" s="164" t="s">
        <v>68</v>
      </c>
      <c r="B75" s="455"/>
      <c r="C75" s="456"/>
      <c r="D75" s="187"/>
      <c r="E75" s="196"/>
      <c r="F75" s="451">
        <f>F74*1140*0.5</f>
        <v>6495150</v>
      </c>
      <c r="G75" s="452"/>
      <c r="H75" s="451">
        <f>H74*1140*0.5</f>
        <v>6495150</v>
      </c>
      <c r="I75" s="452"/>
      <c r="J75" s="187"/>
      <c r="K75" s="197"/>
      <c r="L75" s="198"/>
      <c r="M75" s="197"/>
      <c r="N75" s="397"/>
      <c r="O75" s="398"/>
      <c r="P75" s="397"/>
      <c r="Q75" s="398"/>
      <c r="R75" s="397"/>
      <c r="S75" s="398"/>
      <c r="T75" s="397"/>
      <c r="U75" s="398"/>
      <c r="V75" s="399"/>
      <c r="W75" s="400"/>
      <c r="X75" s="409"/>
      <c r="Y75" s="410"/>
      <c r="Z75" s="397"/>
      <c r="AA75" s="401"/>
      <c r="AB75" s="397"/>
      <c r="AC75" s="401"/>
      <c r="AD75" s="397"/>
      <c r="AE75" s="401"/>
      <c r="AF75" s="397"/>
      <c r="AG75" s="401"/>
      <c r="AH75" s="443"/>
      <c r="AI75" s="442"/>
      <c r="AJ75" s="397"/>
      <c r="AK75" s="401"/>
      <c r="AL75" s="276">
        <f>B75+D75+F75+H75+J75+X75+AH75+L75</f>
        <v>12990300</v>
      </c>
      <c r="AM75" s="185"/>
    </row>
    <row r="76" spans="1:39" ht="16.5" customHeight="1">
      <c r="A76" s="177" t="s">
        <v>69</v>
      </c>
      <c r="B76" s="181"/>
      <c r="C76" s="188"/>
      <c r="D76" s="181"/>
      <c r="E76" s="189"/>
      <c r="F76" s="181"/>
      <c r="G76" s="188"/>
      <c r="H76" s="181"/>
      <c r="I76" s="188"/>
      <c r="J76" s="181"/>
      <c r="K76" s="188"/>
      <c r="L76" s="199"/>
      <c r="M76" s="188"/>
      <c r="N76" s="156"/>
      <c r="O76" s="157"/>
      <c r="P76" s="156"/>
      <c r="Q76" s="157"/>
      <c r="R76" s="156"/>
      <c r="S76" s="157"/>
      <c r="T76" s="156"/>
      <c r="U76" s="157"/>
      <c r="V76" s="158"/>
      <c r="W76" s="159"/>
      <c r="X76" s="160"/>
      <c r="Y76" s="161"/>
      <c r="Z76" s="158"/>
      <c r="AA76" s="159"/>
      <c r="AB76" s="158"/>
      <c r="AC76" s="159"/>
      <c r="AD76" s="158"/>
      <c r="AE76" s="159"/>
      <c r="AF76" s="158"/>
      <c r="AG76" s="159"/>
      <c r="AH76" s="162"/>
      <c r="AI76" s="163"/>
      <c r="AJ76" s="158"/>
      <c r="AK76" s="159"/>
      <c r="AL76" s="309">
        <f>B76+D76+F76+H76+J76+X76+AH76+L76</f>
        <v>0</v>
      </c>
      <c r="AM76" s="291"/>
    </row>
    <row r="77" spans="1:40" ht="16.5" customHeight="1" thickBot="1">
      <c r="A77" s="178" t="s">
        <v>70</v>
      </c>
      <c r="B77" s="457"/>
      <c r="C77" s="458"/>
      <c r="D77" s="182"/>
      <c r="E77" s="13"/>
      <c r="F77" s="182"/>
      <c r="G77" s="183"/>
      <c r="H77" s="182"/>
      <c r="I77" s="183"/>
      <c r="J77" s="447">
        <v>27728000</v>
      </c>
      <c r="K77" s="448"/>
      <c r="L77" s="200"/>
      <c r="M77" s="316"/>
      <c r="N77" s="402"/>
      <c r="O77" s="403"/>
      <c r="P77" s="402"/>
      <c r="Q77" s="403"/>
      <c r="R77" s="402"/>
      <c r="S77" s="403"/>
      <c r="T77" s="402"/>
      <c r="U77" s="403"/>
      <c r="V77" s="406"/>
      <c r="W77" s="407"/>
      <c r="X77" s="404"/>
      <c r="Y77" s="405"/>
      <c r="Z77" s="402"/>
      <c r="AA77" s="408"/>
      <c r="AB77" s="402"/>
      <c r="AC77" s="408"/>
      <c r="AD77" s="402"/>
      <c r="AE77" s="408"/>
      <c r="AF77" s="402"/>
      <c r="AG77" s="408"/>
      <c r="AH77" s="444"/>
      <c r="AI77" s="445"/>
      <c r="AJ77" s="402"/>
      <c r="AK77" s="408"/>
      <c r="AL77" s="293">
        <f>B77+D77+F77+H77+J77+X77+AH77+L77</f>
        <v>27728000</v>
      </c>
      <c r="AM77" s="185"/>
      <c r="AN77" s="3">
        <f>AL77+AL75+AN73</f>
        <v>40718300</v>
      </c>
    </row>
    <row r="78" spans="1:39" s="1" customFormat="1" ht="20.25" customHeight="1" thickBot="1">
      <c r="A78" s="107" t="s">
        <v>71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10"/>
      <c r="Y78" s="110"/>
      <c r="Z78" s="109"/>
      <c r="AA78" s="109"/>
      <c r="AB78" s="109"/>
      <c r="AC78" s="109"/>
      <c r="AD78" s="109"/>
      <c r="AE78" s="109"/>
      <c r="AF78" s="109"/>
      <c r="AG78" s="109"/>
      <c r="AH78" s="111"/>
      <c r="AI78" s="111"/>
      <c r="AJ78" s="108"/>
      <c r="AK78" s="108"/>
      <c r="AL78" s="438"/>
      <c r="AM78" s="439"/>
    </row>
    <row r="79" spans="1:39" ht="16.5" customHeight="1">
      <c r="A79" s="178" t="s">
        <v>103</v>
      </c>
      <c r="B79" s="200">
        <v>22767926</v>
      </c>
      <c r="C79" s="183"/>
      <c r="D79" s="182"/>
      <c r="E79" s="13"/>
      <c r="F79" s="182"/>
      <c r="G79" s="183"/>
      <c r="H79" s="182"/>
      <c r="I79" s="183"/>
      <c r="J79" s="182"/>
      <c r="K79" s="183"/>
      <c r="L79" s="180"/>
      <c r="M79" s="183"/>
      <c r="N79" s="158"/>
      <c r="O79" s="159"/>
      <c r="P79" s="158"/>
      <c r="Q79" s="159"/>
      <c r="R79" s="158"/>
      <c r="S79" s="159"/>
      <c r="T79" s="158"/>
      <c r="U79" s="159"/>
      <c r="V79" s="158"/>
      <c r="W79" s="159"/>
      <c r="X79" s="186"/>
      <c r="Y79" s="20"/>
      <c r="Z79" s="158"/>
      <c r="AA79" s="159"/>
      <c r="AB79" s="158"/>
      <c r="AC79" s="159"/>
      <c r="AD79" s="158"/>
      <c r="AE79" s="159"/>
      <c r="AF79" s="158"/>
      <c r="AG79" s="159"/>
      <c r="AH79" s="162"/>
      <c r="AI79" s="163"/>
      <c r="AJ79" s="158"/>
      <c r="AK79" s="159"/>
      <c r="AL79" s="276">
        <f>B79+D79+F79+H79+J79+X79+AH79+L79</f>
        <v>22767926</v>
      </c>
      <c r="AM79" s="185"/>
    </row>
    <row r="80" spans="1:39" ht="16.5" customHeight="1" thickBot="1">
      <c r="A80" s="164" t="s">
        <v>72</v>
      </c>
      <c r="B80" s="451">
        <f>-B79</f>
        <v>-22767926</v>
      </c>
      <c r="C80" s="452"/>
      <c r="D80" s="187"/>
      <c r="E80" s="196"/>
      <c r="F80" s="187"/>
      <c r="G80" s="197"/>
      <c r="H80" s="187"/>
      <c r="I80" s="197"/>
      <c r="J80" s="187"/>
      <c r="K80" s="197"/>
      <c r="L80" s="198"/>
      <c r="M80" s="197"/>
      <c r="N80" s="397"/>
      <c r="O80" s="401"/>
      <c r="P80" s="397"/>
      <c r="Q80" s="401"/>
      <c r="R80" s="397"/>
      <c r="S80" s="401"/>
      <c r="T80" s="397"/>
      <c r="U80" s="401"/>
      <c r="V80" s="397"/>
      <c r="W80" s="401"/>
      <c r="X80" s="409"/>
      <c r="Y80" s="410"/>
      <c r="Z80" s="397"/>
      <c r="AA80" s="401"/>
      <c r="AB80" s="397"/>
      <c r="AC80" s="401"/>
      <c r="AD80" s="397"/>
      <c r="AE80" s="401"/>
      <c r="AF80" s="397"/>
      <c r="AG80" s="401"/>
      <c r="AH80" s="443"/>
      <c r="AI80" s="442"/>
      <c r="AJ80" s="397"/>
      <c r="AK80" s="401"/>
      <c r="AL80" s="276">
        <f>B80+D80+F80+H80+J80+X80+AH80+L80</f>
        <v>-22767926</v>
      </c>
      <c r="AM80" s="185"/>
    </row>
    <row r="81" spans="1:40" ht="37.5" customHeight="1" thickBot="1">
      <c r="A81" s="201" t="s">
        <v>43</v>
      </c>
      <c r="B81" s="411">
        <f>B8++B9+B19+B21+B23+B24+B27+B29+B31+B33+B35+B37+B39+B41+B44+B46+B48+B50+B52+B54+B56+B58+B60+B62+B64+B66+B68+B70+B72+B75+B77</f>
        <v>291746475</v>
      </c>
      <c r="C81" s="412"/>
      <c r="D81" s="411">
        <f>D8++D9+D19+D21+D23+D24+D27+D29+D31+D33+D35+D37+D39+D41+D44+D46+D48+D50+D52+D54+D56+D58+D60+D62+D64+D66+D68+D70+D72+D75+D77</f>
        <v>160345800</v>
      </c>
      <c r="E81" s="412"/>
      <c r="F81" s="411">
        <f>F8++F9+F19+F21+F23+F24+F27+F29+F31+F33+F35+F37+F39+F41+F44+F46+F48+F50+F52+F54+F56+F58+F60+F62+F64+F66+F68+F70+F72+F75+F77</f>
        <v>6495150</v>
      </c>
      <c r="G81" s="412"/>
      <c r="H81" s="411">
        <f>H8++H9+H19+H21+H23+H24+H27+H29+H31+H33+H35+H37+H39+H41+H44+H46+H48+H50+H52+H54+H56+H58+H60+H62+H64+H66+H68+H70+H72+H75+H77</f>
        <v>6495150</v>
      </c>
      <c r="I81" s="412"/>
      <c r="J81" s="411">
        <f>J8++J9+J19+J21+J23+J24+J27+J29+J31+J33+J35+J37+J39+J41+J44+J46+J48+J50+J52+J54+J56+J58+J60+J62+J64+J66+J68+J70+J72+J75+J77</f>
        <v>27728000</v>
      </c>
      <c r="K81" s="412"/>
      <c r="L81" s="411">
        <f>L8++L9+L19+L21+L23+L24+L27+L29+L31+L33+L35+L37+L39+L41+L44+L46+L48+L50+L52+L54+L56+L58+L60+L62+L64+L66+L68+L70+L72+L75+L77</f>
        <v>80981850</v>
      </c>
      <c r="M81" s="412"/>
      <c r="N81" s="411">
        <f>N8++N9+N19+N21+N23+N24+N27+N29+N31+N33+N35+N37+N39+N41+N44+N46+N48+N50+N52+N54+N56+N58+N60+N62+N64+N66+N68+N70+N72+N75+N77</f>
        <v>74291026</v>
      </c>
      <c r="O81" s="412"/>
      <c r="P81" s="411">
        <f>P8++P9+P19+P21+P23+P24+P27+P29+P31+P33+P35+P37+P39+P41+P44+P46+P48+P50+P52+P54+P56+P58+P60+P62+P64+P66+P68+P70+P72+P75+P77</f>
        <v>39755339</v>
      </c>
      <c r="Q81" s="412"/>
      <c r="R81" s="411">
        <f>R8++R9+R19+R21+R23+R24+R27+R29+R31+R33+R35+R37+R39+R41+R44+R46+R48+R50+R52+R54+R56+R58+R60+R62+R64+R66+R68+R70+R72+R75+R77</f>
        <v>16797750</v>
      </c>
      <c r="S81" s="412"/>
      <c r="T81" s="411">
        <f>T8++T9+T19+T21+T23+T24+T27+T29+T31+T33+T35+T37+T39+T41+T44+T46+T48+T50+T52+T54+T56+T58+T60+T62+T64+T66+T68+T70+T72+T75+T77</f>
        <v>12958420</v>
      </c>
      <c r="U81" s="412"/>
      <c r="V81" s="411">
        <f>V8++V9+V19+V21+V23+V24+V27+V29+V31+V33+V35+V37+V39+V41+V44+V46+V48+V50+V52+V54+V56+V58+V60+V62+V64+V66+V68+V70+V72+V75+V77</f>
        <v>12610095</v>
      </c>
      <c r="W81" s="412"/>
      <c r="X81" s="411">
        <f>X8++X9+X19+X21+X23+X24+X27+X29+X31+X33+X35+X37+X39+X41+X44+X46+X48+X50+X52+X54+X56+X58+X60+X62+X64+X66+X68+X70+X72+X75+X77</f>
        <v>156412630</v>
      </c>
      <c r="Y81" s="412"/>
      <c r="Z81" s="411">
        <f>Z8++Z9+Z19+Z21+Z23+Z24+Z27+Z29+Z31+Z33+Z35+Z37+Z39+Z41+Z44+Z46+Z48+Z50+Z52+Z54+Z56+Z58+Z60+Z62+Z64+Z66+Z68+Z70+Z72+Z75+Z77</f>
        <v>73705816</v>
      </c>
      <c r="AA81" s="412"/>
      <c r="AB81" s="411">
        <f>AB8++AB9+AB19+AB21+AB23+AB24+AB27+AB29+AB31+AB33+AB35+AB37+AB39+AB41+AB44+AB46+AB48+AB50+AB52+AB54+AB56+AB58+AB60+AB62+AB64+AB66+AB68+AB70+AB72+AB75+AB77</f>
        <v>14793448</v>
      </c>
      <c r="AC81" s="412"/>
      <c r="AD81" s="411">
        <f>AD8++AD9+AD19+AD21+AD23+AD24+AD27+AD29+AD31+AD33+AD35+AD37+AD39+AD41+AD44+AD46+AD48+AD50+AD52+AD54+AD56+AD58+AD60+AD62+AD64+AD66+AD68+AD70+AD72+AD75+AD77</f>
        <v>11846573</v>
      </c>
      <c r="AE81" s="412"/>
      <c r="AF81" s="411">
        <f>AF8++AF9+AF19+AF21+AF23+AF24+AF27+AF29+AF31+AF33+AF35+AF37+AF39+AF41+AF44+AF46+AF48+AF50+AF52+AF54+AF56+AF58+AF60+AF62+AF64+AF66+AF68+AF70+AF72+AF75+AF77</f>
        <v>9869350</v>
      </c>
      <c r="AG81" s="412"/>
      <c r="AH81" s="411">
        <f>AH8++AH9+AH19+AH21+AH23+AH24+AH27+AH29+AH31+AH33+AH35+AH37+AH39+AH41+AH44+AH46+AH48+AH50+AH52+AH54+AH56+AH58+AH60+AH62+AH64+AH66+AH68+AH70+AH72+AH75+AH77</f>
        <v>110215187</v>
      </c>
      <c r="AI81" s="412"/>
      <c r="AJ81" s="411">
        <f>AJ8++AJ9+AJ19+AJ21+AJ23+AJ24+AJ27+AJ29+AJ31+AJ33+AJ35+AJ37+AJ39+AJ41+AJ44+AJ46+AJ48+AJ50+AJ52+AJ54+AJ56+AJ58+AJ60+AJ62+AJ64+AJ66+AJ68+AJ70+AJ72+AJ75+AJ77</f>
        <v>3177756</v>
      </c>
      <c r="AK81" s="412"/>
      <c r="AL81" s="411">
        <f>AL8++AL9+AL19+AL21+AL23+AL24+AL27+AL29+AL31+AL33+AL35+AL37+AL39+AL41+AL44+AL46+AL48+AL50+AL52+AL54+AL56+AL58+AL60+AL62+AL64+AL66+AL68+AL70+AL72+AL75+AL77</f>
        <v>843597998</v>
      </c>
      <c r="AM81" s="412"/>
      <c r="AN81" s="3">
        <f>AN77+AN72+AN41+AN24</f>
        <v>843597998</v>
      </c>
    </row>
    <row r="82" spans="2:40" ht="13.5" thickBot="1">
      <c r="B82" s="425"/>
      <c r="C82" s="426"/>
      <c r="D82" s="425"/>
      <c r="E82" s="427"/>
      <c r="F82" s="425"/>
      <c r="G82" s="426"/>
      <c r="H82" s="425"/>
      <c r="I82" s="426"/>
      <c r="J82" s="425"/>
      <c r="K82" s="426"/>
      <c r="L82" s="202"/>
      <c r="M82" s="172"/>
      <c r="N82" s="425"/>
      <c r="O82" s="426"/>
      <c r="P82" s="425"/>
      <c r="Q82" s="426"/>
      <c r="R82" s="425"/>
      <c r="S82" s="426"/>
      <c r="T82" s="203"/>
      <c r="U82" s="204"/>
      <c r="V82" s="203"/>
      <c r="W82" s="204"/>
      <c r="X82" s="425"/>
      <c r="Y82" s="427"/>
      <c r="Z82" s="203"/>
      <c r="AA82" s="204"/>
      <c r="AB82" s="203"/>
      <c r="AC82" s="204"/>
      <c r="AD82" s="203"/>
      <c r="AE82" s="204"/>
      <c r="AF82" s="203"/>
      <c r="AG82" s="204"/>
      <c r="AH82" s="423"/>
      <c r="AI82" s="424"/>
      <c r="AL82" s="428"/>
      <c r="AM82" s="429"/>
      <c r="AN82" s="3"/>
    </row>
    <row r="83" spans="1:41" s="4" customFormat="1" ht="31.5" customHeight="1" thickBot="1">
      <c r="A83" s="205" t="s">
        <v>73</v>
      </c>
      <c r="B83" s="416">
        <f>B81</f>
        <v>291746475</v>
      </c>
      <c r="C83" s="417"/>
      <c r="D83" s="416">
        <f>D81</f>
        <v>160345800</v>
      </c>
      <c r="E83" s="418"/>
      <c r="F83" s="416">
        <f>F81</f>
        <v>6495150</v>
      </c>
      <c r="G83" s="417"/>
      <c r="H83" s="416">
        <f>H81</f>
        <v>6495150</v>
      </c>
      <c r="I83" s="417"/>
      <c r="J83" s="422">
        <f>J81</f>
        <v>27728000</v>
      </c>
      <c r="K83" s="421"/>
      <c r="L83" s="422">
        <f>L81</f>
        <v>80981850</v>
      </c>
      <c r="M83" s="421"/>
      <c r="N83" s="416">
        <f>N81</f>
        <v>74291026</v>
      </c>
      <c r="O83" s="417"/>
      <c r="P83" s="416">
        <f>P81</f>
        <v>39755339</v>
      </c>
      <c r="Q83" s="417"/>
      <c r="R83" s="416">
        <f>R81</f>
        <v>16797750</v>
      </c>
      <c r="S83" s="417"/>
      <c r="T83" s="416">
        <f>T81</f>
        <v>12958420</v>
      </c>
      <c r="U83" s="417"/>
      <c r="V83" s="416">
        <f>V81</f>
        <v>12610095</v>
      </c>
      <c r="W83" s="417"/>
      <c r="X83" s="416">
        <f>X81</f>
        <v>156412630</v>
      </c>
      <c r="Y83" s="418"/>
      <c r="Z83" s="416">
        <f>Z81</f>
        <v>73705816</v>
      </c>
      <c r="AA83" s="417"/>
      <c r="AB83" s="416">
        <f>AB81</f>
        <v>14793448</v>
      </c>
      <c r="AC83" s="417"/>
      <c r="AD83" s="416">
        <f>AD81</f>
        <v>11846573</v>
      </c>
      <c r="AE83" s="417"/>
      <c r="AF83" s="416">
        <f>AF81</f>
        <v>9869350</v>
      </c>
      <c r="AG83" s="417"/>
      <c r="AH83" s="433">
        <f>AH81</f>
        <v>110215187</v>
      </c>
      <c r="AI83" s="434"/>
      <c r="AJ83" s="419">
        <f>AJ81</f>
        <v>3177756</v>
      </c>
      <c r="AK83" s="420"/>
      <c r="AL83" s="420">
        <f>AL81</f>
        <v>843597998</v>
      </c>
      <c r="AM83" s="421"/>
      <c r="AO83" s="4">
        <f>AO52+AO54+AO56+AO58+AO62</f>
        <v>7744683</v>
      </c>
    </row>
    <row r="84" spans="2:39" ht="21.75" customHeight="1">
      <c r="B84" s="435">
        <f>SUM(B83:M83)</f>
        <v>573792425</v>
      </c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7"/>
      <c r="N84" s="413">
        <f>X83+AH83+AJ83</f>
        <v>269805573</v>
      </c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  <c r="AF84" s="413"/>
      <c r="AG84" s="413"/>
      <c r="AH84" s="413"/>
      <c r="AI84" s="413"/>
      <c r="AJ84" s="206"/>
      <c r="AK84" s="206"/>
      <c r="AL84" s="414"/>
      <c r="AM84" s="415"/>
    </row>
    <row r="85" spans="2:37" ht="16.5" thickBot="1">
      <c r="B85" s="430" t="s">
        <v>74</v>
      </c>
      <c r="C85" s="431"/>
      <c r="D85" s="431"/>
      <c r="E85" s="431"/>
      <c r="F85" s="431"/>
      <c r="G85" s="431"/>
      <c r="H85" s="431"/>
      <c r="I85" s="431"/>
      <c r="J85" s="431"/>
      <c r="K85" s="431"/>
      <c r="L85" s="207"/>
      <c r="M85" s="194"/>
      <c r="N85" s="432" t="s">
        <v>75</v>
      </c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206"/>
      <c r="AK85" s="206"/>
    </row>
  </sheetData>
  <sheetProtection/>
  <mergeCells count="619">
    <mergeCell ref="J56:K56"/>
    <mergeCell ref="B62:C62"/>
    <mergeCell ref="D62:E62"/>
    <mergeCell ref="F62:G62"/>
    <mergeCell ref="H62:I62"/>
    <mergeCell ref="J58:K58"/>
    <mergeCell ref="B60:C60"/>
    <mergeCell ref="D60:E60"/>
    <mergeCell ref="F60:G60"/>
    <mergeCell ref="H60:I60"/>
    <mergeCell ref="J60:K60"/>
    <mergeCell ref="J62:K62"/>
    <mergeCell ref="D48:E48"/>
    <mergeCell ref="F48:G48"/>
    <mergeCell ref="H48:I48"/>
    <mergeCell ref="D50:E50"/>
    <mergeCell ref="F50:G50"/>
    <mergeCell ref="H50:I50"/>
    <mergeCell ref="J50:K50"/>
    <mergeCell ref="J52:K52"/>
    <mergeCell ref="B58:C58"/>
    <mergeCell ref="D58:E58"/>
    <mergeCell ref="F58:G58"/>
    <mergeCell ref="H58:I58"/>
    <mergeCell ref="H52:I52"/>
    <mergeCell ref="B56:C56"/>
    <mergeCell ref="D56:E56"/>
    <mergeCell ref="F56:G56"/>
    <mergeCell ref="H56:I56"/>
    <mergeCell ref="H54:I54"/>
    <mergeCell ref="H35:I35"/>
    <mergeCell ref="D33:E33"/>
    <mergeCell ref="J35:K35"/>
    <mergeCell ref="B50:C50"/>
    <mergeCell ref="B54:C54"/>
    <mergeCell ref="D54:E54"/>
    <mergeCell ref="F54:G54"/>
    <mergeCell ref="B52:C52"/>
    <mergeCell ref="D52:E52"/>
    <mergeCell ref="F52:G52"/>
    <mergeCell ref="J29:K29"/>
    <mergeCell ref="H29:I29"/>
    <mergeCell ref="F29:G29"/>
    <mergeCell ref="N24:O24"/>
    <mergeCell ref="J54:K54"/>
    <mergeCell ref="B35:C35"/>
    <mergeCell ref="J33:K33"/>
    <mergeCell ref="D39:E39"/>
    <mergeCell ref="F39:G39"/>
    <mergeCell ref="H39:I39"/>
    <mergeCell ref="J27:K27"/>
    <mergeCell ref="N23:O23"/>
    <mergeCell ref="N27:O27"/>
    <mergeCell ref="P27:Q27"/>
    <mergeCell ref="P21:Q21"/>
    <mergeCell ref="R22:S22"/>
    <mergeCell ref="R27:S27"/>
    <mergeCell ref="J48:K48"/>
    <mergeCell ref="L31:M31"/>
    <mergeCell ref="F37:G37"/>
    <mergeCell ref="H37:I37"/>
    <mergeCell ref="J37:K37"/>
    <mergeCell ref="F33:G33"/>
    <mergeCell ref="L48:M48"/>
    <mergeCell ref="J41:K41"/>
    <mergeCell ref="L41:M41"/>
    <mergeCell ref="L33:M33"/>
    <mergeCell ref="AJ31:AK31"/>
    <mergeCell ref="AJ33:AK33"/>
    <mergeCell ref="AJ35:AK35"/>
    <mergeCell ref="AJ37:AK37"/>
    <mergeCell ref="F35:G35"/>
    <mergeCell ref="AB33:AC33"/>
    <mergeCell ref="P33:Q33"/>
    <mergeCell ref="AF33:AG33"/>
    <mergeCell ref="J31:K31"/>
    <mergeCell ref="H33:I33"/>
    <mergeCell ref="V17:W17"/>
    <mergeCell ref="V15:W15"/>
    <mergeCell ref="P15:Q15"/>
    <mergeCell ref="R15:S15"/>
    <mergeCell ref="T15:U15"/>
    <mergeCell ref="H41:I41"/>
    <mergeCell ref="T19:U19"/>
    <mergeCell ref="R19:S19"/>
    <mergeCell ref="R29:S29"/>
    <mergeCell ref="H27:I27"/>
    <mergeCell ref="T22:U22"/>
    <mergeCell ref="P22:Q22"/>
    <mergeCell ref="R23:S23"/>
    <mergeCell ref="P17:Q17"/>
    <mergeCell ref="R17:S17"/>
    <mergeCell ref="T17:U17"/>
    <mergeCell ref="AJ41:AK41"/>
    <mergeCell ref="AJ44:AK44"/>
    <mergeCell ref="AJ50:AK50"/>
    <mergeCell ref="AJ52:AK52"/>
    <mergeCell ref="AJ80:AK80"/>
    <mergeCell ref="AJ64:AK64"/>
    <mergeCell ref="AJ66:AK66"/>
    <mergeCell ref="AJ75:AK75"/>
    <mergeCell ref="AJ77:AK77"/>
    <mergeCell ref="AJ70:AK70"/>
    <mergeCell ref="AJ60:AK60"/>
    <mergeCell ref="AJ62:AK62"/>
    <mergeCell ref="AJ68:AK68"/>
    <mergeCell ref="AJ46:AK46"/>
    <mergeCell ref="AJ58:AK58"/>
    <mergeCell ref="AJ48:AK48"/>
    <mergeCell ref="AJ54:AK54"/>
    <mergeCell ref="AJ56:AK56"/>
    <mergeCell ref="AD31:AE31"/>
    <mergeCell ref="AF31:AG31"/>
    <mergeCell ref="AH31:AI31"/>
    <mergeCell ref="AB29:AC29"/>
    <mergeCell ref="AH29:AI29"/>
    <mergeCell ref="X31:Y31"/>
    <mergeCell ref="Z29:AA29"/>
    <mergeCell ref="Z31:AA31"/>
    <mergeCell ref="V29:W29"/>
    <mergeCell ref="P29:Q29"/>
    <mergeCell ref="AJ21:AK21"/>
    <mergeCell ref="AJ23:AK23"/>
    <mergeCell ref="AJ27:AK27"/>
    <mergeCell ref="AJ29:AK29"/>
    <mergeCell ref="AF27:AG27"/>
    <mergeCell ref="AH27:AI27"/>
    <mergeCell ref="AF29:AG29"/>
    <mergeCell ref="R21:S21"/>
    <mergeCell ref="B48:C48"/>
    <mergeCell ref="X33:Y33"/>
    <mergeCell ref="Z33:AA33"/>
    <mergeCell ref="H31:I31"/>
    <mergeCell ref="B33:C33"/>
    <mergeCell ref="V31:W31"/>
    <mergeCell ref="D35:E35"/>
    <mergeCell ref="R33:S33"/>
    <mergeCell ref="B31:C31"/>
    <mergeCell ref="L35:M35"/>
    <mergeCell ref="R31:S31"/>
    <mergeCell ref="N29:O29"/>
    <mergeCell ref="N31:O31"/>
    <mergeCell ref="B24:C24"/>
    <mergeCell ref="P23:Q23"/>
    <mergeCell ref="P31:Q31"/>
    <mergeCell ref="B29:C29"/>
    <mergeCell ref="D29:E29"/>
    <mergeCell ref="F31:G31"/>
    <mergeCell ref="D31:E31"/>
    <mergeCell ref="A16:A17"/>
    <mergeCell ref="V22:W22"/>
    <mergeCell ref="N22:O22"/>
    <mergeCell ref="Z27:AA27"/>
    <mergeCell ref="V23:W23"/>
    <mergeCell ref="B23:C23"/>
    <mergeCell ref="T21:U21"/>
    <mergeCell ref="V27:W27"/>
    <mergeCell ref="T24:U24"/>
    <mergeCell ref="V24:W24"/>
    <mergeCell ref="X21:Y21"/>
    <mergeCell ref="V19:W19"/>
    <mergeCell ref="P19:Q19"/>
    <mergeCell ref="V13:W13"/>
    <mergeCell ref="T27:U27"/>
    <mergeCell ref="Z23:AA23"/>
    <mergeCell ref="V21:W21"/>
    <mergeCell ref="P24:Q24"/>
    <mergeCell ref="R24:S24"/>
    <mergeCell ref="T23:U23"/>
    <mergeCell ref="N11:O11"/>
    <mergeCell ref="P11:Q11"/>
    <mergeCell ref="J11:K11"/>
    <mergeCell ref="B19:C19"/>
    <mergeCell ref="N21:O21"/>
    <mergeCell ref="N19:O19"/>
    <mergeCell ref="B21:C21"/>
    <mergeCell ref="L11:M11"/>
    <mergeCell ref="P13:Q13"/>
    <mergeCell ref="F11:G11"/>
    <mergeCell ref="A14:A15"/>
    <mergeCell ref="B9:C9"/>
    <mergeCell ref="B4:C4"/>
    <mergeCell ref="D4:E4"/>
    <mergeCell ref="B11:C11"/>
    <mergeCell ref="D8:E8"/>
    <mergeCell ref="D11:E11"/>
    <mergeCell ref="A10:A11"/>
    <mergeCell ref="A12:A13"/>
    <mergeCell ref="B13:C13"/>
    <mergeCell ref="V8:W8"/>
    <mergeCell ref="T8:U8"/>
    <mergeCell ref="R8:S8"/>
    <mergeCell ref="P8:Q8"/>
    <mergeCell ref="R13:S13"/>
    <mergeCell ref="T13:U13"/>
    <mergeCell ref="V11:W11"/>
    <mergeCell ref="AH4:AI4"/>
    <mergeCell ref="AJ4:AK4"/>
    <mergeCell ref="AB4:AC4"/>
    <mergeCell ref="AL5:AM5"/>
    <mergeCell ref="F4:G4"/>
    <mergeCell ref="H4:I4"/>
    <mergeCell ref="L4:M4"/>
    <mergeCell ref="AL6:AM6"/>
    <mergeCell ref="N1:AI1"/>
    <mergeCell ref="N2:AI2"/>
    <mergeCell ref="T4:U4"/>
    <mergeCell ref="R4:S4"/>
    <mergeCell ref="AD4:AE4"/>
    <mergeCell ref="V4:W4"/>
    <mergeCell ref="Z4:AA4"/>
    <mergeCell ref="AL4:AM4"/>
    <mergeCell ref="AF4:AG4"/>
    <mergeCell ref="F75:G75"/>
    <mergeCell ref="AH23:AI23"/>
    <mergeCell ref="AF21:AG21"/>
    <mergeCell ref="AH21:AI21"/>
    <mergeCell ref="AB21:AC21"/>
    <mergeCell ref="AD21:AE21"/>
    <mergeCell ref="AF23:AG23"/>
    <mergeCell ref="AD23:AE23"/>
    <mergeCell ref="AB23:AC23"/>
    <mergeCell ref="Z21:AA21"/>
    <mergeCell ref="B27:C27"/>
    <mergeCell ref="L27:M27"/>
    <mergeCell ref="D27:E27"/>
    <mergeCell ref="J4:K4"/>
    <mergeCell ref="D41:E41"/>
    <mergeCell ref="H11:I11"/>
    <mergeCell ref="B17:C17"/>
    <mergeCell ref="B15:C15"/>
    <mergeCell ref="L29:M29"/>
    <mergeCell ref="B41:C41"/>
    <mergeCell ref="N39:O39"/>
    <mergeCell ref="AB27:AC27"/>
    <mergeCell ref="F27:G27"/>
    <mergeCell ref="X27:Y27"/>
    <mergeCell ref="T37:U37"/>
    <mergeCell ref="V37:W37"/>
    <mergeCell ref="AB35:AC35"/>
    <mergeCell ref="V35:W35"/>
    <mergeCell ref="V39:W39"/>
    <mergeCell ref="X37:Y37"/>
    <mergeCell ref="X23:Y23"/>
    <mergeCell ref="X4:Y4"/>
    <mergeCell ref="N13:O13"/>
    <mergeCell ref="N15:O15"/>
    <mergeCell ref="N17:O17"/>
    <mergeCell ref="R11:S11"/>
    <mergeCell ref="T11:U11"/>
    <mergeCell ref="P4:Q4"/>
    <mergeCell ref="N4:O4"/>
    <mergeCell ref="N8:O8"/>
    <mergeCell ref="A36:A37"/>
    <mergeCell ref="N37:O37"/>
    <mergeCell ref="P37:Q37"/>
    <mergeCell ref="R37:S37"/>
    <mergeCell ref="B37:C37"/>
    <mergeCell ref="D37:E37"/>
    <mergeCell ref="L37:M37"/>
    <mergeCell ref="AL25:AM25"/>
    <mergeCell ref="T33:U33"/>
    <mergeCell ref="AD27:AE27"/>
    <mergeCell ref="V33:W33"/>
    <mergeCell ref="AB31:AC31"/>
    <mergeCell ref="X29:Y29"/>
    <mergeCell ref="T29:U29"/>
    <mergeCell ref="AD33:AE33"/>
    <mergeCell ref="AD29:AE29"/>
    <mergeCell ref="T31:U31"/>
    <mergeCell ref="AH33:AI33"/>
    <mergeCell ref="AF35:AG35"/>
    <mergeCell ref="N33:O33"/>
    <mergeCell ref="N35:O35"/>
    <mergeCell ref="P35:Q35"/>
    <mergeCell ref="R35:S35"/>
    <mergeCell ref="T35:U35"/>
    <mergeCell ref="AH35:AI35"/>
    <mergeCell ref="X35:Y35"/>
    <mergeCell ref="Z35:AA35"/>
    <mergeCell ref="AD35:AE35"/>
    <mergeCell ref="AL42:AM42"/>
    <mergeCell ref="AH44:AI44"/>
    <mergeCell ref="X44:Y44"/>
    <mergeCell ref="Z44:AA44"/>
    <mergeCell ref="AD44:AE44"/>
    <mergeCell ref="AF44:AG44"/>
    <mergeCell ref="AH41:AI41"/>
    <mergeCell ref="AJ39:AK39"/>
    <mergeCell ref="AD41:AE41"/>
    <mergeCell ref="A38:A39"/>
    <mergeCell ref="R39:S39"/>
    <mergeCell ref="AF39:AG39"/>
    <mergeCell ref="B39:C39"/>
    <mergeCell ref="X39:Y39"/>
    <mergeCell ref="J39:K39"/>
    <mergeCell ref="L39:M39"/>
    <mergeCell ref="P39:Q39"/>
    <mergeCell ref="T39:U39"/>
    <mergeCell ref="Z39:AA39"/>
    <mergeCell ref="V41:W41"/>
    <mergeCell ref="X41:Y41"/>
    <mergeCell ref="Z41:AA41"/>
    <mergeCell ref="AB41:AC41"/>
    <mergeCell ref="AH39:AI39"/>
    <mergeCell ref="AB39:AC39"/>
    <mergeCell ref="AD39:AE39"/>
    <mergeCell ref="AF41:AG41"/>
    <mergeCell ref="AH37:AI37"/>
    <mergeCell ref="AF37:AG37"/>
    <mergeCell ref="Z37:AA37"/>
    <mergeCell ref="AB37:AC37"/>
    <mergeCell ref="AD37:AE37"/>
    <mergeCell ref="AB44:AC44"/>
    <mergeCell ref="L44:M44"/>
    <mergeCell ref="L46:M46"/>
    <mergeCell ref="T44:U44"/>
    <mergeCell ref="R44:S44"/>
    <mergeCell ref="T41:U41"/>
    <mergeCell ref="B46:C46"/>
    <mergeCell ref="F41:G41"/>
    <mergeCell ref="AF48:AG48"/>
    <mergeCell ref="AB46:AC46"/>
    <mergeCell ref="V46:W46"/>
    <mergeCell ref="Z46:AA46"/>
    <mergeCell ref="X46:Y46"/>
    <mergeCell ref="V44:W44"/>
    <mergeCell ref="AD48:AE48"/>
    <mergeCell ref="Z48:AA48"/>
    <mergeCell ref="AB48:AC48"/>
    <mergeCell ref="V48:W48"/>
    <mergeCell ref="AH48:AI48"/>
    <mergeCell ref="AH52:AI52"/>
    <mergeCell ref="V50:W50"/>
    <mergeCell ref="T46:U46"/>
    <mergeCell ref="AD46:AE46"/>
    <mergeCell ref="N41:O41"/>
    <mergeCell ref="P41:Q41"/>
    <mergeCell ref="P44:Q44"/>
    <mergeCell ref="R41:S41"/>
    <mergeCell ref="AF46:AG46"/>
    <mergeCell ref="AF50:AG50"/>
    <mergeCell ref="AH50:AI50"/>
    <mergeCell ref="B44:C44"/>
    <mergeCell ref="D44:E44"/>
    <mergeCell ref="F44:G44"/>
    <mergeCell ref="H44:I44"/>
    <mergeCell ref="AH46:AI46"/>
    <mergeCell ref="R46:S46"/>
    <mergeCell ref="J44:K44"/>
    <mergeCell ref="N44:O44"/>
    <mergeCell ref="AD50:AE50"/>
    <mergeCell ref="AD54:AE54"/>
    <mergeCell ref="N46:O46"/>
    <mergeCell ref="P46:Q46"/>
    <mergeCell ref="Z52:AA52"/>
    <mergeCell ref="N52:O52"/>
    <mergeCell ref="P52:Q52"/>
    <mergeCell ref="AD52:AE52"/>
    <mergeCell ref="R52:S52"/>
    <mergeCell ref="T52:U52"/>
    <mergeCell ref="R50:S50"/>
    <mergeCell ref="X50:Y50"/>
    <mergeCell ref="R54:S54"/>
    <mergeCell ref="T54:U54"/>
    <mergeCell ref="Z54:AA54"/>
    <mergeCell ref="AB54:AC54"/>
    <mergeCell ref="X52:Y52"/>
    <mergeCell ref="Z50:AA50"/>
    <mergeCell ref="X48:Y48"/>
    <mergeCell ref="T48:U48"/>
    <mergeCell ref="T56:U56"/>
    <mergeCell ref="V56:W56"/>
    <mergeCell ref="AF52:AG52"/>
    <mergeCell ref="AB52:AC52"/>
    <mergeCell ref="V52:W52"/>
    <mergeCell ref="T50:U50"/>
    <mergeCell ref="AF54:AG54"/>
    <mergeCell ref="AB50:AC50"/>
    <mergeCell ref="AH54:AI54"/>
    <mergeCell ref="AB56:AC56"/>
    <mergeCell ref="AD56:AE56"/>
    <mergeCell ref="Z56:AA56"/>
    <mergeCell ref="P48:Q48"/>
    <mergeCell ref="R48:S48"/>
    <mergeCell ref="V54:W54"/>
    <mergeCell ref="X54:Y54"/>
    <mergeCell ref="P56:Q56"/>
    <mergeCell ref="R56:S56"/>
    <mergeCell ref="X56:Y56"/>
    <mergeCell ref="AH60:AI60"/>
    <mergeCell ref="P54:Q54"/>
    <mergeCell ref="AH56:AI56"/>
    <mergeCell ref="AH58:AI58"/>
    <mergeCell ref="Z58:AA58"/>
    <mergeCell ref="AB58:AC58"/>
    <mergeCell ref="AD58:AE58"/>
    <mergeCell ref="AF58:AG58"/>
    <mergeCell ref="AF56:AG56"/>
    <mergeCell ref="R58:S58"/>
    <mergeCell ref="T58:U58"/>
    <mergeCell ref="P60:Q60"/>
    <mergeCell ref="R62:S62"/>
    <mergeCell ref="V58:W58"/>
    <mergeCell ref="X58:Y58"/>
    <mergeCell ref="P62:Q62"/>
    <mergeCell ref="X60:Y60"/>
    <mergeCell ref="AB60:AC60"/>
    <mergeCell ref="T62:U62"/>
    <mergeCell ref="V62:W62"/>
    <mergeCell ref="Z62:AA62"/>
    <mergeCell ref="T60:U60"/>
    <mergeCell ref="Z60:AA60"/>
    <mergeCell ref="V60:W60"/>
    <mergeCell ref="X62:Y62"/>
    <mergeCell ref="AH62:AI62"/>
    <mergeCell ref="AD60:AE60"/>
    <mergeCell ref="AF60:AG60"/>
    <mergeCell ref="H75:I75"/>
    <mergeCell ref="N75:O75"/>
    <mergeCell ref="P66:Q66"/>
    <mergeCell ref="R66:S66"/>
    <mergeCell ref="L66:M66"/>
    <mergeCell ref="AB62:AC62"/>
    <mergeCell ref="R60:S60"/>
    <mergeCell ref="D66:E66"/>
    <mergeCell ref="F66:G66"/>
    <mergeCell ref="D70:E70"/>
    <mergeCell ref="F70:G70"/>
    <mergeCell ref="AD62:AE62"/>
    <mergeCell ref="AF62:AG62"/>
    <mergeCell ref="AD64:AE64"/>
    <mergeCell ref="AF66:AG66"/>
    <mergeCell ref="Z64:AA64"/>
    <mergeCell ref="AB64:AC64"/>
    <mergeCell ref="A63:A64"/>
    <mergeCell ref="N64:O64"/>
    <mergeCell ref="J70:K70"/>
    <mergeCell ref="D72:E72"/>
    <mergeCell ref="N68:O68"/>
    <mergeCell ref="N70:O70"/>
    <mergeCell ref="J72:K72"/>
    <mergeCell ref="D68:E68"/>
    <mergeCell ref="H68:I68"/>
    <mergeCell ref="B66:C66"/>
    <mergeCell ref="A65:A66"/>
    <mergeCell ref="N66:O66"/>
    <mergeCell ref="B72:C72"/>
    <mergeCell ref="H70:I70"/>
    <mergeCell ref="B68:C68"/>
    <mergeCell ref="B70:C70"/>
    <mergeCell ref="H66:I66"/>
    <mergeCell ref="J66:K66"/>
    <mergeCell ref="J68:K68"/>
    <mergeCell ref="F68:G68"/>
    <mergeCell ref="B64:C64"/>
    <mergeCell ref="D64:E64"/>
    <mergeCell ref="F64:G64"/>
    <mergeCell ref="H64:I64"/>
    <mergeCell ref="J64:K64"/>
    <mergeCell ref="AH68:AI68"/>
    <mergeCell ref="AH66:AI66"/>
    <mergeCell ref="AH64:AI64"/>
    <mergeCell ref="AF64:AG64"/>
    <mergeCell ref="AB66:AC66"/>
    <mergeCell ref="R64:S64"/>
    <mergeCell ref="T64:U64"/>
    <mergeCell ref="T66:U66"/>
    <mergeCell ref="V64:W64"/>
    <mergeCell ref="X64:Y64"/>
    <mergeCell ref="V66:W66"/>
    <mergeCell ref="X68:Y68"/>
    <mergeCell ref="V68:W68"/>
    <mergeCell ref="Z66:AA66"/>
    <mergeCell ref="X66:Y66"/>
    <mergeCell ref="AD70:AE70"/>
    <mergeCell ref="AD66:AE66"/>
    <mergeCell ref="X70:Y70"/>
    <mergeCell ref="Z70:AA70"/>
    <mergeCell ref="AB70:AC70"/>
    <mergeCell ref="AB68:AC68"/>
    <mergeCell ref="AD68:AE68"/>
    <mergeCell ref="Z68:AA68"/>
    <mergeCell ref="AF68:AG68"/>
    <mergeCell ref="AJ72:AK72"/>
    <mergeCell ref="AF72:AG72"/>
    <mergeCell ref="AH72:AI72"/>
    <mergeCell ref="AB72:AC72"/>
    <mergeCell ref="D81:E81"/>
    <mergeCell ref="T81:U81"/>
    <mergeCell ref="P81:Q81"/>
    <mergeCell ref="X81:Y81"/>
    <mergeCell ref="AB80:AC80"/>
    <mergeCell ref="X80:Y80"/>
    <mergeCell ref="N81:O81"/>
    <mergeCell ref="H81:I81"/>
    <mergeCell ref="F81:G81"/>
    <mergeCell ref="J81:K81"/>
    <mergeCell ref="L81:M81"/>
    <mergeCell ref="R81:S81"/>
    <mergeCell ref="V81:W81"/>
    <mergeCell ref="Z81:AA81"/>
    <mergeCell ref="B81:C81"/>
    <mergeCell ref="P68:Q68"/>
    <mergeCell ref="R68:S68"/>
    <mergeCell ref="P70:Q70"/>
    <mergeCell ref="B77:C77"/>
    <mergeCell ref="R72:S72"/>
    <mergeCell ref="B80:C80"/>
    <mergeCell ref="N80:O80"/>
    <mergeCell ref="P80:Q80"/>
    <mergeCell ref="N77:O77"/>
    <mergeCell ref="L68:M68"/>
    <mergeCell ref="L72:M72"/>
    <mergeCell ref="L70:M70"/>
    <mergeCell ref="F72:G72"/>
    <mergeCell ref="H72:I72"/>
    <mergeCell ref="B75:C75"/>
    <mergeCell ref="T70:U70"/>
    <mergeCell ref="T72:U72"/>
    <mergeCell ref="T77:U77"/>
    <mergeCell ref="T75:U75"/>
    <mergeCell ref="T68:U68"/>
    <mergeCell ref="V77:W77"/>
    <mergeCell ref="R75:S75"/>
    <mergeCell ref="V70:W70"/>
    <mergeCell ref="V75:W75"/>
    <mergeCell ref="J77:K77"/>
    <mergeCell ref="P77:Q77"/>
    <mergeCell ref="R77:S77"/>
    <mergeCell ref="R70:S70"/>
    <mergeCell ref="N72:O72"/>
    <mergeCell ref="P75:Q75"/>
    <mergeCell ref="V72:W72"/>
    <mergeCell ref="AL78:AM78"/>
    <mergeCell ref="AH70:AI70"/>
    <mergeCell ref="AJ81:AK81"/>
    <mergeCell ref="AF75:AG75"/>
    <mergeCell ref="AH75:AI75"/>
    <mergeCell ref="AF80:AG80"/>
    <mergeCell ref="AH80:AI80"/>
    <mergeCell ref="AF81:AG81"/>
    <mergeCell ref="AH77:AI77"/>
    <mergeCell ref="AF77:AG77"/>
    <mergeCell ref="AL73:AM73"/>
    <mergeCell ref="AF70:AG70"/>
    <mergeCell ref="AD75:AE75"/>
    <mergeCell ref="B82:C82"/>
    <mergeCell ref="F82:G82"/>
    <mergeCell ref="D82:E82"/>
    <mergeCell ref="H82:I82"/>
    <mergeCell ref="J82:K82"/>
    <mergeCell ref="AL81:AM81"/>
    <mergeCell ref="N82:O82"/>
    <mergeCell ref="B85:K85"/>
    <mergeCell ref="N85:AI85"/>
    <mergeCell ref="AH83:AI83"/>
    <mergeCell ref="N83:O83"/>
    <mergeCell ref="P83:Q83"/>
    <mergeCell ref="B83:C83"/>
    <mergeCell ref="B84:M84"/>
    <mergeCell ref="D83:E83"/>
    <mergeCell ref="F83:G83"/>
    <mergeCell ref="R83:S83"/>
    <mergeCell ref="H83:I83"/>
    <mergeCell ref="AL83:AM83"/>
    <mergeCell ref="J83:K83"/>
    <mergeCell ref="T83:U83"/>
    <mergeCell ref="L83:M83"/>
    <mergeCell ref="AH82:AI82"/>
    <mergeCell ref="P82:Q82"/>
    <mergeCell ref="R82:S82"/>
    <mergeCell ref="X82:Y82"/>
    <mergeCell ref="AL82:AM82"/>
    <mergeCell ref="N84:AI84"/>
    <mergeCell ref="AL84:AM84"/>
    <mergeCell ref="Z83:AA83"/>
    <mergeCell ref="AB83:AC83"/>
    <mergeCell ref="AD83:AE83"/>
    <mergeCell ref="AF83:AG83"/>
    <mergeCell ref="V83:W83"/>
    <mergeCell ref="X83:Y83"/>
    <mergeCell ref="AJ83:AK83"/>
    <mergeCell ref="AD80:AE80"/>
    <mergeCell ref="R80:S80"/>
    <mergeCell ref="T80:U80"/>
    <mergeCell ref="V80:W80"/>
    <mergeCell ref="AH81:AI81"/>
    <mergeCell ref="Z80:AA80"/>
    <mergeCell ref="AD81:AE81"/>
    <mergeCell ref="AB81:AC81"/>
    <mergeCell ref="X77:Y77"/>
    <mergeCell ref="X72:Y72"/>
    <mergeCell ref="Z72:AA72"/>
    <mergeCell ref="AD72:AE72"/>
    <mergeCell ref="Z77:AA77"/>
    <mergeCell ref="X75:Y75"/>
    <mergeCell ref="Z75:AA75"/>
    <mergeCell ref="AB75:AC75"/>
    <mergeCell ref="AB77:AC77"/>
    <mergeCell ref="AD77:AE77"/>
    <mergeCell ref="N48:O48"/>
    <mergeCell ref="L58:M58"/>
    <mergeCell ref="L60:M60"/>
    <mergeCell ref="L62:M62"/>
    <mergeCell ref="L50:M50"/>
    <mergeCell ref="L52:M52"/>
    <mergeCell ref="N60:O60"/>
    <mergeCell ref="L54:M54"/>
    <mergeCell ref="L56:M56"/>
    <mergeCell ref="N54:O54"/>
    <mergeCell ref="N50:O50"/>
    <mergeCell ref="P64:Q64"/>
    <mergeCell ref="L64:M64"/>
    <mergeCell ref="N62:O62"/>
    <mergeCell ref="N56:O56"/>
    <mergeCell ref="P50:Q50"/>
    <mergeCell ref="N58:O58"/>
    <mergeCell ref="P58:Q58"/>
  </mergeCells>
  <printOptions/>
  <pageMargins left="0.31496062992125984" right="0.11811023622047245" top="0.31496062992125984" bottom="0.15748031496062992" header="0.15748031496062992" footer="0.11811023622047245"/>
  <pageSetup fitToHeight="1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1"/>
  <sheetViews>
    <sheetView zoomScale="120" zoomScaleNormal="120" zoomScaleSheetLayoutView="120" zoomScalePageLayoutView="0" workbookViewId="0" topLeftCell="A1">
      <selection activeCell="AN1" sqref="AN1:AP16384"/>
    </sheetView>
  </sheetViews>
  <sheetFormatPr defaultColWidth="9.00390625" defaultRowHeight="12.75"/>
  <cols>
    <col min="1" max="1" width="43.375" style="25" customWidth="1"/>
    <col min="2" max="2" width="21.25390625" style="25" customWidth="1"/>
    <col min="3" max="3" width="15.625" style="25" bestFit="1" customWidth="1"/>
    <col min="4" max="4" width="12.875" style="25" customWidth="1"/>
    <col min="5" max="5" width="12.375" style="25" bestFit="1" customWidth="1"/>
    <col min="6" max="6" width="11.375" style="25" customWidth="1"/>
    <col min="7" max="7" width="10.75390625" style="25" customWidth="1"/>
    <col min="8" max="8" width="10.25390625" style="25" bestFit="1" customWidth="1"/>
    <col min="9" max="9" width="12.375" style="25" customWidth="1"/>
    <col min="10" max="10" width="12.875" style="25" bestFit="1" customWidth="1"/>
    <col min="11" max="26" width="9.125" style="25" customWidth="1"/>
    <col min="27" max="39" width="9.125" style="2" customWidth="1"/>
    <col min="40" max="42" width="0" style="2" hidden="1" customWidth="1"/>
    <col min="43" max="16384" width="9.125" style="2" customWidth="1"/>
  </cols>
  <sheetData>
    <row r="1" spans="1:6" ht="13.5">
      <c r="A1" s="511" t="s">
        <v>93</v>
      </c>
      <c r="B1" s="511"/>
      <c r="C1" s="511"/>
      <c r="D1" s="16"/>
      <c r="E1" s="2"/>
      <c r="F1" s="3"/>
    </row>
    <row r="2" spans="1:10" ht="15.75">
      <c r="A2" s="510" t="s">
        <v>104</v>
      </c>
      <c r="B2" s="510"/>
      <c r="C2" s="510"/>
      <c r="D2" s="510"/>
      <c r="E2" s="510"/>
      <c r="F2" s="510"/>
      <c r="G2" s="510"/>
      <c r="H2" s="510"/>
      <c r="I2" s="510"/>
      <c r="J2" s="510"/>
    </row>
    <row r="4" spans="1:26" s="24" customFormat="1" ht="16.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5" customFormat="1" ht="15.75">
      <c r="A5" s="512" t="s">
        <v>11</v>
      </c>
      <c r="B5" s="514" t="s">
        <v>108</v>
      </c>
      <c r="C5" s="508" t="s">
        <v>109</v>
      </c>
      <c r="D5" s="509"/>
      <c r="E5" s="508" t="s">
        <v>110</v>
      </c>
      <c r="F5" s="509"/>
      <c r="G5" s="508" t="s">
        <v>111</v>
      </c>
      <c r="H5" s="509"/>
      <c r="I5" s="508" t="s">
        <v>294</v>
      </c>
      <c r="J5" s="509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15" customFormat="1" ht="16.5" thickBot="1">
      <c r="A6" s="513"/>
      <c r="B6" s="515"/>
      <c r="C6" s="231" t="s">
        <v>112</v>
      </c>
      <c r="D6" s="232" t="s">
        <v>113</v>
      </c>
      <c r="E6" s="231" t="s">
        <v>112</v>
      </c>
      <c r="F6" s="232" t="s">
        <v>113</v>
      </c>
      <c r="G6" s="231" t="s">
        <v>112</v>
      </c>
      <c r="H6" s="232" t="s">
        <v>113</v>
      </c>
      <c r="I6" s="231" t="s">
        <v>112</v>
      </c>
      <c r="J6" s="232" t="s">
        <v>113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10" ht="13.5" thickBot="1">
      <c r="A7" s="78" t="s">
        <v>307</v>
      </c>
      <c r="B7" s="79" t="s">
        <v>114</v>
      </c>
      <c r="C7" s="80"/>
      <c r="D7" s="81">
        <v>843597997</v>
      </c>
      <c r="E7" s="80"/>
      <c r="F7" s="81"/>
      <c r="G7" s="80"/>
      <c r="H7" s="81"/>
      <c r="I7" s="80">
        <f>C7+E7+G7</f>
        <v>0</v>
      </c>
      <c r="J7" s="81">
        <f>D7+F7+H7</f>
        <v>843597997</v>
      </c>
    </row>
    <row r="8" spans="1:26" s="4" customFormat="1" ht="14.25" thickBot="1">
      <c r="A8" s="79"/>
      <c r="B8" s="79"/>
      <c r="C8" s="82"/>
      <c r="D8" s="82"/>
      <c r="E8" s="82"/>
      <c r="F8" s="82"/>
      <c r="G8" s="82"/>
      <c r="H8" s="82"/>
      <c r="I8" s="82"/>
      <c r="J8" s="82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s="4" customFormat="1" ht="25.5">
      <c r="A9" s="73" t="s">
        <v>241</v>
      </c>
      <c r="B9" s="85" t="s">
        <v>246</v>
      </c>
      <c r="C9" s="77">
        <f>297184000-1000000</f>
        <v>296184000</v>
      </c>
      <c r="D9" s="225"/>
      <c r="E9" s="77"/>
      <c r="F9" s="225"/>
      <c r="G9" s="77"/>
      <c r="H9" s="225"/>
      <c r="I9" s="77">
        <f aca="true" t="shared" si="0" ref="I9:I17">C9+E9+G9</f>
        <v>296184000</v>
      </c>
      <c r="J9" s="225">
        <f aca="true" t="shared" si="1" ref="J9:J17">D9+F9+H9</f>
        <v>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s="4" customFormat="1" ht="25.5">
      <c r="A10" s="32" t="s">
        <v>303</v>
      </c>
      <c r="B10" s="28" t="s">
        <v>114</v>
      </c>
      <c r="C10" s="30"/>
      <c r="D10" s="31">
        <v>4433000</v>
      </c>
      <c r="E10" s="30"/>
      <c r="F10" s="31"/>
      <c r="G10" s="30"/>
      <c r="H10" s="31"/>
      <c r="I10" s="30">
        <f t="shared" si="0"/>
        <v>0</v>
      </c>
      <c r="J10" s="31">
        <f t="shared" si="1"/>
        <v>4433000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s="4" customFormat="1" ht="25.5">
      <c r="A11" s="32" t="s">
        <v>304</v>
      </c>
      <c r="B11" s="28" t="s">
        <v>114</v>
      </c>
      <c r="C11" s="30"/>
      <c r="D11" s="31">
        <v>2955000</v>
      </c>
      <c r="E11" s="30"/>
      <c r="F11" s="31"/>
      <c r="G11" s="30"/>
      <c r="H11" s="31"/>
      <c r="I11" s="30">
        <f t="shared" si="0"/>
        <v>0</v>
      </c>
      <c r="J11" s="31">
        <f t="shared" si="1"/>
        <v>2955000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4" customFormat="1" ht="38.25">
      <c r="A12" s="32" t="s">
        <v>305</v>
      </c>
      <c r="B12" s="28" t="s">
        <v>114</v>
      </c>
      <c r="C12" s="30"/>
      <c r="D12" s="31">
        <v>11850000</v>
      </c>
      <c r="E12" s="30"/>
      <c r="F12" s="31"/>
      <c r="G12" s="30"/>
      <c r="H12" s="31"/>
      <c r="I12" s="30">
        <f t="shared" si="0"/>
        <v>0</v>
      </c>
      <c r="J12" s="31">
        <f t="shared" si="1"/>
        <v>11850000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10" ht="25.5">
      <c r="A13" s="32" t="s">
        <v>242</v>
      </c>
      <c r="B13" s="28" t="s">
        <v>246</v>
      </c>
      <c r="C13" s="30">
        <v>33911000</v>
      </c>
      <c r="D13" s="31"/>
      <c r="E13" s="30"/>
      <c r="F13" s="31"/>
      <c r="G13" s="30"/>
      <c r="H13" s="31"/>
      <c r="I13" s="30">
        <f t="shared" si="0"/>
        <v>33911000</v>
      </c>
      <c r="J13" s="31">
        <f t="shared" si="1"/>
        <v>0</v>
      </c>
    </row>
    <row r="14" spans="1:10" ht="25.5">
      <c r="A14" s="32" t="s">
        <v>243</v>
      </c>
      <c r="B14" s="28" t="s">
        <v>246</v>
      </c>
      <c r="C14" s="30">
        <f>41653000-1000000</f>
        <v>40653000</v>
      </c>
      <c r="D14" s="31"/>
      <c r="E14" s="30"/>
      <c r="F14" s="31"/>
      <c r="G14" s="30"/>
      <c r="H14" s="31"/>
      <c r="I14" s="30">
        <f t="shared" si="0"/>
        <v>40653000</v>
      </c>
      <c r="J14" s="31">
        <f t="shared" si="1"/>
        <v>0</v>
      </c>
    </row>
    <row r="15" spans="1:10" ht="25.5">
      <c r="A15" s="32" t="s">
        <v>244</v>
      </c>
      <c r="C15" s="30">
        <v>40455000</v>
      </c>
      <c r="D15" s="31"/>
      <c r="E15" s="30"/>
      <c r="F15" s="31"/>
      <c r="G15" s="30"/>
      <c r="H15" s="31"/>
      <c r="I15" s="30">
        <f t="shared" si="0"/>
        <v>40455000</v>
      </c>
      <c r="J15" s="31">
        <f t="shared" si="1"/>
        <v>0</v>
      </c>
    </row>
    <row r="16" spans="1:10" ht="25.5">
      <c r="A16" s="32" t="s">
        <v>300</v>
      </c>
      <c r="B16" s="28" t="s">
        <v>114</v>
      </c>
      <c r="C16" s="30"/>
      <c r="D16" s="31">
        <v>5537000</v>
      </c>
      <c r="E16" s="30"/>
      <c r="F16" s="31"/>
      <c r="G16" s="30"/>
      <c r="H16" s="31"/>
      <c r="I16" s="30">
        <f t="shared" si="0"/>
        <v>0</v>
      </c>
      <c r="J16" s="31">
        <f t="shared" si="1"/>
        <v>5537000</v>
      </c>
    </row>
    <row r="17" spans="1:10" ht="26.25" thickBot="1">
      <c r="A17" s="208" t="s">
        <v>245</v>
      </c>
      <c r="B17" s="62" t="s">
        <v>246</v>
      </c>
      <c r="C17" s="64">
        <v>131335000</v>
      </c>
      <c r="D17" s="65"/>
      <c r="E17" s="64"/>
      <c r="F17" s="65"/>
      <c r="G17" s="64"/>
      <c r="H17" s="65"/>
      <c r="I17" s="64">
        <f t="shared" si="0"/>
        <v>131335000</v>
      </c>
      <c r="J17" s="65">
        <f t="shared" si="1"/>
        <v>0</v>
      </c>
    </row>
    <row r="18" spans="1:10" ht="13.5" thickBot="1">
      <c r="A18" s="210"/>
      <c r="B18" s="79"/>
      <c r="C18" s="82"/>
      <c r="D18" s="82"/>
      <c r="E18" s="82"/>
      <c r="F18" s="82"/>
      <c r="G18" s="82"/>
      <c r="H18" s="82"/>
      <c r="I18" s="82"/>
      <c r="J18" s="82"/>
    </row>
    <row r="19" spans="1:26" s="4" customFormat="1" ht="27.75" customHeight="1">
      <c r="A19" s="73" t="s">
        <v>76</v>
      </c>
      <c r="B19" s="45" t="s">
        <v>284</v>
      </c>
      <c r="C19" s="77">
        <v>269805573</v>
      </c>
      <c r="D19" s="76"/>
      <c r="E19" s="75"/>
      <c r="F19" s="76"/>
      <c r="G19" s="75"/>
      <c r="H19" s="76"/>
      <c r="I19" s="77">
        <f aca="true" t="shared" si="2" ref="I19:I28">C19+E19+G19</f>
        <v>269805573</v>
      </c>
      <c r="J19" s="259">
        <f aca="true" t="shared" si="3" ref="J19:J28">D19+F19+H19</f>
        <v>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10" ht="38.25">
      <c r="A20" s="32" t="s">
        <v>121</v>
      </c>
      <c r="B20" s="29"/>
      <c r="C20" s="33"/>
      <c r="D20" s="34"/>
      <c r="E20" s="33"/>
      <c r="F20" s="34"/>
      <c r="G20" s="33"/>
      <c r="H20" s="34"/>
      <c r="I20" s="42">
        <f t="shared" si="2"/>
        <v>0</v>
      </c>
      <c r="J20" s="43">
        <f t="shared" si="3"/>
        <v>0</v>
      </c>
    </row>
    <row r="21" spans="1:10" ht="12.75">
      <c r="A21" s="72" t="s">
        <v>21</v>
      </c>
      <c r="B21" s="45" t="s">
        <v>284</v>
      </c>
      <c r="C21" s="30">
        <v>5265974</v>
      </c>
      <c r="D21" s="31"/>
      <c r="E21" s="30"/>
      <c r="F21" s="31"/>
      <c r="G21" s="30"/>
      <c r="H21" s="31"/>
      <c r="I21" s="30">
        <f t="shared" si="2"/>
        <v>5265974</v>
      </c>
      <c r="J21" s="31">
        <f t="shared" si="3"/>
        <v>0</v>
      </c>
    </row>
    <row r="22" spans="1:10" ht="12.75">
      <c r="A22" s="72" t="s">
        <v>27</v>
      </c>
      <c r="B22" s="45" t="s">
        <v>284</v>
      </c>
      <c r="C22" s="30">
        <v>4281661</v>
      </c>
      <c r="D22" s="31"/>
      <c r="E22" s="30"/>
      <c r="F22" s="31"/>
      <c r="G22" s="30"/>
      <c r="H22" s="31"/>
      <c r="I22" s="30">
        <f t="shared" si="2"/>
        <v>4281661</v>
      </c>
      <c r="J22" s="31">
        <f t="shared" si="3"/>
        <v>0</v>
      </c>
    </row>
    <row r="23" spans="1:10" ht="12.75">
      <c r="A23" s="72" t="s">
        <v>20</v>
      </c>
      <c r="B23" s="45" t="s">
        <v>284</v>
      </c>
      <c r="C23" s="30">
        <v>6999905</v>
      </c>
      <c r="D23" s="31"/>
      <c r="E23" s="30"/>
      <c r="F23" s="31"/>
      <c r="G23" s="30"/>
      <c r="H23" s="31"/>
      <c r="I23" s="30">
        <f t="shared" si="2"/>
        <v>6999905</v>
      </c>
      <c r="J23" s="31">
        <f t="shared" si="3"/>
        <v>0</v>
      </c>
    </row>
    <row r="24" spans="1:26" s="6" customFormat="1" ht="12.75">
      <c r="A24" s="72" t="s">
        <v>22</v>
      </c>
      <c r="B24" s="45" t="s">
        <v>284</v>
      </c>
      <c r="C24" s="30">
        <v>12875184</v>
      </c>
      <c r="D24" s="31"/>
      <c r="E24" s="30"/>
      <c r="F24" s="31"/>
      <c r="G24" s="30"/>
      <c r="H24" s="31"/>
      <c r="I24" s="30">
        <f t="shared" si="2"/>
        <v>12875184</v>
      </c>
      <c r="J24" s="31">
        <f t="shared" si="3"/>
        <v>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s="5" customFormat="1" ht="13.5">
      <c r="A25" s="72" t="s">
        <v>28</v>
      </c>
      <c r="B25" s="45" t="s">
        <v>284</v>
      </c>
      <c r="C25" s="30">
        <v>2466552</v>
      </c>
      <c r="D25" s="34"/>
      <c r="E25" s="33"/>
      <c r="F25" s="34"/>
      <c r="G25" s="33"/>
      <c r="H25" s="34"/>
      <c r="I25" s="30">
        <f t="shared" si="2"/>
        <v>2466552</v>
      </c>
      <c r="J25" s="43">
        <f t="shared" si="3"/>
        <v>0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10" ht="12.75">
      <c r="A26" s="32"/>
      <c r="B26" s="45"/>
      <c r="C26" s="30"/>
      <c r="D26" s="31"/>
      <c r="E26" s="30"/>
      <c r="F26" s="31"/>
      <c r="G26" s="30"/>
      <c r="H26" s="31"/>
      <c r="I26" s="30">
        <f t="shared" si="2"/>
        <v>0</v>
      </c>
      <c r="J26" s="31">
        <f t="shared" si="3"/>
        <v>0</v>
      </c>
    </row>
    <row r="27" spans="1:10" ht="12.75">
      <c r="A27" s="28" t="s">
        <v>119</v>
      </c>
      <c r="B27" s="45" t="s">
        <v>284</v>
      </c>
      <c r="C27" s="30">
        <v>11550560</v>
      </c>
      <c r="D27" s="31"/>
      <c r="E27" s="30"/>
      <c r="F27" s="31"/>
      <c r="G27" s="30"/>
      <c r="H27" s="31"/>
      <c r="I27" s="30">
        <f t="shared" si="2"/>
        <v>11550560</v>
      </c>
      <c r="J27" s="31">
        <f t="shared" si="3"/>
        <v>0</v>
      </c>
    </row>
    <row r="28" spans="1:26" s="11" customFormat="1" ht="13.5" thickBot="1">
      <c r="A28" s="62" t="s">
        <v>120</v>
      </c>
      <c r="B28" s="63" t="s">
        <v>118</v>
      </c>
      <c r="C28" s="64">
        <v>2279000</v>
      </c>
      <c r="D28" s="65"/>
      <c r="E28" s="64"/>
      <c r="F28" s="65"/>
      <c r="G28" s="64"/>
      <c r="H28" s="65"/>
      <c r="I28" s="64">
        <f t="shared" si="2"/>
        <v>2279000</v>
      </c>
      <c r="J28" s="65">
        <f t="shared" si="3"/>
        <v>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11" customFormat="1" ht="13.5" thickBot="1">
      <c r="A29" s="83"/>
      <c r="B29" s="83"/>
      <c r="C29" s="84"/>
      <c r="D29" s="84"/>
      <c r="E29" s="84"/>
      <c r="F29" s="84"/>
      <c r="G29" s="84"/>
      <c r="H29" s="84"/>
      <c r="I29" s="82"/>
      <c r="J29" s="8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11" customFormat="1" ht="12.75">
      <c r="A30" s="85" t="s">
        <v>251</v>
      </c>
      <c r="B30" s="85" t="s">
        <v>118</v>
      </c>
      <c r="C30" s="77">
        <v>200000</v>
      </c>
      <c r="D30" s="225"/>
      <c r="E30" s="260"/>
      <c r="F30" s="259"/>
      <c r="G30" s="260"/>
      <c r="H30" s="259"/>
      <c r="I30" s="77">
        <f>C30+E30+G30</f>
        <v>200000</v>
      </c>
      <c r="J30" s="225">
        <f>D30+F30+H30</f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1" customFormat="1" ht="13.5" thickBot="1">
      <c r="A31" s="62" t="s">
        <v>309</v>
      </c>
      <c r="B31" s="95" t="s">
        <v>184</v>
      </c>
      <c r="C31" s="64">
        <f>1500000</f>
        <v>1500000</v>
      </c>
      <c r="D31" s="65"/>
      <c r="E31" s="237"/>
      <c r="F31" s="236"/>
      <c r="G31" s="237"/>
      <c r="H31" s="236"/>
      <c r="I31" s="64">
        <f>C31+E31+G31</f>
        <v>1500000</v>
      </c>
      <c r="J31" s="65">
        <f>D31+F31+H31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11" customFormat="1" ht="13.5" thickBot="1">
      <c r="A32" s="25"/>
      <c r="B32" s="25"/>
      <c r="C32" s="25"/>
      <c r="D32" s="25"/>
      <c r="E32" s="66"/>
      <c r="F32" s="66"/>
      <c r="G32" s="66"/>
      <c r="H32" s="66"/>
      <c r="I32" s="66"/>
      <c r="J32" s="6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1" customFormat="1" ht="12.75">
      <c r="A33" s="85" t="s">
        <v>115</v>
      </c>
      <c r="B33" s="74" t="s">
        <v>117</v>
      </c>
      <c r="C33" s="77"/>
      <c r="D33" s="225">
        <v>85000000</v>
      </c>
      <c r="E33" s="77"/>
      <c r="F33" s="86"/>
      <c r="G33" s="87"/>
      <c r="H33" s="86"/>
      <c r="I33" s="87">
        <f>C33+E33+G33</f>
        <v>0</v>
      </c>
      <c r="J33" s="86">
        <f>D33+F33+H33</f>
        <v>85000000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11" customFormat="1" ht="13.5" thickBot="1">
      <c r="A34" s="62" t="s">
        <v>116</v>
      </c>
      <c r="B34" s="28" t="s">
        <v>246</v>
      </c>
      <c r="C34" s="64">
        <v>29067621</v>
      </c>
      <c r="D34" s="65"/>
      <c r="E34" s="64"/>
      <c r="F34" s="88"/>
      <c r="G34" s="89"/>
      <c r="H34" s="88"/>
      <c r="I34" s="89">
        <f>C34+E34+G34</f>
        <v>29067621</v>
      </c>
      <c r="J34" s="88">
        <f>D34+F34+H34</f>
        <v>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11" customFormat="1" ht="13.5" thickBot="1">
      <c r="A35" s="79"/>
      <c r="B35" s="79"/>
      <c r="C35" s="82"/>
      <c r="D35" s="82"/>
      <c r="E35" s="82"/>
      <c r="F35" s="96"/>
      <c r="G35" s="96"/>
      <c r="H35" s="96"/>
      <c r="I35" s="96"/>
      <c r="J35" s="96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11" customFormat="1" ht="13.5">
      <c r="A36" s="97" t="s">
        <v>308</v>
      </c>
      <c r="B36" s="91"/>
      <c r="C36" s="92"/>
      <c r="D36" s="93"/>
      <c r="E36" s="92"/>
      <c r="F36" s="86"/>
      <c r="G36" s="87"/>
      <c r="H36" s="86"/>
      <c r="I36" s="87">
        <f aca="true" t="shared" si="4" ref="I36:I46">C36+E36+G36</f>
        <v>0</v>
      </c>
      <c r="J36" s="86">
        <f aca="true" t="shared" si="5" ref="J36:J46">D36+F36+H36</f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1" customFormat="1" ht="25.5">
      <c r="A37" s="90" t="s">
        <v>149</v>
      </c>
      <c r="B37" s="29" t="s">
        <v>122</v>
      </c>
      <c r="C37" s="30">
        <v>18137390</v>
      </c>
      <c r="D37" s="43"/>
      <c r="E37" s="42"/>
      <c r="F37" s="47"/>
      <c r="G37" s="46"/>
      <c r="H37" s="47"/>
      <c r="I37" s="46">
        <f t="shared" si="4"/>
        <v>18137390</v>
      </c>
      <c r="J37" s="47">
        <f t="shared" si="5"/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11" customFormat="1" ht="12.75">
      <c r="A38" s="102" t="s">
        <v>151</v>
      </c>
      <c r="B38" s="45" t="s">
        <v>123</v>
      </c>
      <c r="C38" s="46">
        <v>4026643.5996</v>
      </c>
      <c r="D38" s="47"/>
      <c r="E38" s="46"/>
      <c r="F38" s="47"/>
      <c r="G38" s="46"/>
      <c r="H38" s="47"/>
      <c r="I38" s="46">
        <f t="shared" si="4"/>
        <v>4026643.5996</v>
      </c>
      <c r="J38" s="47">
        <f t="shared" si="5"/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11" customFormat="1" ht="12.75">
      <c r="A39" s="103" t="s">
        <v>150</v>
      </c>
      <c r="B39" s="29" t="s">
        <v>122</v>
      </c>
      <c r="C39" s="30">
        <v>2905018</v>
      </c>
      <c r="D39" s="43"/>
      <c r="E39" s="42"/>
      <c r="F39" s="47"/>
      <c r="G39" s="46"/>
      <c r="H39" s="47"/>
      <c r="I39" s="46">
        <f t="shared" si="4"/>
        <v>2905018</v>
      </c>
      <c r="J39" s="47">
        <f t="shared" si="5"/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11" customFormat="1" ht="12.75">
      <c r="A40" s="102" t="s">
        <v>152</v>
      </c>
      <c r="B40" s="45" t="s">
        <v>123</v>
      </c>
      <c r="C40" s="46">
        <v>664532.3208910744</v>
      </c>
      <c r="D40" s="47"/>
      <c r="E40" s="46"/>
      <c r="F40" s="47"/>
      <c r="G40" s="46"/>
      <c r="H40" s="47"/>
      <c r="I40" s="46">
        <f t="shared" si="4"/>
        <v>664532.3208910744</v>
      </c>
      <c r="J40" s="47">
        <f t="shared" si="5"/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11" customFormat="1" ht="12.75">
      <c r="A41" s="102" t="s">
        <v>131</v>
      </c>
      <c r="B41" s="45" t="s">
        <v>122</v>
      </c>
      <c r="C41" s="46"/>
      <c r="D41" s="47"/>
      <c r="E41" s="46">
        <v>12096000</v>
      </c>
      <c r="F41" s="47"/>
      <c r="G41" s="46"/>
      <c r="H41" s="47"/>
      <c r="I41" s="46">
        <f t="shared" si="4"/>
        <v>12096000</v>
      </c>
      <c r="J41" s="47">
        <f t="shared" si="5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11" customFormat="1" ht="12.75">
      <c r="A42" s="102" t="s">
        <v>132</v>
      </c>
      <c r="B42" s="45" t="s">
        <v>123</v>
      </c>
      <c r="C42" s="46"/>
      <c r="D42" s="47"/>
      <c r="E42" s="46">
        <v>2711520</v>
      </c>
      <c r="F42" s="47"/>
      <c r="G42" s="46"/>
      <c r="H42" s="47"/>
      <c r="I42" s="46">
        <f t="shared" si="4"/>
        <v>2711520</v>
      </c>
      <c r="J42" s="47">
        <f t="shared" si="5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11" customFormat="1" ht="12.75">
      <c r="A43" s="102" t="s">
        <v>124</v>
      </c>
      <c r="B43" s="45" t="s">
        <v>118</v>
      </c>
      <c r="C43" s="46">
        <v>23600</v>
      </c>
      <c r="D43" s="47"/>
      <c r="E43" s="46"/>
      <c r="F43" s="47"/>
      <c r="G43" s="46"/>
      <c r="H43" s="47"/>
      <c r="I43" s="46">
        <f t="shared" si="4"/>
        <v>23600</v>
      </c>
      <c r="J43" s="47">
        <f t="shared" si="5"/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11" customFormat="1" ht="12.75">
      <c r="A44" s="102" t="s">
        <v>135</v>
      </c>
      <c r="B44" s="45" t="s">
        <v>118</v>
      </c>
      <c r="C44" s="46">
        <v>4800000</v>
      </c>
      <c r="D44" s="47"/>
      <c r="E44" s="46"/>
      <c r="F44" s="47"/>
      <c r="G44" s="46"/>
      <c r="H44" s="47"/>
      <c r="I44" s="46">
        <f t="shared" si="4"/>
        <v>4800000</v>
      </c>
      <c r="J44" s="47">
        <f t="shared" si="5"/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11" customFormat="1" ht="12.75">
      <c r="A45" s="102" t="s">
        <v>133</v>
      </c>
      <c r="B45" s="45" t="s">
        <v>118</v>
      </c>
      <c r="C45" s="46"/>
      <c r="D45" s="47"/>
      <c r="E45" s="46">
        <f>4800000</f>
        <v>4800000</v>
      </c>
      <c r="F45" s="47"/>
      <c r="G45" s="46"/>
      <c r="H45" s="47"/>
      <c r="I45" s="46">
        <f t="shared" si="4"/>
        <v>4800000</v>
      </c>
      <c r="J45" s="47">
        <f t="shared" si="5"/>
        <v>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11" customFormat="1" ht="13.5" thickBot="1">
      <c r="A46" s="94" t="s">
        <v>134</v>
      </c>
      <c r="B46" s="95" t="s">
        <v>118</v>
      </c>
      <c r="C46" s="89"/>
      <c r="D46" s="88"/>
      <c r="E46" s="89">
        <f>254000*12</f>
        <v>3048000</v>
      </c>
      <c r="F46" s="88"/>
      <c r="G46" s="89"/>
      <c r="H46" s="88"/>
      <c r="I46" s="89">
        <f t="shared" si="4"/>
        <v>3048000</v>
      </c>
      <c r="J46" s="88">
        <f t="shared" si="5"/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11" customFormat="1" ht="13.5" thickBot="1">
      <c r="A47" s="32"/>
      <c r="B47" s="45"/>
      <c r="C47" s="46"/>
      <c r="D47" s="47"/>
      <c r="E47" s="46"/>
      <c r="F47" s="47"/>
      <c r="G47" s="46"/>
      <c r="H47" s="47"/>
      <c r="I47" s="46"/>
      <c r="J47" s="4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11" customFormat="1" ht="27">
      <c r="A48" s="100" t="s">
        <v>125</v>
      </c>
      <c r="B48" s="99"/>
      <c r="C48" s="87"/>
      <c r="D48" s="86"/>
      <c r="E48" s="87"/>
      <c r="F48" s="86"/>
      <c r="G48" s="87"/>
      <c r="H48" s="86"/>
      <c r="I48" s="87">
        <f aca="true" t="shared" si="6" ref="I48:I68">C48+E48+G48</f>
        <v>0</v>
      </c>
      <c r="J48" s="86">
        <f aca="true" t="shared" si="7" ref="J48:J68">D48+F48+H48</f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11" customFormat="1" ht="12.75">
      <c r="A49" s="98" t="s">
        <v>20</v>
      </c>
      <c r="B49" s="45" t="s">
        <v>118</v>
      </c>
      <c r="C49" s="46">
        <f>4151325-253340</f>
        <v>3897985</v>
      </c>
      <c r="D49" s="47"/>
      <c r="E49" s="46"/>
      <c r="F49" s="47"/>
      <c r="G49" s="46"/>
      <c r="H49" s="47"/>
      <c r="I49" s="46">
        <f t="shared" si="6"/>
        <v>3897985</v>
      </c>
      <c r="J49" s="47">
        <f t="shared" si="7"/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10" ht="12.75">
      <c r="A50" s="98"/>
      <c r="B50" s="45" t="s">
        <v>130</v>
      </c>
      <c r="C50" s="46"/>
      <c r="D50" s="47">
        <f>762382-48665</f>
        <v>713717</v>
      </c>
      <c r="E50" s="46"/>
      <c r="F50" s="47"/>
      <c r="G50" s="46"/>
      <c r="H50" s="47"/>
      <c r="I50" s="46">
        <f t="shared" si="6"/>
        <v>0</v>
      </c>
      <c r="J50" s="47">
        <f t="shared" si="7"/>
        <v>713717</v>
      </c>
    </row>
    <row r="51" spans="1:26" s="11" customFormat="1" ht="12.75">
      <c r="A51" s="32" t="s">
        <v>21</v>
      </c>
      <c r="B51" s="45" t="s">
        <v>118</v>
      </c>
      <c r="C51" s="46">
        <f>19153987-1227912</f>
        <v>17926075</v>
      </c>
      <c r="D51" s="47"/>
      <c r="E51" s="46"/>
      <c r="F51" s="47"/>
      <c r="G51" s="46"/>
      <c r="H51" s="47"/>
      <c r="I51" s="46">
        <f t="shared" si="6"/>
        <v>17926075</v>
      </c>
      <c r="J51" s="47">
        <f t="shared" si="7"/>
        <v>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11" customFormat="1" ht="12.75">
      <c r="A52" s="98"/>
      <c r="B52" s="45" t="s">
        <v>130</v>
      </c>
      <c r="C52" s="46"/>
      <c r="D52" s="47">
        <f>4609541-252080</f>
        <v>4357461</v>
      </c>
      <c r="E52" s="46"/>
      <c r="F52" s="47"/>
      <c r="G52" s="46"/>
      <c r="H52" s="47"/>
      <c r="I52" s="46">
        <f t="shared" si="6"/>
        <v>0</v>
      </c>
      <c r="J52" s="47">
        <f t="shared" si="7"/>
        <v>4357461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11" customFormat="1" ht="12.75">
      <c r="A53" s="32" t="s">
        <v>27</v>
      </c>
      <c r="B53" s="45" t="s">
        <v>118</v>
      </c>
      <c r="C53" s="46">
        <f>9305136-488110</f>
        <v>8817026</v>
      </c>
      <c r="D53" s="47"/>
      <c r="E53" s="46"/>
      <c r="F53" s="47"/>
      <c r="G53" s="46"/>
      <c r="H53" s="47"/>
      <c r="I53" s="46">
        <f t="shared" si="6"/>
        <v>8817026</v>
      </c>
      <c r="J53" s="47">
        <f t="shared" si="7"/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s="11" customFormat="1" ht="12.75">
      <c r="A54" s="98"/>
      <c r="B54" s="45" t="s">
        <v>130</v>
      </c>
      <c r="C54" s="46"/>
      <c r="D54" s="47">
        <f>1516583-84245</f>
        <v>1432338</v>
      </c>
      <c r="E54" s="46"/>
      <c r="F54" s="47"/>
      <c r="G54" s="46"/>
      <c r="H54" s="47"/>
      <c r="I54" s="46">
        <f t="shared" si="6"/>
        <v>0</v>
      </c>
      <c r="J54" s="47">
        <f t="shared" si="7"/>
        <v>1432338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s="11" customFormat="1" ht="12.75">
      <c r="A55" s="32" t="s">
        <v>22</v>
      </c>
      <c r="B55" s="45" t="s">
        <v>118</v>
      </c>
      <c r="C55" s="46">
        <f>18094223-1128376</f>
        <v>16965847</v>
      </c>
      <c r="D55" s="47"/>
      <c r="E55" s="46"/>
      <c r="F55" s="47"/>
      <c r="G55" s="46"/>
      <c r="H55" s="47"/>
      <c r="I55" s="46">
        <f t="shared" si="6"/>
        <v>16965847</v>
      </c>
      <c r="J55" s="47">
        <f t="shared" si="7"/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10" ht="12.75">
      <c r="A56" s="98"/>
      <c r="B56" s="45" t="s">
        <v>130</v>
      </c>
      <c r="C56" s="46"/>
      <c r="D56" s="47">
        <f>3420415-79200</f>
        <v>3341215</v>
      </c>
      <c r="E56" s="46"/>
      <c r="F56" s="47"/>
      <c r="G56" s="46"/>
      <c r="H56" s="47"/>
      <c r="I56" s="46">
        <f t="shared" si="6"/>
        <v>0</v>
      </c>
      <c r="J56" s="47">
        <f t="shared" si="7"/>
        <v>3341215</v>
      </c>
    </row>
    <row r="57" spans="1:26" s="11" customFormat="1" ht="12.75">
      <c r="A57" s="32" t="s">
        <v>28</v>
      </c>
      <c r="B57" s="45" t="s">
        <v>118</v>
      </c>
      <c r="C57" s="46">
        <f>3986759-702798</f>
        <v>3283961</v>
      </c>
      <c r="D57" s="47"/>
      <c r="E57" s="46"/>
      <c r="F57" s="47"/>
      <c r="G57" s="46"/>
      <c r="H57" s="47"/>
      <c r="I57" s="46">
        <f t="shared" si="6"/>
        <v>3283961</v>
      </c>
      <c r="J57" s="47">
        <f t="shared" si="7"/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11" customFormat="1" ht="12.75">
      <c r="A58" s="98"/>
      <c r="B58" s="45" t="s">
        <v>130</v>
      </c>
      <c r="C58" s="46"/>
      <c r="D58" s="47">
        <f>1172922-88570</f>
        <v>1084352</v>
      </c>
      <c r="E58" s="46"/>
      <c r="F58" s="47"/>
      <c r="G58" s="46"/>
      <c r="H58" s="47"/>
      <c r="I58" s="46">
        <f t="shared" si="6"/>
        <v>0</v>
      </c>
      <c r="J58" s="47">
        <f t="shared" si="7"/>
        <v>1084352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s="11" customFormat="1" ht="12.75">
      <c r="A59" s="32" t="s">
        <v>126</v>
      </c>
      <c r="B59" s="45" t="s">
        <v>118</v>
      </c>
      <c r="C59" s="30">
        <f>23449654-1856507</f>
        <v>21593147</v>
      </c>
      <c r="D59" s="31"/>
      <c r="E59" s="30"/>
      <c r="F59" s="31"/>
      <c r="G59" s="30"/>
      <c r="H59" s="31"/>
      <c r="I59" s="30">
        <f t="shared" si="6"/>
        <v>21593147</v>
      </c>
      <c r="J59" s="31">
        <f t="shared" si="7"/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s="11" customFormat="1" ht="12.75">
      <c r="A60" s="98"/>
      <c r="B60" s="45" t="s">
        <v>130</v>
      </c>
      <c r="C60" s="46"/>
      <c r="D60" s="47">
        <f>9326928-4420</f>
        <v>9322508</v>
      </c>
      <c r="E60" s="46"/>
      <c r="F60" s="47"/>
      <c r="G60" s="46"/>
      <c r="H60" s="47"/>
      <c r="I60" s="46">
        <f t="shared" si="6"/>
        <v>0</v>
      </c>
      <c r="J60" s="47">
        <f t="shared" si="7"/>
        <v>9322508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s="11" customFormat="1" ht="12.75">
      <c r="A61" s="32" t="s">
        <v>127</v>
      </c>
      <c r="B61" s="45" t="s">
        <v>118</v>
      </c>
      <c r="C61" s="46">
        <f>17448562-1325669</f>
        <v>16122893</v>
      </c>
      <c r="D61" s="47"/>
      <c r="E61" s="46"/>
      <c r="F61" s="47"/>
      <c r="G61" s="46"/>
      <c r="H61" s="47"/>
      <c r="I61" s="46">
        <f t="shared" si="6"/>
        <v>16122893</v>
      </c>
      <c r="J61" s="47">
        <f t="shared" si="7"/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s="11" customFormat="1" ht="12.75">
      <c r="A62" s="98"/>
      <c r="B62" s="45" t="s">
        <v>130</v>
      </c>
      <c r="C62" s="46"/>
      <c r="D62" s="47">
        <v>5120148</v>
      </c>
      <c r="E62" s="46"/>
      <c r="F62" s="47"/>
      <c r="G62" s="46"/>
      <c r="H62" s="47"/>
      <c r="I62" s="46">
        <f t="shared" si="6"/>
        <v>0</v>
      </c>
      <c r="J62" s="47">
        <f t="shared" si="7"/>
        <v>5120148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s="11" customFormat="1" ht="12.75">
      <c r="A63" s="32" t="s">
        <v>128</v>
      </c>
      <c r="B63" s="45" t="s">
        <v>118</v>
      </c>
      <c r="C63" s="46">
        <f>3758260+47510700</f>
        <v>51268960</v>
      </c>
      <c r="D63" s="47"/>
      <c r="E63" s="46"/>
      <c r="F63" s="47"/>
      <c r="G63" s="46"/>
      <c r="H63" s="47"/>
      <c r="I63" s="46">
        <f t="shared" si="6"/>
        <v>51268960</v>
      </c>
      <c r="J63" s="47">
        <f t="shared" si="7"/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s="11" customFormat="1" ht="12.75">
      <c r="A64" s="98"/>
      <c r="B64" s="45" t="s">
        <v>130</v>
      </c>
      <c r="C64" s="46"/>
      <c r="D64" s="47">
        <f>1867853+22002750</f>
        <v>23870603</v>
      </c>
      <c r="E64" s="46"/>
      <c r="F64" s="47"/>
      <c r="G64" s="46"/>
      <c r="H64" s="47"/>
      <c r="I64" s="46">
        <f t="shared" si="6"/>
        <v>0</v>
      </c>
      <c r="J64" s="47">
        <f t="shared" si="7"/>
        <v>23870603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s="11" customFormat="1" ht="12.75">
      <c r="A65" s="32" t="s">
        <v>129</v>
      </c>
      <c r="B65" s="45" t="s">
        <v>118</v>
      </c>
      <c r="C65" s="30">
        <f>20017035+2909621+48557688</f>
        <v>71484344</v>
      </c>
      <c r="D65" s="31"/>
      <c r="E65" s="30"/>
      <c r="F65" s="31"/>
      <c r="G65" s="30"/>
      <c r="H65" s="31"/>
      <c r="I65" s="30">
        <f t="shared" si="6"/>
        <v>71484344</v>
      </c>
      <c r="J65" s="31">
        <f t="shared" si="7"/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s="11" customFormat="1" ht="12.75">
      <c r="A66" s="28"/>
      <c r="B66" s="45" t="s">
        <v>130</v>
      </c>
      <c r="C66" s="46"/>
      <c r="D66" s="47">
        <f>1672845+246698+5334000</f>
        <v>7253543</v>
      </c>
      <c r="E66" s="46"/>
      <c r="F66" s="47"/>
      <c r="G66" s="46"/>
      <c r="H66" s="47"/>
      <c r="I66" s="46">
        <f t="shared" si="6"/>
        <v>0</v>
      </c>
      <c r="J66" s="47">
        <f t="shared" si="7"/>
        <v>7253543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s="11" customFormat="1" ht="12.75">
      <c r="A67" s="32" t="s">
        <v>232</v>
      </c>
      <c r="B67" s="45" t="s">
        <v>118</v>
      </c>
      <c r="C67" s="30">
        <v>500000</v>
      </c>
      <c r="D67" s="31"/>
      <c r="E67" s="30"/>
      <c r="F67" s="31"/>
      <c r="G67" s="30"/>
      <c r="H67" s="31"/>
      <c r="I67" s="30">
        <f t="shared" si="6"/>
        <v>500000</v>
      </c>
      <c r="J67" s="31">
        <f t="shared" si="7"/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s="11" customFormat="1" ht="13.5" thickBot="1">
      <c r="A68" s="62"/>
      <c r="B68" s="95"/>
      <c r="C68" s="89"/>
      <c r="D68" s="88"/>
      <c r="E68" s="89"/>
      <c r="F68" s="88"/>
      <c r="G68" s="89"/>
      <c r="H68" s="88"/>
      <c r="I68" s="89">
        <f t="shared" si="6"/>
        <v>0</v>
      </c>
      <c r="J68" s="88">
        <f t="shared" si="7"/>
        <v>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s="11" customFormat="1" ht="13.5" thickBot="1">
      <c r="A69" s="32"/>
      <c r="B69" s="45"/>
      <c r="C69" s="46"/>
      <c r="D69" s="47"/>
      <c r="E69" s="46"/>
      <c r="F69" s="47"/>
      <c r="G69" s="46"/>
      <c r="H69" s="47"/>
      <c r="I69" s="46"/>
      <c r="J69" s="47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s="11" customFormat="1" ht="25.5">
      <c r="A70" s="209" t="s">
        <v>136</v>
      </c>
      <c r="B70" s="99"/>
      <c r="C70" s="87"/>
      <c r="D70" s="86"/>
      <c r="E70" s="87"/>
      <c r="F70" s="86"/>
      <c r="G70" s="87"/>
      <c r="H70" s="86"/>
      <c r="I70" s="87"/>
      <c r="J70" s="86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s="12" customFormat="1" ht="12.75">
      <c r="A71" s="32" t="s">
        <v>139</v>
      </c>
      <c r="B71" s="45" t="s">
        <v>118</v>
      </c>
      <c r="C71" s="46">
        <v>141736000</v>
      </c>
      <c r="D71" s="47"/>
      <c r="E71" s="46"/>
      <c r="F71" s="47"/>
      <c r="G71" s="46"/>
      <c r="H71" s="47"/>
      <c r="I71" s="46">
        <f aca="true" t="shared" si="8" ref="I71:I86">C71+E71+G71</f>
        <v>141736000</v>
      </c>
      <c r="J71" s="47">
        <f aca="true" t="shared" si="9" ref="J71:J86">D71+F71+H71</f>
        <v>0</v>
      </c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s="11" customFormat="1" ht="25.5">
      <c r="A72" s="32" t="s">
        <v>137</v>
      </c>
      <c r="B72" s="45" t="s">
        <v>118</v>
      </c>
      <c r="C72" s="46">
        <v>320000</v>
      </c>
      <c r="D72" s="47"/>
      <c r="E72" s="46"/>
      <c r="F72" s="47"/>
      <c r="G72" s="46"/>
      <c r="H72" s="47"/>
      <c r="I72" s="46">
        <f t="shared" si="8"/>
        <v>320000</v>
      </c>
      <c r="J72" s="47">
        <f t="shared" si="9"/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11" customFormat="1" ht="12.75">
      <c r="A73" s="32" t="s">
        <v>182</v>
      </c>
      <c r="B73" s="45" t="s">
        <v>118</v>
      </c>
      <c r="C73" s="46">
        <f>800000*1.27</f>
        <v>1016000</v>
      </c>
      <c r="D73" s="47"/>
      <c r="E73" s="46"/>
      <c r="F73" s="47"/>
      <c r="G73" s="46"/>
      <c r="H73" s="47"/>
      <c r="I73" s="46">
        <f t="shared" si="8"/>
        <v>1016000</v>
      </c>
      <c r="J73" s="47">
        <f t="shared" si="9"/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1" customFormat="1" ht="12.75">
      <c r="A74" s="32" t="s">
        <v>187</v>
      </c>
      <c r="B74" s="45" t="s">
        <v>118</v>
      </c>
      <c r="C74" s="46">
        <f>1100000*1.05</f>
        <v>1155000</v>
      </c>
      <c r="D74" s="47"/>
      <c r="E74" s="46"/>
      <c r="F74" s="47"/>
      <c r="G74" s="46"/>
      <c r="H74" s="47"/>
      <c r="I74" s="46">
        <f t="shared" si="8"/>
        <v>1155000</v>
      </c>
      <c r="J74" s="47">
        <f t="shared" si="9"/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12" customFormat="1" ht="12.75">
      <c r="A75" s="32" t="s">
        <v>188</v>
      </c>
      <c r="B75" s="45" t="s">
        <v>118</v>
      </c>
      <c r="C75" s="46">
        <f>3000000*1.27</f>
        <v>3810000</v>
      </c>
      <c r="D75" s="47"/>
      <c r="E75" s="46"/>
      <c r="F75" s="47"/>
      <c r="G75" s="46"/>
      <c r="H75" s="47"/>
      <c r="I75" s="46">
        <f t="shared" si="8"/>
        <v>3810000</v>
      </c>
      <c r="J75" s="47">
        <f t="shared" si="9"/>
        <v>0</v>
      </c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s="11" customFormat="1" ht="12.75">
      <c r="A76" s="32" t="s">
        <v>138</v>
      </c>
      <c r="B76" s="45" t="s">
        <v>118</v>
      </c>
      <c r="C76" s="46">
        <v>34000000</v>
      </c>
      <c r="D76" s="47"/>
      <c r="E76" s="46"/>
      <c r="F76" s="47"/>
      <c r="G76" s="46"/>
      <c r="H76" s="47"/>
      <c r="I76" s="46">
        <f t="shared" si="8"/>
        <v>34000000</v>
      </c>
      <c r="J76" s="47">
        <f t="shared" si="9"/>
        <v>0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s="11" customFormat="1" ht="12.75">
      <c r="A77" s="32" t="s">
        <v>77</v>
      </c>
      <c r="B77" s="45" t="s">
        <v>118</v>
      </c>
      <c r="C77" s="46">
        <v>2300000</v>
      </c>
      <c r="D77" s="47"/>
      <c r="E77" s="46"/>
      <c r="F77" s="47"/>
      <c r="G77" s="46"/>
      <c r="H77" s="47"/>
      <c r="I77" s="46">
        <f t="shared" si="8"/>
        <v>2300000</v>
      </c>
      <c r="J77" s="47">
        <f t="shared" si="9"/>
        <v>0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1" customFormat="1" ht="12.75">
      <c r="A78" s="32" t="s">
        <v>107</v>
      </c>
      <c r="B78" s="45" t="s">
        <v>118</v>
      </c>
      <c r="C78" s="46">
        <v>3590000</v>
      </c>
      <c r="D78" s="47"/>
      <c r="E78" s="46"/>
      <c r="F78" s="47"/>
      <c r="G78" s="46"/>
      <c r="H78" s="47"/>
      <c r="I78" s="46">
        <f t="shared" si="8"/>
        <v>3590000</v>
      </c>
      <c r="J78" s="47">
        <f t="shared" si="9"/>
        <v>0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11" customFormat="1" ht="12.75">
      <c r="A79" s="32" t="s">
        <v>195</v>
      </c>
      <c r="B79" s="45" t="s">
        <v>118</v>
      </c>
      <c r="C79" s="46">
        <v>110000</v>
      </c>
      <c r="D79" s="47"/>
      <c r="E79" s="46"/>
      <c r="F79" s="47"/>
      <c r="G79" s="46"/>
      <c r="H79" s="47"/>
      <c r="I79" s="46">
        <f t="shared" si="8"/>
        <v>110000</v>
      </c>
      <c r="J79" s="47">
        <f t="shared" si="9"/>
        <v>0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11" customFormat="1" ht="12.75">
      <c r="A80" s="32" t="s">
        <v>196</v>
      </c>
      <c r="B80" s="45" t="s">
        <v>118</v>
      </c>
      <c r="C80" s="46">
        <v>375000</v>
      </c>
      <c r="D80" s="47"/>
      <c r="E80" s="46"/>
      <c r="F80" s="47"/>
      <c r="G80" s="46"/>
      <c r="H80" s="47"/>
      <c r="I80" s="46">
        <f t="shared" si="8"/>
        <v>375000</v>
      </c>
      <c r="J80" s="47">
        <f t="shared" si="9"/>
        <v>0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12" customFormat="1" ht="12.75">
      <c r="A81" s="32" t="s">
        <v>213</v>
      </c>
      <c r="B81" s="45" t="s">
        <v>118</v>
      </c>
      <c r="C81" s="46">
        <f>12*13000</f>
        <v>156000</v>
      </c>
      <c r="D81" s="47"/>
      <c r="E81" s="46"/>
      <c r="F81" s="47"/>
      <c r="G81" s="46"/>
      <c r="H81" s="47"/>
      <c r="I81" s="46">
        <f t="shared" si="8"/>
        <v>156000</v>
      </c>
      <c r="J81" s="47">
        <f t="shared" si="9"/>
        <v>0</v>
      </c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s="11" customFormat="1" ht="12.75">
      <c r="A82" s="32" t="s">
        <v>207</v>
      </c>
      <c r="B82" s="45" t="s">
        <v>118</v>
      </c>
      <c r="C82" s="46">
        <v>1000000</v>
      </c>
      <c r="D82" s="47"/>
      <c r="E82" s="46"/>
      <c r="F82" s="47"/>
      <c r="G82" s="46"/>
      <c r="H82" s="47"/>
      <c r="I82" s="46">
        <f t="shared" si="8"/>
        <v>1000000</v>
      </c>
      <c r="J82" s="47">
        <f t="shared" si="9"/>
        <v>0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10" ht="12.75">
      <c r="A83" s="32" t="s">
        <v>30</v>
      </c>
      <c r="B83" s="45" t="s">
        <v>118</v>
      </c>
      <c r="C83" s="46">
        <v>4000000</v>
      </c>
      <c r="D83" s="47"/>
      <c r="E83" s="46"/>
      <c r="F83" s="47"/>
      <c r="G83" s="46"/>
      <c r="H83" s="47"/>
      <c r="I83" s="46">
        <f t="shared" si="8"/>
        <v>4000000</v>
      </c>
      <c r="J83" s="47">
        <f t="shared" si="9"/>
        <v>0</v>
      </c>
    </row>
    <row r="84" spans="1:26" s="11" customFormat="1" ht="12.75">
      <c r="A84" s="32" t="s">
        <v>296</v>
      </c>
      <c r="B84" s="45" t="s">
        <v>118</v>
      </c>
      <c r="C84" s="46">
        <v>1315000</v>
      </c>
      <c r="D84" s="47"/>
      <c r="E84" s="46"/>
      <c r="F84" s="47"/>
      <c r="G84" s="46"/>
      <c r="H84" s="47"/>
      <c r="I84" s="46">
        <f t="shared" si="8"/>
        <v>1315000</v>
      </c>
      <c r="J84" s="47">
        <f t="shared" si="9"/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11" customFormat="1" ht="12.75">
      <c r="A85" s="32" t="s">
        <v>153</v>
      </c>
      <c r="B85" s="45" t="s">
        <v>118</v>
      </c>
      <c r="C85" s="46">
        <v>500000</v>
      </c>
      <c r="D85" s="47"/>
      <c r="E85" s="46"/>
      <c r="F85" s="47"/>
      <c r="G85" s="46"/>
      <c r="H85" s="47"/>
      <c r="I85" s="46">
        <f t="shared" si="8"/>
        <v>500000</v>
      </c>
      <c r="J85" s="47">
        <f t="shared" si="9"/>
        <v>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s="11" customFormat="1" ht="26.25" thickBot="1">
      <c r="A86" s="208" t="s">
        <v>214</v>
      </c>
      <c r="B86" s="95" t="s">
        <v>130</v>
      </c>
      <c r="C86" s="89"/>
      <c r="D86" s="88">
        <v>1155000</v>
      </c>
      <c r="E86" s="89"/>
      <c r="F86" s="88"/>
      <c r="G86" s="89"/>
      <c r="H86" s="88"/>
      <c r="I86" s="89">
        <f t="shared" si="8"/>
        <v>0</v>
      </c>
      <c r="J86" s="88">
        <f t="shared" si="9"/>
        <v>1155000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s="11" customFormat="1" ht="13.5" thickBot="1">
      <c r="A87" s="48"/>
      <c r="B87" s="49"/>
      <c r="C87" s="50"/>
      <c r="D87" s="51"/>
      <c r="E87" s="50"/>
      <c r="F87" s="51"/>
      <c r="G87" s="50"/>
      <c r="H87" s="51"/>
      <c r="I87" s="50"/>
      <c r="J87" s="51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s="11" customFormat="1" ht="12.75">
      <c r="A88" s="209" t="s">
        <v>178</v>
      </c>
      <c r="B88" s="99"/>
      <c r="C88" s="87"/>
      <c r="D88" s="86"/>
      <c r="E88" s="87"/>
      <c r="F88" s="86"/>
      <c r="G88" s="87"/>
      <c r="H88" s="86"/>
      <c r="I88" s="87">
        <f aca="true" t="shared" si="10" ref="I88:J95">C88+E88+G88</f>
        <v>0</v>
      </c>
      <c r="J88" s="86">
        <f t="shared" si="10"/>
        <v>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11" customFormat="1" ht="12.75">
      <c r="A89" s="32" t="s">
        <v>14</v>
      </c>
      <c r="B89" s="45" t="s">
        <v>118</v>
      </c>
      <c r="C89" s="46">
        <v>1000000</v>
      </c>
      <c r="D89" s="51"/>
      <c r="E89" s="50"/>
      <c r="F89" s="51"/>
      <c r="G89" s="50"/>
      <c r="H89" s="51"/>
      <c r="I89" s="50">
        <f t="shared" si="10"/>
        <v>1000000</v>
      </c>
      <c r="J89" s="51">
        <f t="shared" si="10"/>
        <v>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1" customFormat="1" ht="12.75">
      <c r="A90" s="32" t="s">
        <v>15</v>
      </c>
      <c r="B90" s="45" t="s">
        <v>118</v>
      </c>
      <c r="C90" s="46">
        <v>250000</v>
      </c>
      <c r="D90" s="47"/>
      <c r="E90" s="46"/>
      <c r="F90" s="47"/>
      <c r="G90" s="46"/>
      <c r="H90" s="47"/>
      <c r="I90" s="46">
        <f t="shared" si="10"/>
        <v>250000</v>
      </c>
      <c r="J90" s="47">
        <f t="shared" si="10"/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1" customFormat="1" ht="12.75">
      <c r="A91" s="32" t="s">
        <v>16</v>
      </c>
      <c r="B91" s="45" t="s">
        <v>118</v>
      </c>
      <c r="C91" s="46">
        <v>250000</v>
      </c>
      <c r="D91" s="47"/>
      <c r="E91" s="46"/>
      <c r="F91" s="47"/>
      <c r="G91" s="46"/>
      <c r="H91" s="47"/>
      <c r="I91" s="46">
        <f t="shared" si="10"/>
        <v>250000</v>
      </c>
      <c r="J91" s="47">
        <f t="shared" si="10"/>
        <v>0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1" customFormat="1" ht="12.75">
      <c r="A92" s="32" t="s">
        <v>17</v>
      </c>
      <c r="B92" s="45" t="s">
        <v>118</v>
      </c>
      <c r="C92" s="46">
        <v>10000000</v>
      </c>
      <c r="D92" s="47"/>
      <c r="E92" s="46"/>
      <c r="F92" s="47"/>
      <c r="G92" s="46"/>
      <c r="H92" s="47"/>
      <c r="I92" s="46">
        <f t="shared" si="10"/>
        <v>10000000</v>
      </c>
      <c r="J92" s="47">
        <f t="shared" si="10"/>
        <v>0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1" customFormat="1" ht="12.75">
      <c r="A93" s="32" t="s">
        <v>141</v>
      </c>
      <c r="B93" s="45" t="s">
        <v>118</v>
      </c>
      <c r="C93" s="46">
        <v>8000000</v>
      </c>
      <c r="D93" s="47"/>
      <c r="E93" s="46"/>
      <c r="F93" s="47"/>
      <c r="G93" s="46"/>
      <c r="H93" s="47"/>
      <c r="I93" s="46">
        <f t="shared" si="10"/>
        <v>8000000</v>
      </c>
      <c r="J93" s="47">
        <f t="shared" si="10"/>
        <v>0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11" customFormat="1" ht="12.75">
      <c r="A94" s="32" t="s">
        <v>186</v>
      </c>
      <c r="B94" s="45" t="s">
        <v>118</v>
      </c>
      <c r="C94" s="46"/>
      <c r="D94" s="47"/>
      <c r="E94" s="46">
        <v>1000000</v>
      </c>
      <c r="F94" s="47"/>
      <c r="G94" s="46"/>
      <c r="H94" s="47"/>
      <c r="I94" s="46">
        <f t="shared" si="10"/>
        <v>1000000</v>
      </c>
      <c r="J94" s="47">
        <f t="shared" si="10"/>
        <v>0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s="11" customFormat="1" ht="13.5" thickBot="1">
      <c r="A95" s="208" t="s">
        <v>200</v>
      </c>
      <c r="B95" s="95" t="s">
        <v>118</v>
      </c>
      <c r="C95" s="89">
        <v>1300000</v>
      </c>
      <c r="D95" s="217"/>
      <c r="E95" s="216"/>
      <c r="F95" s="217"/>
      <c r="G95" s="216"/>
      <c r="H95" s="217"/>
      <c r="I95" s="216">
        <f t="shared" si="10"/>
        <v>1300000</v>
      </c>
      <c r="J95" s="217">
        <f t="shared" si="10"/>
        <v>0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1" customFormat="1" ht="13.5" thickBot="1">
      <c r="A96" s="32"/>
      <c r="B96" s="45"/>
      <c r="C96" s="46"/>
      <c r="D96" s="47"/>
      <c r="E96" s="46"/>
      <c r="F96" s="47"/>
      <c r="G96" s="46"/>
      <c r="H96" s="47"/>
      <c r="I96" s="46"/>
      <c r="J96" s="4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s="11" customFormat="1" ht="12.75">
      <c r="A97" s="209" t="s">
        <v>142</v>
      </c>
      <c r="B97" s="99"/>
      <c r="C97" s="87"/>
      <c r="D97" s="86"/>
      <c r="E97" s="87"/>
      <c r="F97" s="86"/>
      <c r="G97" s="87"/>
      <c r="H97" s="86"/>
      <c r="I97" s="87">
        <f aca="true" t="shared" si="11" ref="I97:I108">C97+E97+G97</f>
        <v>0</v>
      </c>
      <c r="J97" s="86">
        <f aca="true" t="shared" si="12" ref="J97:J108">D97+F97+H97</f>
        <v>0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11" customFormat="1" ht="12.75">
      <c r="A98" s="32" t="s">
        <v>143</v>
      </c>
      <c r="B98" s="45" t="s">
        <v>118</v>
      </c>
      <c r="C98" s="46">
        <v>500000</v>
      </c>
      <c r="D98" s="47"/>
      <c r="E98" s="46"/>
      <c r="F98" s="47"/>
      <c r="G98" s="46"/>
      <c r="H98" s="47"/>
      <c r="I98" s="46">
        <f t="shared" si="11"/>
        <v>500000</v>
      </c>
      <c r="J98" s="47">
        <f t="shared" si="12"/>
        <v>0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s="11" customFormat="1" ht="12.75">
      <c r="A99" s="32" t="s">
        <v>191</v>
      </c>
      <c r="B99" s="45" t="s">
        <v>118</v>
      </c>
      <c r="C99" s="46">
        <v>1000000</v>
      </c>
      <c r="D99" s="47"/>
      <c r="E99" s="46"/>
      <c r="F99" s="47"/>
      <c r="G99" s="46"/>
      <c r="H99" s="47"/>
      <c r="I99" s="46">
        <f t="shared" si="11"/>
        <v>1000000</v>
      </c>
      <c r="J99" s="47">
        <f t="shared" si="12"/>
        <v>0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s="11" customFormat="1" ht="12.75">
      <c r="A100" s="32" t="s">
        <v>144</v>
      </c>
      <c r="B100" s="45" t="s">
        <v>118</v>
      </c>
      <c r="C100" s="46">
        <v>800000</v>
      </c>
      <c r="D100" s="47"/>
      <c r="E100" s="46"/>
      <c r="F100" s="47"/>
      <c r="G100" s="46"/>
      <c r="H100" s="47"/>
      <c r="I100" s="46">
        <f t="shared" si="11"/>
        <v>800000</v>
      </c>
      <c r="J100" s="47">
        <f t="shared" si="12"/>
        <v>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11" customFormat="1" ht="25.5">
      <c r="A101" s="32" t="s">
        <v>145</v>
      </c>
      <c r="B101" s="45" t="s">
        <v>118</v>
      </c>
      <c r="C101" s="46">
        <v>2000000</v>
      </c>
      <c r="D101" s="47"/>
      <c r="E101" s="46"/>
      <c r="F101" s="47"/>
      <c r="G101" s="46"/>
      <c r="H101" s="47"/>
      <c r="I101" s="46">
        <f t="shared" si="11"/>
        <v>2000000</v>
      </c>
      <c r="J101" s="47">
        <f t="shared" si="12"/>
        <v>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1" customFormat="1" ht="12.75">
      <c r="A102" s="32" t="s">
        <v>146</v>
      </c>
      <c r="B102" s="45" t="s">
        <v>130</v>
      </c>
      <c r="C102" s="46"/>
      <c r="D102" s="47">
        <v>6500000</v>
      </c>
      <c r="E102" s="46"/>
      <c r="F102" s="47"/>
      <c r="G102" s="46"/>
      <c r="H102" s="47"/>
      <c r="I102" s="46">
        <f t="shared" si="11"/>
        <v>0</v>
      </c>
      <c r="J102" s="47">
        <f t="shared" si="12"/>
        <v>6500000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2" customFormat="1" ht="12.75">
      <c r="A103" s="32" t="s">
        <v>148</v>
      </c>
      <c r="B103" s="45" t="s">
        <v>130</v>
      </c>
      <c r="C103" s="46"/>
      <c r="D103" s="47">
        <v>800000</v>
      </c>
      <c r="E103" s="46"/>
      <c r="F103" s="47"/>
      <c r="G103" s="46"/>
      <c r="H103" s="47"/>
      <c r="I103" s="46">
        <f t="shared" si="11"/>
        <v>0</v>
      </c>
      <c r="J103" s="47">
        <f t="shared" si="12"/>
        <v>800000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s="11" customFormat="1" ht="12.75">
      <c r="A104" s="32" t="s">
        <v>189</v>
      </c>
      <c r="B104" s="29" t="s">
        <v>122</v>
      </c>
      <c r="C104" s="46"/>
      <c r="D104" s="47"/>
      <c r="E104" s="46">
        <v>200000</v>
      </c>
      <c r="F104" s="47"/>
      <c r="G104" s="46"/>
      <c r="H104" s="47"/>
      <c r="I104" s="46">
        <f t="shared" si="11"/>
        <v>200000</v>
      </c>
      <c r="J104" s="47">
        <f t="shared" si="12"/>
        <v>0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1" customFormat="1" ht="12.75">
      <c r="A105" s="32" t="s">
        <v>190</v>
      </c>
      <c r="B105" s="45" t="s">
        <v>123</v>
      </c>
      <c r="C105" s="46"/>
      <c r="D105" s="47"/>
      <c r="E105" s="46">
        <v>44000</v>
      </c>
      <c r="F105" s="47"/>
      <c r="G105" s="46"/>
      <c r="H105" s="47"/>
      <c r="I105" s="46">
        <f t="shared" si="11"/>
        <v>44000</v>
      </c>
      <c r="J105" s="47">
        <f t="shared" si="12"/>
        <v>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1" customFormat="1" ht="12.75">
      <c r="A106" s="32" t="s">
        <v>183</v>
      </c>
      <c r="B106" s="45" t="s">
        <v>118</v>
      </c>
      <c r="C106" s="46"/>
      <c r="D106" s="47"/>
      <c r="E106" s="46">
        <f>(100000*1.27)+(300000*1.27)+160000+10000*12+12*8000</f>
        <v>884000</v>
      </c>
      <c r="F106" s="47"/>
      <c r="G106" s="46"/>
      <c r="H106" s="47"/>
      <c r="I106" s="46">
        <f t="shared" si="11"/>
        <v>884000</v>
      </c>
      <c r="J106" s="47">
        <f t="shared" si="12"/>
        <v>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s="11" customFormat="1" ht="12.75">
      <c r="A107" s="32" t="s">
        <v>208</v>
      </c>
      <c r="B107" s="45" t="s">
        <v>130</v>
      </c>
      <c r="C107" s="46"/>
      <c r="D107" s="47"/>
      <c r="E107" s="46"/>
      <c r="F107" s="47">
        <v>400000</v>
      </c>
      <c r="G107" s="46"/>
      <c r="H107" s="47"/>
      <c r="I107" s="46">
        <f t="shared" si="11"/>
        <v>0</v>
      </c>
      <c r="J107" s="47">
        <f t="shared" si="12"/>
        <v>400000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11" customFormat="1" ht="13.5" thickBot="1">
      <c r="A108" s="208" t="s">
        <v>84</v>
      </c>
      <c r="B108" s="95" t="s">
        <v>184</v>
      </c>
      <c r="C108" s="89">
        <v>1000000</v>
      </c>
      <c r="D108" s="88"/>
      <c r="E108" s="89"/>
      <c r="F108" s="88"/>
      <c r="G108" s="89"/>
      <c r="H108" s="88"/>
      <c r="I108" s="89">
        <f t="shared" si="11"/>
        <v>1000000</v>
      </c>
      <c r="J108" s="88">
        <f t="shared" si="12"/>
        <v>0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s="11" customFormat="1" ht="13.5" thickBot="1">
      <c r="A109" s="32"/>
      <c r="B109" s="45"/>
      <c r="C109" s="46"/>
      <c r="D109" s="47"/>
      <c r="E109" s="46"/>
      <c r="F109" s="47"/>
      <c r="G109" s="46"/>
      <c r="H109" s="47"/>
      <c r="I109" s="46"/>
      <c r="J109" s="47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s="11" customFormat="1" ht="25.5">
      <c r="A110" s="73" t="s">
        <v>192</v>
      </c>
      <c r="B110" s="99" t="s">
        <v>118</v>
      </c>
      <c r="C110" s="87"/>
      <c r="D110" s="86"/>
      <c r="E110" s="87">
        <f>750000*3</f>
        <v>2250000</v>
      </c>
      <c r="F110" s="86"/>
      <c r="G110" s="87"/>
      <c r="H110" s="86"/>
      <c r="I110" s="87">
        <f>C110+E110+G110</f>
        <v>2250000</v>
      </c>
      <c r="J110" s="86">
        <f>D110+F110+H110</f>
        <v>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s="11" customFormat="1" ht="26.25" thickBot="1">
      <c r="A111" s="208" t="s">
        <v>192</v>
      </c>
      <c r="B111" s="95" t="s">
        <v>130</v>
      </c>
      <c r="C111" s="89"/>
      <c r="D111" s="88"/>
      <c r="E111" s="89"/>
      <c r="F111" s="88">
        <v>1125000</v>
      </c>
      <c r="G111" s="89"/>
      <c r="H111" s="88"/>
      <c r="I111" s="89">
        <f>C111+E111+G111</f>
        <v>0</v>
      </c>
      <c r="J111" s="88">
        <f>D111+F111+H111</f>
        <v>1125000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11" customFormat="1" ht="13.5" thickBot="1">
      <c r="A112" s="32"/>
      <c r="B112" s="45"/>
      <c r="C112" s="46"/>
      <c r="D112" s="47"/>
      <c r="E112" s="46"/>
      <c r="F112" s="47"/>
      <c r="G112" s="46"/>
      <c r="H112" s="47"/>
      <c r="I112" s="46"/>
      <c r="J112" s="47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s="11" customFormat="1" ht="12.75">
      <c r="A113" s="209" t="s">
        <v>140</v>
      </c>
      <c r="B113" s="99"/>
      <c r="C113" s="87"/>
      <c r="D113" s="86"/>
      <c r="E113" s="87"/>
      <c r="F113" s="86"/>
      <c r="G113" s="87"/>
      <c r="H113" s="86"/>
      <c r="I113" s="87">
        <f aca="true" t="shared" si="13" ref="I113:I122">C113+E113+G113</f>
        <v>0</v>
      </c>
      <c r="J113" s="86">
        <f aca="true" t="shared" si="14" ref="J113:J122">D113+F113+H113</f>
        <v>0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s="12" customFormat="1" ht="12.75">
      <c r="A114" s="32" t="s">
        <v>9</v>
      </c>
      <c r="B114" s="45" t="s">
        <v>197</v>
      </c>
      <c r="C114" s="46"/>
      <c r="D114" s="47">
        <v>52000000</v>
      </c>
      <c r="E114" s="46"/>
      <c r="F114" s="47"/>
      <c r="G114" s="46"/>
      <c r="H114" s="47"/>
      <c r="I114" s="46">
        <f t="shared" si="13"/>
        <v>0</v>
      </c>
      <c r="J114" s="47">
        <f t="shared" si="14"/>
        <v>52000000</v>
      </c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s="11" customFormat="1" ht="12.75">
      <c r="A115" s="32" t="s">
        <v>198</v>
      </c>
      <c r="B115" s="45" t="s">
        <v>197</v>
      </c>
      <c r="C115" s="46"/>
      <c r="D115" s="47">
        <v>15010000</v>
      </c>
      <c r="E115" s="46"/>
      <c r="F115" s="47"/>
      <c r="G115" s="46"/>
      <c r="H115" s="47"/>
      <c r="I115" s="46">
        <f t="shared" si="13"/>
        <v>0</v>
      </c>
      <c r="J115" s="47">
        <f t="shared" si="14"/>
        <v>15010000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s="11" customFormat="1" ht="12.75">
      <c r="A116" s="32" t="s">
        <v>7</v>
      </c>
      <c r="B116" s="45" t="s">
        <v>197</v>
      </c>
      <c r="C116" s="46"/>
      <c r="D116" s="47">
        <v>18000000</v>
      </c>
      <c r="E116" s="46"/>
      <c r="F116" s="47"/>
      <c r="G116" s="46"/>
      <c r="H116" s="47"/>
      <c r="I116" s="46">
        <f t="shared" si="13"/>
        <v>0</v>
      </c>
      <c r="J116" s="47">
        <f t="shared" si="14"/>
        <v>18000000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s="12" customFormat="1" ht="12.75">
      <c r="A117" s="32" t="s">
        <v>8</v>
      </c>
      <c r="B117" s="45" t="s">
        <v>197</v>
      </c>
      <c r="C117" s="46"/>
      <c r="D117" s="47">
        <v>43229900</v>
      </c>
      <c r="E117" s="46"/>
      <c r="F117" s="47"/>
      <c r="G117" s="46"/>
      <c r="H117" s="47"/>
      <c r="I117" s="46">
        <f t="shared" si="13"/>
        <v>0</v>
      </c>
      <c r="J117" s="47">
        <f t="shared" si="14"/>
        <v>43229900</v>
      </c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s="12" customFormat="1" ht="12.75">
      <c r="A118" s="32" t="s">
        <v>18</v>
      </c>
      <c r="B118" s="45" t="s">
        <v>197</v>
      </c>
      <c r="C118" s="46"/>
      <c r="D118" s="47">
        <v>295000000</v>
      </c>
      <c r="E118" s="46"/>
      <c r="F118" s="47"/>
      <c r="G118" s="46"/>
      <c r="H118" s="47"/>
      <c r="I118" s="46">
        <f t="shared" si="13"/>
        <v>0</v>
      </c>
      <c r="J118" s="47">
        <f t="shared" si="14"/>
        <v>295000000</v>
      </c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s="11" customFormat="1" ht="12.75">
      <c r="A119" s="32" t="s">
        <v>19</v>
      </c>
      <c r="B119" s="45" t="s">
        <v>197</v>
      </c>
      <c r="C119" s="46"/>
      <c r="D119" s="47">
        <v>293400</v>
      </c>
      <c r="E119" s="46"/>
      <c r="F119" s="47"/>
      <c r="G119" s="46"/>
      <c r="H119" s="47"/>
      <c r="I119" s="46">
        <f t="shared" si="13"/>
        <v>0</v>
      </c>
      <c r="J119" s="47">
        <f t="shared" si="14"/>
        <v>293400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s="11" customFormat="1" ht="12.75">
      <c r="A120" s="32" t="s">
        <v>199</v>
      </c>
      <c r="B120" s="45" t="s">
        <v>197</v>
      </c>
      <c r="C120" s="46"/>
      <c r="D120" s="47">
        <v>31424990</v>
      </c>
      <c r="E120" s="46"/>
      <c r="F120" s="47"/>
      <c r="G120" s="46"/>
      <c r="H120" s="47"/>
      <c r="I120" s="46">
        <f t="shared" si="13"/>
        <v>0</v>
      </c>
      <c r="J120" s="47">
        <f t="shared" si="14"/>
        <v>31424990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s="11" customFormat="1" ht="12.75">
      <c r="A121" s="32" t="s">
        <v>233</v>
      </c>
      <c r="B121" s="45" t="s">
        <v>197</v>
      </c>
      <c r="C121" s="46"/>
      <c r="D121" s="47">
        <v>20000</v>
      </c>
      <c r="E121" s="46"/>
      <c r="F121" s="47"/>
      <c r="G121" s="46"/>
      <c r="H121" s="47"/>
      <c r="I121" s="46">
        <f t="shared" si="13"/>
        <v>0</v>
      </c>
      <c r="J121" s="47">
        <f t="shared" si="14"/>
        <v>20000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s="11" customFormat="1" ht="13.5" thickBot="1">
      <c r="A122" s="208" t="s">
        <v>234</v>
      </c>
      <c r="B122" s="95" t="s">
        <v>118</v>
      </c>
      <c r="C122" s="89">
        <v>2000000</v>
      </c>
      <c r="D122" s="88"/>
      <c r="E122" s="89"/>
      <c r="F122" s="88"/>
      <c r="G122" s="89"/>
      <c r="H122" s="88"/>
      <c r="I122" s="89">
        <f t="shared" si="13"/>
        <v>2000000</v>
      </c>
      <c r="J122" s="88">
        <f t="shared" si="14"/>
        <v>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s="11" customFormat="1" ht="13.5" thickBot="1">
      <c r="A123" s="32"/>
      <c r="B123" s="45"/>
      <c r="C123" s="46"/>
      <c r="D123" s="47"/>
      <c r="E123" s="46"/>
      <c r="F123" s="47"/>
      <c r="G123" s="46"/>
      <c r="H123" s="47"/>
      <c r="I123" s="46"/>
      <c r="J123" s="4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s="11" customFormat="1" ht="12.75">
      <c r="A124" s="209" t="s">
        <v>272</v>
      </c>
      <c r="B124" s="99"/>
      <c r="C124" s="87"/>
      <c r="D124" s="86"/>
      <c r="E124" s="87"/>
      <c r="F124" s="86"/>
      <c r="G124" s="87"/>
      <c r="H124" s="86"/>
      <c r="I124" s="87">
        <f aca="true" t="shared" si="15" ref="I124:J126">C124+E124+G124</f>
        <v>0</v>
      </c>
      <c r="J124" s="86">
        <f t="shared" si="15"/>
        <v>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s="11" customFormat="1" ht="12.75">
      <c r="A125" s="32" t="s">
        <v>273</v>
      </c>
      <c r="B125" s="45" t="s">
        <v>274</v>
      </c>
      <c r="C125" s="46">
        <v>4900000</v>
      </c>
      <c r="D125" s="47"/>
      <c r="E125" s="46"/>
      <c r="F125" s="47"/>
      <c r="G125" s="46"/>
      <c r="H125" s="47"/>
      <c r="I125" s="46">
        <f t="shared" si="15"/>
        <v>4900000</v>
      </c>
      <c r="J125" s="47">
        <f t="shared" si="15"/>
        <v>0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s="11" customFormat="1" ht="13.5" thickBot="1">
      <c r="A126" s="208" t="s">
        <v>275</v>
      </c>
      <c r="B126" s="95" t="s">
        <v>276</v>
      </c>
      <c r="C126" s="89"/>
      <c r="D126" s="88">
        <v>3400000</v>
      </c>
      <c r="E126" s="89"/>
      <c r="F126" s="88"/>
      <c r="G126" s="89"/>
      <c r="H126" s="88"/>
      <c r="I126" s="89">
        <f t="shared" si="15"/>
        <v>0</v>
      </c>
      <c r="J126" s="88">
        <f t="shared" si="15"/>
        <v>3400000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s="11" customFormat="1" ht="13.5" thickBot="1">
      <c r="A127" s="208"/>
      <c r="B127" s="95"/>
      <c r="C127" s="89"/>
      <c r="D127" s="88"/>
      <c r="E127" s="89"/>
      <c r="F127" s="88"/>
      <c r="G127" s="89"/>
      <c r="H127" s="88"/>
      <c r="I127" s="89"/>
      <c r="J127" s="88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s="11" customFormat="1" ht="12.75">
      <c r="A128" s="209" t="s">
        <v>201</v>
      </c>
      <c r="B128" s="213"/>
      <c r="C128" s="214"/>
      <c r="D128" s="215"/>
      <c r="E128" s="214"/>
      <c r="F128" s="215"/>
      <c r="G128" s="214"/>
      <c r="H128" s="215"/>
      <c r="I128" s="214">
        <f aca="true" t="shared" si="16" ref="I128:J134">C128+E128+G128</f>
        <v>0</v>
      </c>
      <c r="J128" s="215">
        <f t="shared" si="16"/>
        <v>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s="11" customFormat="1" ht="12.75">
      <c r="A129" s="32" t="s">
        <v>105</v>
      </c>
      <c r="B129" s="45" t="s">
        <v>210</v>
      </c>
      <c r="C129" s="46">
        <v>22000000</v>
      </c>
      <c r="D129" s="47"/>
      <c r="E129" s="46"/>
      <c r="F129" s="47"/>
      <c r="G129" s="46"/>
      <c r="H129" s="47"/>
      <c r="I129" s="46">
        <f t="shared" si="16"/>
        <v>22000000</v>
      </c>
      <c r="J129" s="47">
        <f t="shared" si="16"/>
        <v>0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s="11" customFormat="1" ht="12.75">
      <c r="A130" s="32" t="s">
        <v>202</v>
      </c>
      <c r="B130" s="45" t="s">
        <v>210</v>
      </c>
      <c r="C130" s="46">
        <v>800000</v>
      </c>
      <c r="D130" s="47"/>
      <c r="E130" s="46"/>
      <c r="F130" s="47"/>
      <c r="G130" s="46"/>
      <c r="H130" s="47"/>
      <c r="I130" s="46">
        <f t="shared" si="16"/>
        <v>800000</v>
      </c>
      <c r="J130" s="47">
        <f t="shared" si="16"/>
        <v>0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s="11" customFormat="1" ht="12.75">
      <c r="A131" s="32" t="s">
        <v>203</v>
      </c>
      <c r="B131" s="45" t="s">
        <v>210</v>
      </c>
      <c r="C131" s="46">
        <v>2000000</v>
      </c>
      <c r="D131" s="47"/>
      <c r="E131" s="46"/>
      <c r="F131" s="47"/>
      <c r="G131" s="46"/>
      <c r="H131" s="47"/>
      <c r="I131" s="46">
        <f t="shared" si="16"/>
        <v>2000000</v>
      </c>
      <c r="J131" s="47">
        <f t="shared" si="16"/>
        <v>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s="12" customFormat="1" ht="12.75">
      <c r="A132" s="32" t="s">
        <v>204</v>
      </c>
      <c r="B132" s="45" t="s">
        <v>210</v>
      </c>
      <c r="C132" s="46">
        <v>2000000</v>
      </c>
      <c r="D132" s="47"/>
      <c r="E132" s="46"/>
      <c r="F132" s="47"/>
      <c r="G132" s="46"/>
      <c r="H132" s="47"/>
      <c r="I132" s="46">
        <f t="shared" si="16"/>
        <v>2000000</v>
      </c>
      <c r="J132" s="47">
        <f t="shared" si="16"/>
        <v>0</v>
      </c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s="11" customFormat="1" ht="25.5">
      <c r="A133" s="32" t="s">
        <v>205</v>
      </c>
      <c r="B133" s="45" t="s">
        <v>114</v>
      </c>
      <c r="C133" s="46"/>
      <c r="D133" s="47">
        <v>2000000</v>
      </c>
      <c r="E133" s="46"/>
      <c r="F133" s="47"/>
      <c r="G133" s="46"/>
      <c r="H133" s="47"/>
      <c r="I133" s="46">
        <f t="shared" si="16"/>
        <v>0</v>
      </c>
      <c r="J133" s="47">
        <f t="shared" si="16"/>
        <v>2000000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10" ht="13.5" thickBot="1">
      <c r="A134" s="208" t="s">
        <v>240</v>
      </c>
      <c r="B134" s="95" t="s">
        <v>235</v>
      </c>
      <c r="C134" s="89">
        <v>1000000</v>
      </c>
      <c r="D134" s="88"/>
      <c r="E134" s="89"/>
      <c r="F134" s="88"/>
      <c r="G134" s="89"/>
      <c r="H134" s="88"/>
      <c r="I134" s="89">
        <f t="shared" si="16"/>
        <v>1000000</v>
      </c>
      <c r="J134" s="88">
        <f t="shared" si="16"/>
        <v>0</v>
      </c>
    </row>
    <row r="135" spans="1:10" ht="13.5" thickBot="1">
      <c r="A135" s="213"/>
      <c r="B135" s="99"/>
      <c r="C135" s="218"/>
      <c r="D135" s="218"/>
      <c r="E135" s="218"/>
      <c r="F135" s="218"/>
      <c r="G135" s="218"/>
      <c r="H135" s="218"/>
      <c r="I135" s="218"/>
      <c r="J135" s="218"/>
    </row>
    <row r="136" spans="1:26" s="11" customFormat="1" ht="12.75">
      <c r="A136" s="209" t="s">
        <v>206</v>
      </c>
      <c r="B136" s="73" t="s">
        <v>118</v>
      </c>
      <c r="C136" s="87">
        <v>300000</v>
      </c>
      <c r="D136" s="86"/>
      <c r="E136" s="87"/>
      <c r="F136" s="86"/>
      <c r="G136" s="87"/>
      <c r="H136" s="86"/>
      <c r="I136" s="87">
        <f>C136+E136+G136</f>
        <v>300000</v>
      </c>
      <c r="J136" s="86">
        <f>D136+F136+H136</f>
        <v>0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10" ht="26.25" thickBot="1">
      <c r="A137" s="208" t="s">
        <v>212</v>
      </c>
      <c r="B137" s="95" t="s">
        <v>118</v>
      </c>
      <c r="C137" s="89"/>
      <c r="D137" s="88"/>
      <c r="E137" s="89">
        <v>500000</v>
      </c>
      <c r="F137" s="88"/>
      <c r="G137" s="89"/>
      <c r="H137" s="88"/>
      <c r="I137" s="89">
        <f>C137+E137+G137</f>
        <v>500000</v>
      </c>
      <c r="J137" s="88">
        <f>D137+F137+H137</f>
        <v>0</v>
      </c>
    </row>
    <row r="138" spans="1:10" ht="13.5" thickBot="1">
      <c r="A138" s="210"/>
      <c r="B138" s="210"/>
      <c r="C138" s="96"/>
      <c r="D138" s="96"/>
      <c r="E138" s="96"/>
      <c r="F138" s="96"/>
      <c r="G138" s="96"/>
      <c r="H138" s="96"/>
      <c r="I138" s="96"/>
      <c r="J138" s="96"/>
    </row>
    <row r="139" spans="1:10" ht="13.5" thickBot="1">
      <c r="A139" s="219" t="s">
        <v>209</v>
      </c>
      <c r="B139" s="210" t="s">
        <v>211</v>
      </c>
      <c r="C139" s="211">
        <v>1160400</v>
      </c>
      <c r="D139" s="212"/>
      <c r="E139" s="211"/>
      <c r="F139" s="212"/>
      <c r="G139" s="211"/>
      <c r="H139" s="212"/>
      <c r="I139" s="211">
        <f>C139+E139+G139</f>
        <v>1160400</v>
      </c>
      <c r="J139" s="212">
        <f>D139+F139+H139</f>
        <v>0</v>
      </c>
    </row>
    <row r="140" spans="1:10" ht="13.5" thickBot="1">
      <c r="A140" s="48"/>
      <c r="B140" s="49"/>
      <c r="C140" s="50"/>
      <c r="D140" s="51"/>
      <c r="E140" s="50"/>
      <c r="F140" s="51"/>
      <c r="G140" s="50"/>
      <c r="H140" s="51"/>
      <c r="I140" s="50"/>
      <c r="J140" s="51"/>
    </row>
    <row r="141" spans="1:10" ht="12.75">
      <c r="A141" s="209" t="s">
        <v>147</v>
      </c>
      <c r="B141" s="213"/>
      <c r="C141" s="214"/>
      <c r="D141" s="215"/>
      <c r="E141" s="214"/>
      <c r="F141" s="215"/>
      <c r="G141" s="214"/>
      <c r="H141" s="215"/>
      <c r="I141" s="87">
        <f aca="true" t="shared" si="17" ref="I141:J147">C141+E141+G141</f>
        <v>0</v>
      </c>
      <c r="J141" s="86">
        <f t="shared" si="17"/>
        <v>0</v>
      </c>
    </row>
    <row r="142" spans="1:10" ht="12.75">
      <c r="A142" s="32" t="s">
        <v>179</v>
      </c>
      <c r="B142" s="45" t="s">
        <v>118</v>
      </c>
      <c r="C142" s="50"/>
      <c r="D142" s="51"/>
      <c r="E142" s="46">
        <v>800000</v>
      </c>
      <c r="F142" s="47"/>
      <c r="G142" s="50"/>
      <c r="H142" s="51"/>
      <c r="I142" s="46">
        <f t="shared" si="17"/>
        <v>800000</v>
      </c>
      <c r="J142" s="47">
        <f t="shared" si="17"/>
        <v>0</v>
      </c>
    </row>
    <row r="143" spans="1:10" ht="12.75">
      <c r="A143" s="32" t="s">
        <v>180</v>
      </c>
      <c r="B143" s="45" t="s">
        <v>118</v>
      </c>
      <c r="C143" s="50"/>
      <c r="D143" s="51"/>
      <c r="E143" s="46">
        <v>2200000</v>
      </c>
      <c r="F143" s="47"/>
      <c r="G143" s="50"/>
      <c r="H143" s="51"/>
      <c r="I143" s="46">
        <f t="shared" si="17"/>
        <v>2200000</v>
      </c>
      <c r="J143" s="47">
        <f t="shared" si="17"/>
        <v>0</v>
      </c>
    </row>
    <row r="144" spans="1:10" ht="12.75">
      <c r="A144" s="32" t="s">
        <v>181</v>
      </c>
      <c r="B144" s="45" t="s">
        <v>118</v>
      </c>
      <c r="C144" s="50"/>
      <c r="D144" s="51"/>
      <c r="E144" s="46">
        <v>300000</v>
      </c>
      <c r="F144" s="47"/>
      <c r="G144" s="50"/>
      <c r="H144" s="51"/>
      <c r="I144" s="46">
        <f t="shared" si="17"/>
        <v>300000</v>
      </c>
      <c r="J144" s="47">
        <f t="shared" si="17"/>
        <v>0</v>
      </c>
    </row>
    <row r="145" spans="1:10" ht="25.5">
      <c r="A145" s="32" t="s">
        <v>193</v>
      </c>
      <c r="B145" s="45" t="s">
        <v>130</v>
      </c>
      <c r="C145" s="50"/>
      <c r="D145" s="51"/>
      <c r="E145" s="46"/>
      <c r="F145" s="47">
        <f>E144+E143+E142</f>
        <v>3300000</v>
      </c>
      <c r="G145" s="50"/>
      <c r="H145" s="51"/>
      <c r="I145" s="46">
        <f t="shared" si="17"/>
        <v>0</v>
      </c>
      <c r="J145" s="47">
        <f t="shared" si="17"/>
        <v>3300000</v>
      </c>
    </row>
    <row r="146" spans="1:10" ht="12.75">
      <c r="A146" s="32" t="s">
        <v>185</v>
      </c>
      <c r="B146" s="45" t="s">
        <v>118</v>
      </c>
      <c r="C146" s="46"/>
      <c r="D146" s="47"/>
      <c r="E146" s="46">
        <v>5000000</v>
      </c>
      <c r="F146" s="47"/>
      <c r="G146" s="50"/>
      <c r="H146" s="51"/>
      <c r="I146" s="46">
        <f t="shared" si="17"/>
        <v>5000000</v>
      </c>
      <c r="J146" s="47">
        <f t="shared" si="17"/>
        <v>0</v>
      </c>
    </row>
    <row r="147" spans="1:10" ht="13.5" thickBot="1">
      <c r="A147" s="208" t="s">
        <v>194</v>
      </c>
      <c r="B147" s="95" t="s">
        <v>250</v>
      </c>
      <c r="C147" s="89"/>
      <c r="D147" s="88"/>
      <c r="E147" s="89">
        <v>252000</v>
      </c>
      <c r="F147" s="217"/>
      <c r="G147" s="216"/>
      <c r="H147" s="217"/>
      <c r="I147" s="89">
        <f t="shared" si="17"/>
        <v>252000</v>
      </c>
      <c r="J147" s="88">
        <f t="shared" si="17"/>
        <v>0</v>
      </c>
    </row>
    <row r="148" spans="1:10" ht="12.75">
      <c r="A148" s="32"/>
      <c r="B148" s="45"/>
      <c r="C148" s="46"/>
      <c r="D148" s="47"/>
      <c r="E148" s="46"/>
      <c r="F148" s="47"/>
      <c r="G148" s="46"/>
      <c r="H148" s="47"/>
      <c r="I148" s="46"/>
      <c r="J148" s="47"/>
    </row>
    <row r="149" spans="1:10" ht="13.5" thickBot="1">
      <c r="A149" s="32"/>
      <c r="B149" s="45"/>
      <c r="C149" s="46"/>
      <c r="D149" s="47"/>
      <c r="E149" s="46"/>
      <c r="F149" s="47"/>
      <c r="G149" s="46"/>
      <c r="H149" s="47"/>
      <c r="I149" s="46"/>
      <c r="J149" s="47"/>
    </row>
    <row r="150" spans="1:10" ht="12.75">
      <c r="A150" s="209" t="s">
        <v>12</v>
      </c>
      <c r="B150" s="213"/>
      <c r="C150" s="214"/>
      <c r="D150" s="215"/>
      <c r="E150" s="214"/>
      <c r="F150" s="215"/>
      <c r="G150" s="214"/>
      <c r="H150" s="215"/>
      <c r="I150" s="214">
        <f aca="true" t="shared" si="18" ref="I150:I166">C150+E150+G150</f>
        <v>0</v>
      </c>
      <c r="J150" s="215">
        <f aca="true" t="shared" si="19" ref="J150:J166">D150+F150+H150</f>
        <v>0</v>
      </c>
    </row>
    <row r="151" spans="1:10" ht="12.75">
      <c r="A151" s="32" t="s">
        <v>215</v>
      </c>
      <c r="B151" s="45" t="s">
        <v>239</v>
      </c>
      <c r="C151" s="46">
        <v>3200000</v>
      </c>
      <c r="D151" s="47"/>
      <c r="E151" s="46"/>
      <c r="F151" s="47"/>
      <c r="G151" s="46"/>
      <c r="H151" s="47"/>
      <c r="I151" s="46">
        <f t="shared" si="18"/>
        <v>3200000</v>
      </c>
      <c r="J151" s="47">
        <f t="shared" si="19"/>
        <v>0</v>
      </c>
    </row>
    <row r="152" spans="1:10" ht="12.75">
      <c r="A152" s="32" t="s">
        <v>216</v>
      </c>
      <c r="B152" s="45" t="s">
        <v>239</v>
      </c>
      <c r="C152" s="46"/>
      <c r="D152" s="47"/>
      <c r="E152" s="46">
        <v>600000</v>
      </c>
      <c r="F152" s="47"/>
      <c r="G152" s="46"/>
      <c r="H152" s="47"/>
      <c r="I152" s="46">
        <f t="shared" si="18"/>
        <v>600000</v>
      </c>
      <c r="J152" s="47">
        <f t="shared" si="19"/>
        <v>0</v>
      </c>
    </row>
    <row r="153" spans="1:26" s="24" customFormat="1" ht="15.75">
      <c r="A153" s="32" t="s">
        <v>217</v>
      </c>
      <c r="B153" s="45" t="s">
        <v>239</v>
      </c>
      <c r="C153" s="46"/>
      <c r="D153" s="47"/>
      <c r="E153" s="46">
        <v>400000</v>
      </c>
      <c r="F153" s="47"/>
      <c r="G153" s="46"/>
      <c r="H153" s="47"/>
      <c r="I153" s="46">
        <f t="shared" si="18"/>
        <v>400000</v>
      </c>
      <c r="J153" s="47">
        <f t="shared" si="19"/>
        <v>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5" customFormat="1" ht="15.75">
      <c r="A154" s="220" t="s">
        <v>225</v>
      </c>
      <c r="B154" s="45"/>
      <c r="C154" s="46"/>
      <c r="D154" s="47"/>
      <c r="E154" s="46"/>
      <c r="F154" s="47"/>
      <c r="G154" s="46"/>
      <c r="H154" s="47"/>
      <c r="I154" s="46">
        <f t="shared" si="18"/>
        <v>0</v>
      </c>
      <c r="J154" s="47">
        <f t="shared" si="19"/>
        <v>0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s="15" customFormat="1" ht="15.75">
      <c r="A155" s="32" t="s">
        <v>218</v>
      </c>
      <c r="B155" s="45" t="s">
        <v>239</v>
      </c>
      <c r="C155" s="46">
        <v>3000000</v>
      </c>
      <c r="D155" s="47"/>
      <c r="E155" s="46"/>
      <c r="F155" s="47"/>
      <c r="G155" s="46"/>
      <c r="H155" s="47"/>
      <c r="I155" s="46">
        <f t="shared" si="18"/>
        <v>3000000</v>
      </c>
      <c r="J155" s="47">
        <f t="shared" si="19"/>
        <v>0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10" ht="12.75">
      <c r="A156" s="32" t="s">
        <v>219</v>
      </c>
      <c r="B156" s="45" t="s">
        <v>239</v>
      </c>
      <c r="C156" s="46">
        <v>9000000</v>
      </c>
      <c r="D156" s="47"/>
      <c r="E156" s="46"/>
      <c r="F156" s="47"/>
      <c r="G156" s="46"/>
      <c r="H156" s="47"/>
      <c r="I156" s="46">
        <f t="shared" si="18"/>
        <v>9000000</v>
      </c>
      <c r="J156" s="47">
        <f t="shared" si="19"/>
        <v>0</v>
      </c>
    </row>
    <row r="157" spans="1:10" ht="12.75">
      <c r="A157" s="32" t="s">
        <v>13</v>
      </c>
      <c r="B157" s="45" t="s">
        <v>239</v>
      </c>
      <c r="C157" s="46">
        <v>1500000</v>
      </c>
      <c r="D157" s="47"/>
      <c r="E157" s="46"/>
      <c r="F157" s="47"/>
      <c r="G157" s="46"/>
      <c r="H157" s="47"/>
      <c r="I157" s="46">
        <f t="shared" si="18"/>
        <v>1500000</v>
      </c>
      <c r="J157" s="47">
        <f t="shared" si="19"/>
        <v>0</v>
      </c>
    </row>
    <row r="158" spans="1:10" ht="12.75">
      <c r="A158" s="32" t="s">
        <v>220</v>
      </c>
      <c r="B158" s="45" t="s">
        <v>239</v>
      </c>
      <c r="C158" s="46">
        <v>1100000</v>
      </c>
      <c r="D158" s="51"/>
      <c r="E158" s="50"/>
      <c r="F158" s="51"/>
      <c r="G158" s="50"/>
      <c r="H158" s="51"/>
      <c r="I158" s="46">
        <f t="shared" si="18"/>
        <v>1100000</v>
      </c>
      <c r="J158" s="51">
        <f t="shared" si="19"/>
        <v>0</v>
      </c>
    </row>
    <row r="159" spans="1:10" ht="12.75">
      <c r="A159" s="32" t="s">
        <v>224</v>
      </c>
      <c r="B159" s="45" t="s">
        <v>239</v>
      </c>
      <c r="C159" s="46"/>
      <c r="D159" s="51"/>
      <c r="E159" s="46">
        <v>300000</v>
      </c>
      <c r="F159" s="51"/>
      <c r="G159" s="50"/>
      <c r="H159" s="51"/>
      <c r="I159" s="46">
        <f t="shared" si="18"/>
        <v>300000</v>
      </c>
      <c r="J159" s="51">
        <f t="shared" si="19"/>
        <v>0</v>
      </c>
    </row>
    <row r="160" spans="1:10" ht="12.75">
      <c r="A160" s="28" t="s">
        <v>95</v>
      </c>
      <c r="B160" s="29" t="s">
        <v>239</v>
      </c>
      <c r="C160" s="30"/>
      <c r="D160" s="31"/>
      <c r="E160" s="30">
        <v>100000</v>
      </c>
      <c r="F160" s="31"/>
      <c r="G160" s="30"/>
      <c r="H160" s="31"/>
      <c r="I160" s="30">
        <f t="shared" si="18"/>
        <v>100000</v>
      </c>
      <c r="J160" s="31">
        <f t="shared" si="19"/>
        <v>0</v>
      </c>
    </row>
    <row r="161" spans="1:10" ht="12.75">
      <c r="A161" s="32" t="s">
        <v>78</v>
      </c>
      <c r="B161" s="45" t="s">
        <v>239</v>
      </c>
      <c r="C161" s="46"/>
      <c r="D161" s="47"/>
      <c r="E161" s="46">
        <v>300000</v>
      </c>
      <c r="F161" s="47"/>
      <c r="G161" s="46"/>
      <c r="H161" s="47"/>
      <c r="I161" s="46">
        <f t="shared" si="18"/>
        <v>300000</v>
      </c>
      <c r="J161" s="47">
        <f t="shared" si="19"/>
        <v>0</v>
      </c>
    </row>
    <row r="162" spans="1:10" ht="12.75">
      <c r="A162" s="28" t="s">
        <v>226</v>
      </c>
      <c r="B162" s="29" t="s">
        <v>239</v>
      </c>
      <c r="C162" s="30"/>
      <c r="D162" s="31"/>
      <c r="E162" s="30">
        <v>300000</v>
      </c>
      <c r="F162" s="31"/>
      <c r="G162" s="30"/>
      <c r="H162" s="31"/>
      <c r="I162" s="30">
        <f t="shared" si="18"/>
        <v>300000</v>
      </c>
      <c r="J162" s="31">
        <f t="shared" si="19"/>
        <v>0</v>
      </c>
    </row>
    <row r="163" spans="1:10" ht="12.75">
      <c r="A163" s="28" t="s">
        <v>227</v>
      </c>
      <c r="B163" s="29" t="s">
        <v>239</v>
      </c>
      <c r="C163" s="30"/>
      <c r="D163" s="31"/>
      <c r="E163" s="30">
        <v>300000</v>
      </c>
      <c r="F163" s="31"/>
      <c r="G163" s="30"/>
      <c r="H163" s="31"/>
      <c r="I163" s="30">
        <f t="shared" si="18"/>
        <v>300000</v>
      </c>
      <c r="J163" s="31">
        <f t="shared" si="19"/>
        <v>0</v>
      </c>
    </row>
    <row r="164" spans="1:10" ht="12.75">
      <c r="A164" s="32" t="s">
        <v>79</v>
      </c>
      <c r="B164" s="45" t="s">
        <v>239</v>
      </c>
      <c r="C164" s="46"/>
      <c r="D164" s="47"/>
      <c r="E164" s="46">
        <v>150000</v>
      </c>
      <c r="F164" s="47"/>
      <c r="G164" s="46"/>
      <c r="H164" s="47"/>
      <c r="I164" s="46">
        <f t="shared" si="18"/>
        <v>150000</v>
      </c>
      <c r="J164" s="47">
        <f t="shared" si="19"/>
        <v>0</v>
      </c>
    </row>
    <row r="165" spans="1:10" ht="12.75">
      <c r="A165" s="28" t="s">
        <v>83</v>
      </c>
      <c r="B165" s="29" t="s">
        <v>239</v>
      </c>
      <c r="C165" s="30"/>
      <c r="D165" s="31"/>
      <c r="E165" s="30">
        <v>300000</v>
      </c>
      <c r="F165" s="31"/>
      <c r="G165" s="30"/>
      <c r="H165" s="31"/>
      <c r="I165" s="30">
        <f t="shared" si="18"/>
        <v>300000</v>
      </c>
      <c r="J165" s="31">
        <f t="shared" si="19"/>
        <v>0</v>
      </c>
    </row>
    <row r="166" spans="1:10" ht="12.75">
      <c r="A166" s="28" t="s">
        <v>80</v>
      </c>
      <c r="B166" s="29" t="s">
        <v>239</v>
      </c>
      <c r="C166" s="30"/>
      <c r="D166" s="31"/>
      <c r="E166" s="30">
        <v>150000</v>
      </c>
      <c r="F166" s="31"/>
      <c r="G166" s="30"/>
      <c r="H166" s="31"/>
      <c r="I166" s="30">
        <f t="shared" si="18"/>
        <v>150000</v>
      </c>
      <c r="J166" s="31">
        <f t="shared" si="19"/>
        <v>0</v>
      </c>
    </row>
    <row r="167" spans="1:10" ht="12.75">
      <c r="A167" s="28" t="s">
        <v>310</v>
      </c>
      <c r="B167" s="29" t="s">
        <v>239</v>
      </c>
      <c r="C167" s="30"/>
      <c r="D167" s="31"/>
      <c r="E167" s="30">
        <v>150000</v>
      </c>
      <c r="F167" s="31"/>
      <c r="G167" s="30"/>
      <c r="H167" s="31"/>
      <c r="I167" s="30">
        <f aca="true" t="shared" si="20" ref="I167:I180">C167+E167+G167</f>
        <v>150000</v>
      </c>
      <c r="J167" s="31"/>
    </row>
    <row r="168" spans="1:10" ht="12.75">
      <c r="A168" s="28" t="s">
        <v>228</v>
      </c>
      <c r="B168" s="29" t="s">
        <v>239</v>
      </c>
      <c r="C168" s="30"/>
      <c r="D168" s="31"/>
      <c r="E168" s="30">
        <v>150000</v>
      </c>
      <c r="F168" s="31"/>
      <c r="G168" s="30"/>
      <c r="H168" s="31"/>
      <c r="I168" s="30">
        <f t="shared" si="20"/>
        <v>150000</v>
      </c>
      <c r="J168" s="31">
        <f aca="true" t="shared" si="21" ref="J168:J180">D168+F168+H168</f>
        <v>0</v>
      </c>
    </row>
    <row r="169" spans="1:10" ht="12.75">
      <c r="A169" s="28" t="s">
        <v>229</v>
      </c>
      <c r="B169" s="29" t="s">
        <v>239</v>
      </c>
      <c r="C169" s="30"/>
      <c r="D169" s="31"/>
      <c r="E169" s="30">
        <v>300000</v>
      </c>
      <c r="F169" s="31"/>
      <c r="G169" s="30"/>
      <c r="H169" s="31"/>
      <c r="I169" s="30">
        <f t="shared" si="20"/>
        <v>300000</v>
      </c>
      <c r="J169" s="31">
        <f t="shared" si="21"/>
        <v>0</v>
      </c>
    </row>
    <row r="170" spans="1:10" ht="12.75">
      <c r="A170" s="28" t="s">
        <v>81</v>
      </c>
      <c r="B170" s="29" t="s">
        <v>239</v>
      </c>
      <c r="C170" s="30"/>
      <c r="D170" s="31"/>
      <c r="E170" s="30">
        <v>600000</v>
      </c>
      <c r="F170" s="31"/>
      <c r="G170" s="30"/>
      <c r="H170" s="31"/>
      <c r="I170" s="30">
        <f t="shared" si="20"/>
        <v>600000</v>
      </c>
      <c r="J170" s="31">
        <f t="shared" si="21"/>
        <v>0</v>
      </c>
    </row>
    <row r="171" spans="1:10" ht="12.75">
      <c r="A171" s="28" t="s">
        <v>248</v>
      </c>
      <c r="B171" s="29" t="s">
        <v>239</v>
      </c>
      <c r="C171" s="30"/>
      <c r="D171" s="31"/>
      <c r="E171" s="30">
        <v>100000</v>
      </c>
      <c r="F171" s="31"/>
      <c r="G171" s="30"/>
      <c r="H171" s="31"/>
      <c r="I171" s="30">
        <f t="shared" si="20"/>
        <v>100000</v>
      </c>
      <c r="J171" s="31">
        <f t="shared" si="21"/>
        <v>0</v>
      </c>
    </row>
    <row r="172" spans="1:10" ht="12.75">
      <c r="A172" s="28" t="s">
        <v>249</v>
      </c>
      <c r="B172" s="29" t="s">
        <v>239</v>
      </c>
      <c r="C172" s="30"/>
      <c r="D172" s="31"/>
      <c r="E172" s="30">
        <v>100000</v>
      </c>
      <c r="F172" s="31"/>
      <c r="G172" s="30"/>
      <c r="H172" s="31"/>
      <c r="I172" s="30">
        <f t="shared" si="20"/>
        <v>100000</v>
      </c>
      <c r="J172" s="31">
        <f t="shared" si="21"/>
        <v>0</v>
      </c>
    </row>
    <row r="173" spans="1:10" ht="12.75">
      <c r="A173" s="32" t="s">
        <v>82</v>
      </c>
      <c r="B173" s="45" t="s">
        <v>239</v>
      </c>
      <c r="C173" s="46"/>
      <c r="D173" s="47"/>
      <c r="E173" s="46">
        <v>1500000</v>
      </c>
      <c r="F173" s="47"/>
      <c r="G173" s="46"/>
      <c r="H173" s="47"/>
      <c r="I173" s="46">
        <f t="shared" si="20"/>
        <v>1500000</v>
      </c>
      <c r="J173" s="47">
        <f t="shared" si="21"/>
        <v>0</v>
      </c>
    </row>
    <row r="174" spans="1:10" ht="25.5">
      <c r="A174" s="32" t="s">
        <v>221</v>
      </c>
      <c r="B174" s="45" t="s">
        <v>284</v>
      </c>
      <c r="C174" s="46"/>
      <c r="D174" s="47"/>
      <c r="E174" s="46">
        <v>600000</v>
      </c>
      <c r="F174" s="47"/>
      <c r="G174" s="46"/>
      <c r="H174" s="47"/>
      <c r="I174" s="46">
        <f t="shared" si="20"/>
        <v>600000</v>
      </c>
      <c r="J174" s="47">
        <f t="shared" si="21"/>
        <v>0</v>
      </c>
    </row>
    <row r="175" spans="1:10" ht="25.5">
      <c r="A175" s="32" t="s">
        <v>222</v>
      </c>
      <c r="B175" s="45" t="s">
        <v>284</v>
      </c>
      <c r="C175" s="30"/>
      <c r="D175" s="31"/>
      <c r="E175" s="30">
        <v>600000</v>
      </c>
      <c r="F175" s="31"/>
      <c r="G175" s="30"/>
      <c r="H175" s="31"/>
      <c r="I175" s="30">
        <f t="shared" si="20"/>
        <v>600000</v>
      </c>
      <c r="J175" s="31">
        <f t="shared" si="21"/>
        <v>0</v>
      </c>
    </row>
    <row r="176" spans="1:10" ht="12.75">
      <c r="A176" s="32" t="s">
        <v>223</v>
      </c>
      <c r="B176" s="45" t="s">
        <v>284</v>
      </c>
      <c r="C176" s="30"/>
      <c r="D176" s="31"/>
      <c r="E176" s="30">
        <v>600000</v>
      </c>
      <c r="F176" s="31"/>
      <c r="G176" s="30"/>
      <c r="H176" s="31"/>
      <c r="I176" s="30">
        <f t="shared" si="20"/>
        <v>600000</v>
      </c>
      <c r="J176" s="31">
        <f t="shared" si="21"/>
        <v>0</v>
      </c>
    </row>
    <row r="177" spans="1:26" s="6" customFormat="1" ht="13.5">
      <c r="A177" s="220" t="s">
        <v>237</v>
      </c>
      <c r="B177" s="29"/>
      <c r="C177" s="30"/>
      <c r="D177" s="31"/>
      <c r="E177" s="30"/>
      <c r="F177" s="31"/>
      <c r="G177" s="30"/>
      <c r="H177" s="31"/>
      <c r="I177" s="30">
        <f t="shared" si="20"/>
        <v>0</v>
      </c>
      <c r="J177" s="31">
        <f t="shared" si="21"/>
        <v>0</v>
      </c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s="5" customFormat="1" ht="12.75">
      <c r="A178" s="28" t="s">
        <v>231</v>
      </c>
      <c r="B178" s="29" t="s">
        <v>239</v>
      </c>
      <c r="C178" s="30"/>
      <c r="D178" s="31"/>
      <c r="E178" s="30">
        <f>13200000-E179</f>
        <v>10921000</v>
      </c>
      <c r="F178" s="31"/>
      <c r="G178" s="30"/>
      <c r="H178" s="31"/>
      <c r="I178" s="30">
        <f t="shared" si="20"/>
        <v>10921000</v>
      </c>
      <c r="J178" s="31">
        <f t="shared" si="21"/>
        <v>0</v>
      </c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10" ht="12.75">
      <c r="A179" s="28" t="s">
        <v>230</v>
      </c>
      <c r="B179" s="29" t="s">
        <v>239</v>
      </c>
      <c r="C179" s="30"/>
      <c r="D179" s="31"/>
      <c r="E179" s="30">
        <f>11395*200</f>
        <v>2279000</v>
      </c>
      <c r="F179" s="31"/>
      <c r="G179" s="30"/>
      <c r="H179" s="31"/>
      <c r="I179" s="30">
        <f t="shared" si="20"/>
        <v>2279000</v>
      </c>
      <c r="J179" s="31">
        <f t="shared" si="21"/>
        <v>0</v>
      </c>
    </row>
    <row r="180" spans="1:10" ht="13.5" thickBot="1">
      <c r="A180" s="221" t="s">
        <v>238</v>
      </c>
      <c r="B180" s="221" t="s">
        <v>118</v>
      </c>
      <c r="C180" s="223"/>
      <c r="D180" s="222"/>
      <c r="E180" s="224">
        <v>2000000</v>
      </c>
      <c r="F180" s="222"/>
      <c r="G180" s="223"/>
      <c r="H180" s="222"/>
      <c r="I180" s="223">
        <f t="shared" si="20"/>
        <v>2000000</v>
      </c>
      <c r="J180" s="222">
        <f t="shared" si="21"/>
        <v>0</v>
      </c>
    </row>
    <row r="181" spans="1:26" s="11" customFormat="1" ht="13.5" thickBot="1">
      <c r="A181" s="28"/>
      <c r="B181" s="29"/>
      <c r="C181" s="30"/>
      <c r="D181" s="31"/>
      <c r="E181" s="30"/>
      <c r="F181" s="31"/>
      <c r="G181" s="30"/>
      <c r="H181" s="31"/>
      <c r="I181" s="30"/>
      <c r="J181" s="31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s="11" customFormat="1" ht="12.75">
      <c r="A182" s="228" t="s">
        <v>236</v>
      </c>
      <c r="B182" s="74"/>
      <c r="C182" s="77"/>
      <c r="D182" s="225"/>
      <c r="E182" s="77"/>
      <c r="F182" s="225"/>
      <c r="G182" s="77"/>
      <c r="H182" s="225"/>
      <c r="I182" s="77">
        <f aca="true" t="shared" si="22" ref="I182:I203">C182+E182+G182</f>
        <v>0</v>
      </c>
      <c r="J182" s="225">
        <f aca="true" t="shared" si="23" ref="J182:J203">D182+F182+H182</f>
        <v>0</v>
      </c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s="11" customFormat="1" ht="12.75">
      <c r="A183" s="53" t="s">
        <v>252</v>
      </c>
      <c r="B183" s="29" t="s">
        <v>255</v>
      </c>
      <c r="C183" s="30"/>
      <c r="D183" s="31"/>
      <c r="E183" s="30">
        <v>500000</v>
      </c>
      <c r="F183" s="31"/>
      <c r="G183" s="30"/>
      <c r="H183" s="31"/>
      <c r="I183" s="30">
        <f t="shared" si="22"/>
        <v>500000</v>
      </c>
      <c r="J183" s="31">
        <f t="shared" si="23"/>
        <v>0</v>
      </c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s="11" customFormat="1" ht="15.75">
      <c r="A184" s="28" t="s">
        <v>253</v>
      </c>
      <c r="B184" s="29" t="s">
        <v>255</v>
      </c>
      <c r="C184" s="30"/>
      <c r="D184" s="31"/>
      <c r="E184" s="30">
        <v>300000</v>
      </c>
      <c r="F184" s="57"/>
      <c r="G184" s="56"/>
      <c r="H184" s="57"/>
      <c r="I184" s="30">
        <f t="shared" si="22"/>
        <v>300000</v>
      </c>
      <c r="J184" s="31">
        <f t="shared" si="23"/>
        <v>0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10" ht="15.75">
      <c r="A185" s="32" t="s">
        <v>254</v>
      </c>
      <c r="B185" s="45" t="s">
        <v>255</v>
      </c>
      <c r="C185" s="226"/>
      <c r="D185" s="227"/>
      <c r="E185" s="46">
        <v>2000000</v>
      </c>
      <c r="F185" s="61"/>
      <c r="G185" s="60"/>
      <c r="H185" s="61"/>
      <c r="I185" s="46">
        <f t="shared" si="22"/>
        <v>2000000</v>
      </c>
      <c r="J185" s="51">
        <f t="shared" si="23"/>
        <v>0</v>
      </c>
    </row>
    <row r="186" spans="1:26" s="11" customFormat="1" ht="15.75">
      <c r="A186" s="32" t="s">
        <v>256</v>
      </c>
      <c r="B186" s="45" t="s">
        <v>123</v>
      </c>
      <c r="C186" s="226"/>
      <c r="D186" s="227"/>
      <c r="E186" s="46">
        <v>1165000</v>
      </c>
      <c r="F186" s="61"/>
      <c r="G186" s="60"/>
      <c r="H186" s="61"/>
      <c r="I186" s="46">
        <f t="shared" si="22"/>
        <v>1165000</v>
      </c>
      <c r="J186" s="51">
        <f t="shared" si="23"/>
        <v>0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s="11" customFormat="1" ht="12.75">
      <c r="A187" s="28" t="s">
        <v>106</v>
      </c>
      <c r="B187" s="29" t="s">
        <v>118</v>
      </c>
      <c r="C187" s="30"/>
      <c r="D187" s="31"/>
      <c r="E187" s="30">
        <f>6000000+349262</f>
        <v>6349262</v>
      </c>
      <c r="F187" s="31"/>
      <c r="G187" s="30"/>
      <c r="H187" s="31"/>
      <c r="I187" s="30">
        <f t="shared" si="22"/>
        <v>6349262</v>
      </c>
      <c r="J187" s="31">
        <f t="shared" si="23"/>
        <v>0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s="11" customFormat="1" ht="12.75">
      <c r="A188" s="28" t="s">
        <v>301</v>
      </c>
      <c r="B188" s="29" t="s">
        <v>118</v>
      </c>
      <c r="C188" s="30"/>
      <c r="D188" s="31"/>
      <c r="E188" s="30">
        <v>900000</v>
      </c>
      <c r="F188" s="31"/>
      <c r="G188" s="30"/>
      <c r="H188" s="31"/>
      <c r="I188" s="30">
        <f t="shared" si="22"/>
        <v>900000</v>
      </c>
      <c r="J188" s="31">
        <f t="shared" si="23"/>
        <v>0</v>
      </c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s="11" customFormat="1" ht="13.5" thickBot="1">
      <c r="A189" s="62" t="s">
        <v>302</v>
      </c>
      <c r="B189" s="45" t="s">
        <v>239</v>
      </c>
      <c r="C189" s="64"/>
      <c r="D189" s="65"/>
      <c r="E189" s="64">
        <v>200000</v>
      </c>
      <c r="F189" s="65"/>
      <c r="G189" s="64"/>
      <c r="H189" s="65"/>
      <c r="I189" s="64">
        <f t="shared" si="22"/>
        <v>200000</v>
      </c>
      <c r="J189" s="65">
        <f t="shared" si="23"/>
        <v>0</v>
      </c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s="11" customFormat="1" ht="12.75">
      <c r="A190" s="85"/>
      <c r="B190" s="74"/>
      <c r="C190" s="77"/>
      <c r="D190" s="225"/>
      <c r="E190" s="77"/>
      <c r="F190" s="225"/>
      <c r="G190" s="77"/>
      <c r="H190" s="225"/>
      <c r="I190" s="77">
        <f t="shared" si="22"/>
        <v>0</v>
      </c>
      <c r="J190" s="225">
        <f t="shared" si="23"/>
        <v>0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s="12" customFormat="1" ht="12.75">
      <c r="A191" s="41" t="s">
        <v>257</v>
      </c>
      <c r="B191" s="29"/>
      <c r="C191" s="30"/>
      <c r="D191" s="31"/>
      <c r="E191" s="30"/>
      <c r="F191" s="31"/>
      <c r="G191" s="30"/>
      <c r="H191" s="31"/>
      <c r="I191" s="30">
        <f t="shared" si="22"/>
        <v>0</v>
      </c>
      <c r="J191" s="31">
        <f t="shared" si="23"/>
        <v>0</v>
      </c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s="11" customFormat="1" ht="13.5">
      <c r="A192" s="229" t="s">
        <v>264</v>
      </c>
      <c r="B192" s="29"/>
      <c r="C192" s="30"/>
      <c r="D192" s="31"/>
      <c r="E192" s="30"/>
      <c r="F192" s="31"/>
      <c r="G192" s="30"/>
      <c r="H192" s="31"/>
      <c r="I192" s="30">
        <f t="shared" si="22"/>
        <v>0</v>
      </c>
      <c r="J192" s="31">
        <f t="shared" si="23"/>
        <v>0</v>
      </c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s="12" customFormat="1" ht="12.75">
      <c r="A193" s="28" t="s">
        <v>258</v>
      </c>
      <c r="B193" s="29" t="s">
        <v>255</v>
      </c>
      <c r="C193" s="30"/>
      <c r="D193" s="31"/>
      <c r="E193" s="30">
        <v>696000</v>
      </c>
      <c r="F193" s="31"/>
      <c r="G193" s="30"/>
      <c r="H193" s="31"/>
      <c r="I193" s="30">
        <f t="shared" si="22"/>
        <v>696000</v>
      </c>
      <c r="J193" s="31">
        <f t="shared" si="23"/>
        <v>0</v>
      </c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s="11" customFormat="1" ht="12.75">
      <c r="A194" s="28" t="s">
        <v>259</v>
      </c>
      <c r="B194" s="45" t="s">
        <v>123</v>
      </c>
      <c r="C194" s="30"/>
      <c r="D194" s="31"/>
      <c r="E194" s="30">
        <v>137000</v>
      </c>
      <c r="F194" s="31"/>
      <c r="G194" s="30"/>
      <c r="H194" s="31"/>
      <c r="I194" s="30">
        <f t="shared" si="22"/>
        <v>137000</v>
      </c>
      <c r="J194" s="31">
        <f t="shared" si="23"/>
        <v>0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s="11" customFormat="1" ht="12.75">
      <c r="A195" s="28" t="s">
        <v>260</v>
      </c>
      <c r="B195" s="29" t="s">
        <v>118</v>
      </c>
      <c r="C195" s="30"/>
      <c r="D195" s="31"/>
      <c r="E195" s="30">
        <v>3350000</v>
      </c>
      <c r="F195" s="31"/>
      <c r="G195" s="30"/>
      <c r="H195" s="31"/>
      <c r="I195" s="30">
        <f t="shared" si="22"/>
        <v>3350000</v>
      </c>
      <c r="J195" s="31">
        <f t="shared" si="23"/>
        <v>0</v>
      </c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s="12" customFormat="1" ht="12.75">
      <c r="A196" s="28" t="s">
        <v>261</v>
      </c>
      <c r="B196" s="45" t="s">
        <v>239</v>
      </c>
      <c r="C196" s="30"/>
      <c r="D196" s="31"/>
      <c r="E196" s="30">
        <v>6327388</v>
      </c>
      <c r="F196" s="31"/>
      <c r="G196" s="30"/>
      <c r="H196" s="31"/>
      <c r="I196" s="30">
        <f t="shared" si="22"/>
        <v>6327388</v>
      </c>
      <c r="J196" s="31">
        <f t="shared" si="23"/>
        <v>0</v>
      </c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s="11" customFormat="1" ht="13.5" thickBot="1">
      <c r="A197" s="62" t="s">
        <v>262</v>
      </c>
      <c r="B197" s="62" t="s">
        <v>114</v>
      </c>
      <c r="C197" s="64"/>
      <c r="D197" s="65"/>
      <c r="E197" s="64"/>
      <c r="F197" s="65">
        <f>(E193+E194+E195)*0.95</f>
        <v>3973850</v>
      </c>
      <c r="G197" s="64"/>
      <c r="H197" s="65"/>
      <c r="I197" s="64">
        <f t="shared" si="22"/>
        <v>0</v>
      </c>
      <c r="J197" s="65">
        <f t="shared" si="23"/>
        <v>3973850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s="11" customFormat="1" ht="27">
      <c r="A198" s="100" t="s">
        <v>263</v>
      </c>
      <c r="B198" s="74"/>
      <c r="C198" s="77"/>
      <c r="D198" s="225"/>
      <c r="E198" s="77"/>
      <c r="F198" s="225"/>
      <c r="G198" s="77"/>
      <c r="H198" s="225"/>
      <c r="I198" s="77">
        <f t="shared" si="22"/>
        <v>0</v>
      </c>
      <c r="J198" s="225">
        <f t="shared" si="23"/>
        <v>0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s="11" customFormat="1" ht="12.75">
      <c r="A199" s="28" t="s">
        <v>270</v>
      </c>
      <c r="B199" s="29" t="s">
        <v>114</v>
      </c>
      <c r="C199" s="30"/>
      <c r="D199" s="31"/>
      <c r="E199" s="30"/>
      <c r="F199" s="31">
        <f>65409944-2380000</f>
        <v>63029944</v>
      </c>
      <c r="G199" s="30"/>
      <c r="H199" s="31"/>
      <c r="I199" s="30">
        <f t="shared" si="22"/>
        <v>0</v>
      </c>
      <c r="J199" s="31">
        <f t="shared" si="23"/>
        <v>63029944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s="11" customFormat="1" ht="12.75">
      <c r="A200" s="28" t="s">
        <v>265</v>
      </c>
      <c r="B200" s="29" t="s">
        <v>255</v>
      </c>
      <c r="C200" s="30"/>
      <c r="D200" s="31"/>
      <c r="E200" s="30">
        <f>(350000)*10</f>
        <v>3500000</v>
      </c>
      <c r="F200" s="31"/>
      <c r="G200" s="30"/>
      <c r="H200" s="31"/>
      <c r="I200" s="30">
        <f t="shared" si="22"/>
        <v>3500000</v>
      </c>
      <c r="J200" s="31">
        <f t="shared" si="23"/>
        <v>0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s="11" customFormat="1" ht="12.75">
      <c r="A201" s="28" t="s">
        <v>266</v>
      </c>
      <c r="B201" s="45" t="s">
        <v>123</v>
      </c>
      <c r="C201" s="30"/>
      <c r="D201" s="31"/>
      <c r="E201" s="30">
        <v>770000</v>
      </c>
      <c r="F201" s="31"/>
      <c r="G201" s="30"/>
      <c r="H201" s="31"/>
      <c r="I201" s="30">
        <f t="shared" si="22"/>
        <v>770000</v>
      </c>
      <c r="J201" s="31">
        <f t="shared" si="23"/>
        <v>0</v>
      </c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s="12" customFormat="1" ht="25.5">
      <c r="A202" s="32" t="s">
        <v>267</v>
      </c>
      <c r="B202" s="29" t="s">
        <v>118</v>
      </c>
      <c r="C202" s="30"/>
      <c r="D202" s="31"/>
      <c r="E202" s="30">
        <f>31366375-E201-E200</f>
        <v>27096375</v>
      </c>
      <c r="F202" s="31"/>
      <c r="G202" s="30"/>
      <c r="H202" s="31"/>
      <c r="I202" s="30">
        <f t="shared" si="22"/>
        <v>27096375</v>
      </c>
      <c r="J202" s="31">
        <f t="shared" si="23"/>
        <v>0</v>
      </c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s="12" customFormat="1" ht="13.5" thickBot="1">
      <c r="A203" s="62" t="s">
        <v>268</v>
      </c>
      <c r="B203" s="63" t="s">
        <v>269</v>
      </c>
      <c r="C203" s="64"/>
      <c r="D203" s="65"/>
      <c r="E203" s="64">
        <f>F199-E202-E201-E200</f>
        <v>31663569</v>
      </c>
      <c r="F203" s="65"/>
      <c r="G203" s="64"/>
      <c r="H203" s="65"/>
      <c r="I203" s="64">
        <f t="shared" si="22"/>
        <v>31663569</v>
      </c>
      <c r="J203" s="65">
        <f t="shared" si="23"/>
        <v>0</v>
      </c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s="11" customFormat="1" ht="13.5" thickBot="1">
      <c r="A204" s="317"/>
      <c r="B204" s="83" t="s">
        <v>278</v>
      </c>
      <c r="C204" s="80">
        <f aca="true" t="shared" si="24" ref="C204:J204">SUM(C7:C203)</f>
        <v>1406690851.920491</v>
      </c>
      <c r="D204" s="318">
        <f t="shared" si="24"/>
        <v>1478702172</v>
      </c>
      <c r="E204" s="319">
        <f t="shared" si="24"/>
        <v>143840114</v>
      </c>
      <c r="F204" s="318">
        <f t="shared" si="24"/>
        <v>71828794</v>
      </c>
      <c r="G204" s="319">
        <f t="shared" si="24"/>
        <v>0</v>
      </c>
      <c r="H204" s="318">
        <f t="shared" si="24"/>
        <v>0</v>
      </c>
      <c r="I204" s="80">
        <f t="shared" si="24"/>
        <v>1550530965.920491</v>
      </c>
      <c r="J204" s="81">
        <f t="shared" si="24"/>
        <v>1550530966</v>
      </c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s="11" customFormat="1" ht="12.75">
      <c r="A205" s="36"/>
      <c r="B205" s="37"/>
      <c r="C205" s="30"/>
      <c r="D205" s="39">
        <f>D204+F204-C204-E204</f>
        <v>0.07950901985168457</v>
      </c>
      <c r="E205" s="38"/>
      <c r="F205" s="39"/>
      <c r="G205" s="38"/>
      <c r="H205" s="39"/>
      <c r="I205" s="38"/>
      <c r="J205" s="39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s="11" customFormat="1" ht="12.75">
      <c r="A206" s="36"/>
      <c r="B206" s="37"/>
      <c r="C206" s="30"/>
      <c r="D206" s="39"/>
      <c r="E206" s="38"/>
      <c r="F206" s="39"/>
      <c r="G206" s="38"/>
      <c r="H206" s="39"/>
      <c r="I206" s="38"/>
      <c r="J206" s="39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s="11" customFormat="1" ht="12.75">
      <c r="A207" s="36"/>
      <c r="B207" s="37"/>
      <c r="C207" s="30"/>
      <c r="D207" s="39"/>
      <c r="E207" s="38"/>
      <c r="F207" s="39"/>
      <c r="G207" s="38"/>
      <c r="H207" s="39"/>
      <c r="I207" s="38"/>
      <c r="J207" s="39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s="11" customFormat="1" ht="12.75">
      <c r="A208" s="249" t="s">
        <v>271</v>
      </c>
      <c r="B208" s="250"/>
      <c r="C208" s="251"/>
      <c r="D208" s="252"/>
      <c r="E208" s="251"/>
      <c r="F208" s="252"/>
      <c r="G208" s="251"/>
      <c r="H208" s="252"/>
      <c r="I208" s="251"/>
      <c r="J208" s="252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s="11" customFormat="1" ht="12.75">
      <c r="A209" s="28"/>
      <c r="B209" s="29"/>
      <c r="C209" s="30"/>
      <c r="D209" s="31"/>
      <c r="E209" s="30"/>
      <c r="F209" s="31"/>
      <c r="G209" s="30"/>
      <c r="H209" s="31"/>
      <c r="I209" s="30"/>
      <c r="J209" s="31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s="11" customFormat="1" ht="12.75">
      <c r="A210" s="28"/>
      <c r="B210" s="29" t="s">
        <v>255</v>
      </c>
      <c r="C210" s="30">
        <f aca="true" t="shared" si="25" ref="C210:H210">C37+C39+C41+C104+C183+C184+C185+C200+C193</f>
        <v>21042408</v>
      </c>
      <c r="D210" s="31">
        <f t="shared" si="25"/>
        <v>0</v>
      </c>
      <c r="E210" s="30">
        <f t="shared" si="25"/>
        <v>19292000</v>
      </c>
      <c r="F210" s="31">
        <f t="shared" si="25"/>
        <v>0</v>
      </c>
      <c r="G210" s="30">
        <f t="shared" si="25"/>
        <v>0</v>
      </c>
      <c r="H210" s="31">
        <f t="shared" si="25"/>
        <v>0</v>
      </c>
      <c r="I210" s="30">
        <f aca="true" t="shared" si="26" ref="I210:J217">C210+E210+G210</f>
        <v>40334408</v>
      </c>
      <c r="J210" s="31">
        <f t="shared" si="26"/>
        <v>0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s="11" customFormat="1" ht="12.75">
      <c r="A211" s="32"/>
      <c r="B211" s="45" t="s">
        <v>123</v>
      </c>
      <c r="C211" s="46">
        <f aca="true" t="shared" si="27" ref="C211:H211">C38+C40+C42+C105+C186+C194+C201</f>
        <v>4691175.920491074</v>
      </c>
      <c r="D211" s="47">
        <f t="shared" si="27"/>
        <v>0</v>
      </c>
      <c r="E211" s="46">
        <f t="shared" si="27"/>
        <v>4827520</v>
      </c>
      <c r="F211" s="47">
        <f t="shared" si="27"/>
        <v>0</v>
      </c>
      <c r="G211" s="46">
        <f t="shared" si="27"/>
        <v>0</v>
      </c>
      <c r="H211" s="47">
        <f t="shared" si="27"/>
        <v>0</v>
      </c>
      <c r="I211" s="30">
        <f t="shared" si="26"/>
        <v>9518695.920491073</v>
      </c>
      <c r="J211" s="31">
        <f t="shared" si="26"/>
        <v>0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s="12" customFormat="1" ht="12.75">
      <c r="A212" s="32"/>
      <c r="B212" s="29" t="s">
        <v>118</v>
      </c>
      <c r="C212" s="46">
        <f>C28+C30+C43+C44+C45+C46+C49+C51+C53+C55+C57+C59+C61+C63+C65+C67+C71+C72+C73+C74+C75+C76+C77+C78+C79+C80+C81+C82+C83+C84+C85+C89+C90+C91+C92+C93+C94+C95+C98+C99+C100+C101+C106+C110+C122+C125+C136+C137+C142+C143+C144+C146+C180+C187+C195+C202+C188</f>
        <v>446845838</v>
      </c>
      <c r="D212" s="69">
        <f>D28+D31+D43+D44+D45+D46+D49+D51+D53+D55+D57+D59+D61+D63+D65+D67+D71+D72+D73+D74+D75+D76+D77+D78+D79+D80+D81+D82+D83+D84+D85+D89+D90+D91+D92+D93+D94+D95+D98+D99+D100+D101+D106+D110+D122+D125+D136+D137+D142+D143+D144+D146+D180+D187+D195+D202</f>
        <v>0</v>
      </c>
      <c r="E212" s="46">
        <f>E28+E30+E43+E44+E45+E46+E49+E51+E53+E55+E57+E59+E61+E63+E65+E67+E71+E72+E73+E74+E75+E76+E77+E78+E79+E80+E81+E82+E83+E84+E85+E89+E90+E91+E92+E93+E94+E95+E98+E99+E100+E101+E106+E110+E122+E125+E136+E137+E142+E143+E144+E146+E180+E187+E195+E202+E188</f>
        <v>60477637</v>
      </c>
      <c r="F212" s="69">
        <f>F28+F31+F43+F44+F45+F46+F49+F51+F53+F55+F57+F59+F61+F63+F65+F67+F71+F72+F73+F74+F75+F76+F77+F78+F79+F80+F81+F82+F83+F84+F85+F89+F90+F91+F92+F93+F94+F95+F98+F99+F100+F101+F106+F110+F122+F125+F136+F137+F142+F143+F144+F146+F180+F187+F195+F202</f>
        <v>0</v>
      </c>
      <c r="G212" s="46">
        <f>G28+G31+G43+G44+G45+G46+G49+G51+G53+G55+G57+G59+G61+G63+G65+G67+G71+G72+G73+G74+G75+G76+G77+G78+G79+G80+G81+G82+G83+G84+G85+G89+G90+G91+G92+G93+G94+G95+G98+G99+G100+G101+G106+G110+G122+G125+G136+G137+G142+G143+G144+G146+G180+G187+G195+G202</f>
        <v>0</v>
      </c>
      <c r="H212" s="69">
        <f>H28+H31+H43+H44+H45+H46+H49+H51+H53+H55+H57+H59+H61+H63+H65+H67+H71+H72+H73+H74+H75+H76+H77+H78+H79+H80+H81+H82+H83+H84+H85+H89+H90+H91+H92+H93+H94+H95+H98+H99+H100+H101+H106+H110+H122+H125+H136+H137+H142+H143+H144+H146+H180+H187+H195+H202</f>
        <v>0</v>
      </c>
      <c r="I212" s="30">
        <f t="shared" si="26"/>
        <v>507323475</v>
      </c>
      <c r="J212" s="31">
        <f t="shared" si="26"/>
        <v>0</v>
      </c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s="11" customFormat="1" ht="12.75">
      <c r="A213" s="32"/>
      <c r="B213" s="45" t="s">
        <v>210</v>
      </c>
      <c r="C213" s="46">
        <f aca="true" t="shared" si="28" ref="C213:H213">C129+C130+C131+C132</f>
        <v>26800000</v>
      </c>
      <c r="D213" s="47">
        <f t="shared" si="28"/>
        <v>0</v>
      </c>
      <c r="E213" s="46">
        <f t="shared" si="28"/>
        <v>0</v>
      </c>
      <c r="F213" s="47">
        <f t="shared" si="28"/>
        <v>0</v>
      </c>
      <c r="G213" s="46">
        <f t="shared" si="28"/>
        <v>0</v>
      </c>
      <c r="H213" s="47">
        <f t="shared" si="28"/>
        <v>0</v>
      </c>
      <c r="I213" s="30">
        <f t="shared" si="26"/>
        <v>26800000</v>
      </c>
      <c r="J213" s="31">
        <f t="shared" si="26"/>
        <v>0</v>
      </c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10" ht="12.75">
      <c r="A214" s="32"/>
      <c r="B214" s="45" t="s">
        <v>247</v>
      </c>
      <c r="C214" s="46">
        <f aca="true" t="shared" si="29" ref="C214:H214">C19+C21+C22+C23+C24+C25+C139+C174+C175+C176+C27</f>
        <v>314405809</v>
      </c>
      <c r="D214" s="47">
        <f t="shared" si="29"/>
        <v>0</v>
      </c>
      <c r="E214" s="46">
        <f t="shared" si="29"/>
        <v>1800000</v>
      </c>
      <c r="F214" s="47">
        <f t="shared" si="29"/>
        <v>0</v>
      </c>
      <c r="G214" s="46">
        <f t="shared" si="29"/>
        <v>0</v>
      </c>
      <c r="H214" s="47">
        <f t="shared" si="29"/>
        <v>0</v>
      </c>
      <c r="I214" s="30">
        <f t="shared" si="26"/>
        <v>316205809</v>
      </c>
      <c r="J214" s="31">
        <f t="shared" si="26"/>
        <v>0</v>
      </c>
    </row>
    <row r="215" spans="1:10" ht="12.75">
      <c r="A215" s="32"/>
      <c r="B215" s="45" t="s">
        <v>285</v>
      </c>
      <c r="C215" s="46">
        <f>C147+C151+C152+C153+C155+C156+C157+C158+C159+C160+C161+C162+C163+C164+C165+C166+C168+C169+C170+C171+C172+C173+C178+C179+C196+C189</f>
        <v>17800000</v>
      </c>
      <c r="D215" s="47">
        <f>D147+D151+D152+D153+D155+D156+D157+D158+D159+D160+D161+D162+D163+D164+D165+D166+D168+D169+D170+D171+D172+D173+D178+D179+D196</f>
        <v>0</v>
      </c>
      <c r="E215" s="46">
        <f>E147+E151+E152+E153+E155+E156+E157+E158+E159+E160+E161+E162+E163+E164+E165+E166+E168+E169+E170+E171+E172+E173+E178+E179+E196+E189+E167</f>
        <v>25779388</v>
      </c>
      <c r="F215" s="47">
        <f>F147+F151+F152+F153+F155+F156+F157+F158+F159+F160+F161+F162+F163+F164+F165+F166+F168+F169+F170+F171+F172+F173+F178+F179+F196</f>
        <v>0</v>
      </c>
      <c r="G215" s="46">
        <f>G147+G151+G152+G153+G155+G156+G157+G158+G159+G160+G161+G162+G163+G164+G165+G166+G168+G169+G170+G171+G172+G173+G178+G179+G196</f>
        <v>0</v>
      </c>
      <c r="H215" s="47">
        <f>H147+H151+H152+H153+H155+H156+H157+H158+H159+H160+H161+H162+H163+H164+H165+H166+H168+H169+H170+H171+H172+H173+H178+H179+H196</f>
        <v>0</v>
      </c>
      <c r="I215" s="30">
        <f t="shared" si="26"/>
        <v>43579388</v>
      </c>
      <c r="J215" s="31">
        <f t="shared" si="26"/>
        <v>0</v>
      </c>
    </row>
    <row r="216" spans="1:10" ht="12.75">
      <c r="A216" s="28"/>
      <c r="B216" s="32" t="s">
        <v>235</v>
      </c>
      <c r="C216" s="30">
        <f>C203+C134+C108+C31</f>
        <v>3500000</v>
      </c>
      <c r="D216" s="31">
        <f>D203+D134+D108</f>
        <v>0</v>
      </c>
      <c r="E216" s="30">
        <f>E203+E134+E108+E31</f>
        <v>31663569</v>
      </c>
      <c r="F216" s="31">
        <f>F203+F134+F108</f>
        <v>0</v>
      </c>
      <c r="G216" s="30">
        <f>G203+G134+G108</f>
        <v>0</v>
      </c>
      <c r="H216" s="31">
        <f>H203+H134+H108</f>
        <v>0</v>
      </c>
      <c r="I216" s="30">
        <f t="shared" si="26"/>
        <v>35163569</v>
      </c>
      <c r="J216" s="31">
        <f t="shared" si="26"/>
        <v>0</v>
      </c>
    </row>
    <row r="217" spans="1:10" ht="25.5">
      <c r="A217" s="28"/>
      <c r="B217" s="45" t="s">
        <v>246</v>
      </c>
      <c r="C217" s="30">
        <f>C9+C13+C14+C15+C17+C34</f>
        <v>571605621</v>
      </c>
      <c r="D217" s="31">
        <f>D9+D13+D14+D15+D17</f>
        <v>0</v>
      </c>
      <c r="E217" s="30">
        <f>E9+E13+E14+E15+E17</f>
        <v>0</v>
      </c>
      <c r="F217" s="31">
        <f>F9+F13+F14+F15+F17</f>
        <v>0</v>
      </c>
      <c r="G217" s="30">
        <f>G9+G13+G14+G15+G17</f>
        <v>0</v>
      </c>
      <c r="H217" s="31">
        <f>H9+H13+H14+H15+H17</f>
        <v>0</v>
      </c>
      <c r="I217" s="30">
        <f t="shared" si="26"/>
        <v>571605621</v>
      </c>
      <c r="J217" s="31">
        <f t="shared" si="26"/>
        <v>0</v>
      </c>
    </row>
    <row r="218" spans="1:10" ht="12.75">
      <c r="A218" s="41"/>
      <c r="B218" s="49" t="s">
        <v>277</v>
      </c>
      <c r="C218" s="42">
        <f aca="true" t="shared" si="30" ref="C218:J218">SUM(C210:C217)</f>
        <v>1406690851.9204912</v>
      </c>
      <c r="D218" s="230">
        <f t="shared" si="30"/>
        <v>0</v>
      </c>
      <c r="E218" s="42">
        <f t="shared" si="30"/>
        <v>143840114</v>
      </c>
      <c r="F218" s="230">
        <f t="shared" si="30"/>
        <v>0</v>
      </c>
      <c r="G218" s="42">
        <f t="shared" si="30"/>
        <v>0</v>
      </c>
      <c r="H218" s="230">
        <f t="shared" si="30"/>
        <v>0</v>
      </c>
      <c r="I218" s="42">
        <f t="shared" si="30"/>
        <v>1550530965.9204912</v>
      </c>
      <c r="J218" s="230">
        <f t="shared" si="30"/>
        <v>0</v>
      </c>
    </row>
    <row r="219" spans="1:10" ht="12.75">
      <c r="A219" s="32"/>
      <c r="B219" s="45"/>
      <c r="C219" s="46"/>
      <c r="D219" s="47"/>
      <c r="E219" s="46"/>
      <c r="F219" s="47"/>
      <c r="G219" s="46"/>
      <c r="H219" s="47"/>
      <c r="I219" s="46"/>
      <c r="J219" s="47"/>
    </row>
    <row r="220" spans="1:10" ht="12.75">
      <c r="A220" s="32"/>
      <c r="B220" s="29" t="s">
        <v>114</v>
      </c>
      <c r="C220" s="46">
        <f>C7+C197+C199+C133</f>
        <v>0</v>
      </c>
      <c r="D220" s="47">
        <f>D7+D197+D199+D133+D16+D10+D11+D12</f>
        <v>870372997</v>
      </c>
      <c r="E220" s="46">
        <f>E7+E197+E199+E133</f>
        <v>0</v>
      </c>
      <c r="F220" s="47">
        <f>F7+F197+F199+F133</f>
        <v>67003794</v>
      </c>
      <c r="G220" s="46">
        <f>G7+G197+G199+G133</f>
        <v>0</v>
      </c>
      <c r="H220" s="47">
        <f>H7+H197+H199+H133</f>
        <v>0</v>
      </c>
      <c r="I220" s="30">
        <f aca="true" t="shared" si="31" ref="I220:J223">C220+E220+G220</f>
        <v>0</v>
      </c>
      <c r="J220" s="31">
        <f t="shared" si="31"/>
        <v>937376791</v>
      </c>
    </row>
    <row r="221" spans="1:26" s="11" customFormat="1" ht="12.75">
      <c r="A221" s="32"/>
      <c r="B221" s="29" t="s">
        <v>197</v>
      </c>
      <c r="C221" s="46">
        <f aca="true" t="shared" si="32" ref="C221:H221">C114+C115+C116+C117+C118+C119+C120+C121</f>
        <v>0</v>
      </c>
      <c r="D221" s="47">
        <f t="shared" si="32"/>
        <v>454978290</v>
      </c>
      <c r="E221" s="46">
        <f t="shared" si="32"/>
        <v>0</v>
      </c>
      <c r="F221" s="47">
        <f t="shared" si="32"/>
        <v>0</v>
      </c>
      <c r="G221" s="46">
        <f t="shared" si="32"/>
        <v>0</v>
      </c>
      <c r="H221" s="47">
        <f t="shared" si="32"/>
        <v>0</v>
      </c>
      <c r="I221" s="30">
        <f t="shared" si="31"/>
        <v>0</v>
      </c>
      <c r="J221" s="31">
        <f t="shared" si="31"/>
        <v>454978290</v>
      </c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s="12" customFormat="1" ht="12.75">
      <c r="A222" s="48"/>
      <c r="B222" s="32" t="s">
        <v>276</v>
      </c>
      <c r="C222" s="50">
        <f aca="true" t="shared" si="33" ref="C222:H222">C50+C52+C54+C56+C58+C60+C62+C64+C66+C86+C102+C103+C107+C111+C126+C145</f>
        <v>0</v>
      </c>
      <c r="D222" s="47">
        <f t="shared" si="33"/>
        <v>68350885</v>
      </c>
      <c r="E222" s="50">
        <f t="shared" si="33"/>
        <v>0</v>
      </c>
      <c r="F222" s="47">
        <f t="shared" si="33"/>
        <v>4825000</v>
      </c>
      <c r="G222" s="50">
        <f t="shared" si="33"/>
        <v>0</v>
      </c>
      <c r="H222" s="51">
        <f t="shared" si="33"/>
        <v>0</v>
      </c>
      <c r="I222" s="30">
        <f t="shared" si="31"/>
        <v>0</v>
      </c>
      <c r="J222" s="31">
        <f t="shared" si="31"/>
        <v>73175885</v>
      </c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s="12" customFormat="1" ht="25.5">
      <c r="A223" s="32"/>
      <c r="B223" s="45" t="s">
        <v>288</v>
      </c>
      <c r="C223" s="46">
        <f>C33</f>
        <v>0</v>
      </c>
      <c r="D223" s="47">
        <f>D33+D34</f>
        <v>85000000</v>
      </c>
      <c r="E223" s="46">
        <f>E33+E34</f>
        <v>0</v>
      </c>
      <c r="F223" s="47">
        <f>F33+F34</f>
        <v>0</v>
      </c>
      <c r="G223" s="46">
        <f>G33+G34</f>
        <v>0</v>
      </c>
      <c r="H223" s="47">
        <f>H33+H34</f>
        <v>0</v>
      </c>
      <c r="I223" s="30">
        <f t="shared" si="31"/>
        <v>0</v>
      </c>
      <c r="J223" s="31">
        <f t="shared" si="31"/>
        <v>85000000</v>
      </c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s="12" customFormat="1" ht="12.75">
      <c r="A224" s="48"/>
      <c r="B224" s="49" t="s">
        <v>277</v>
      </c>
      <c r="C224" s="50">
        <f aca="true" t="shared" si="34" ref="C224:J224">SUM(C220:C223)</f>
        <v>0</v>
      </c>
      <c r="D224" s="51">
        <f t="shared" si="34"/>
        <v>1478702172</v>
      </c>
      <c r="E224" s="50">
        <f t="shared" si="34"/>
        <v>0</v>
      </c>
      <c r="F224" s="51">
        <f t="shared" si="34"/>
        <v>71828794</v>
      </c>
      <c r="G224" s="50">
        <f t="shared" si="34"/>
        <v>0</v>
      </c>
      <c r="H224" s="51">
        <f t="shared" si="34"/>
        <v>0</v>
      </c>
      <c r="I224" s="50">
        <f t="shared" si="34"/>
        <v>0</v>
      </c>
      <c r="J224" s="51">
        <f t="shared" si="34"/>
        <v>1550530966</v>
      </c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10" ht="12.75">
      <c r="A225" s="32"/>
      <c r="B225" s="45"/>
      <c r="C225" s="46"/>
      <c r="D225" s="47"/>
      <c r="E225" s="46"/>
      <c r="F225" s="47"/>
      <c r="G225" s="46"/>
      <c r="H225" s="47"/>
      <c r="I225" s="46"/>
      <c r="J225" s="47"/>
    </row>
    <row r="226" spans="1:10" ht="13.5" thickBot="1">
      <c r="A226" s="28"/>
      <c r="B226" s="29"/>
      <c r="C226" s="46"/>
      <c r="D226" s="47"/>
      <c r="E226" s="46"/>
      <c r="F226" s="47"/>
      <c r="G226" s="46"/>
      <c r="H226" s="47"/>
      <c r="I226" s="46"/>
      <c r="J226" s="47"/>
    </row>
    <row r="227" spans="1:10" ht="12.75">
      <c r="A227" s="238" t="s">
        <v>306</v>
      </c>
      <c r="B227" s="239"/>
      <c r="C227" s="240"/>
      <c r="D227" s="241"/>
      <c r="E227" s="240"/>
      <c r="F227" s="241"/>
      <c r="G227" s="240"/>
      <c r="H227" s="241"/>
      <c r="I227" s="240"/>
      <c r="J227" s="241"/>
    </row>
    <row r="228" spans="1:10" ht="25.5">
      <c r="A228" s="233" t="s">
        <v>287</v>
      </c>
      <c r="B228" s="45"/>
      <c r="C228" s="46"/>
      <c r="D228" s="47"/>
      <c r="E228" s="46"/>
      <c r="F228" s="47"/>
      <c r="G228" s="46"/>
      <c r="H228" s="47"/>
      <c r="I228" s="46"/>
      <c r="J228" s="47"/>
    </row>
    <row r="229" spans="1:10" ht="12.75">
      <c r="A229" s="32"/>
      <c r="B229" s="29" t="s">
        <v>255</v>
      </c>
      <c r="C229" s="46">
        <v>18678000</v>
      </c>
      <c r="D229" s="47"/>
      <c r="E229" s="46"/>
      <c r="F229" s="47"/>
      <c r="G229" s="46"/>
      <c r="H229" s="47"/>
      <c r="I229" s="46">
        <f aca="true" t="shared" si="35" ref="I229:J231">C229+E229+G229</f>
        <v>18678000</v>
      </c>
      <c r="J229" s="47">
        <f t="shared" si="35"/>
        <v>0</v>
      </c>
    </row>
    <row r="230" spans="1:26" s="11" customFormat="1" ht="12.75">
      <c r="A230" s="32"/>
      <c r="B230" s="45" t="s">
        <v>123</v>
      </c>
      <c r="C230" s="46">
        <v>4128000</v>
      </c>
      <c r="D230" s="47"/>
      <c r="E230" s="46"/>
      <c r="F230" s="47"/>
      <c r="G230" s="46"/>
      <c r="H230" s="47"/>
      <c r="I230" s="46">
        <f t="shared" si="35"/>
        <v>4128000</v>
      </c>
      <c r="J230" s="47">
        <f t="shared" si="35"/>
        <v>0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10" ht="12.75">
      <c r="A231" s="32"/>
      <c r="B231" s="29" t="s">
        <v>118</v>
      </c>
      <c r="C231" s="46">
        <v>13185000</v>
      </c>
      <c r="D231" s="47"/>
      <c r="E231" s="46"/>
      <c r="F231" s="47"/>
      <c r="G231" s="46"/>
      <c r="H231" s="47"/>
      <c r="I231" s="46">
        <f t="shared" si="35"/>
        <v>13185000</v>
      </c>
      <c r="J231" s="47">
        <f t="shared" si="35"/>
        <v>0</v>
      </c>
    </row>
    <row r="232" spans="1:10" ht="12.75">
      <c r="A232" s="48"/>
      <c r="B232" s="49" t="s">
        <v>278</v>
      </c>
      <c r="C232" s="50">
        <f>SUM(C229:C231)</f>
        <v>35991000</v>
      </c>
      <c r="D232" s="51"/>
      <c r="E232" s="50"/>
      <c r="F232" s="51"/>
      <c r="G232" s="50"/>
      <c r="H232" s="51"/>
      <c r="I232" s="50">
        <f>SUM(I229:I231)</f>
        <v>35991000</v>
      </c>
      <c r="J232" s="101">
        <f>SUM(J229:J231)</f>
        <v>0</v>
      </c>
    </row>
    <row r="233" spans="1:10" ht="12.75">
      <c r="A233" s="48"/>
      <c r="B233" s="32" t="s">
        <v>276</v>
      </c>
      <c r="C233" s="50"/>
      <c r="D233" s="47">
        <v>2080000</v>
      </c>
      <c r="E233" s="50"/>
      <c r="F233" s="51"/>
      <c r="G233" s="50"/>
      <c r="H233" s="51"/>
      <c r="I233" s="46">
        <f>C233+E233+G233</f>
        <v>0</v>
      </c>
      <c r="J233" s="47">
        <f>D233+F233+H233</f>
        <v>2080000</v>
      </c>
    </row>
    <row r="234" spans="1:10" ht="25.5">
      <c r="A234" s="32"/>
      <c r="B234" s="45" t="s">
        <v>288</v>
      </c>
      <c r="C234" s="46"/>
      <c r="D234" s="47">
        <v>33911000</v>
      </c>
      <c r="E234" s="46"/>
      <c r="F234" s="47"/>
      <c r="G234" s="46"/>
      <c r="H234" s="47"/>
      <c r="I234" s="46">
        <f>C234+E234+G234</f>
        <v>0</v>
      </c>
      <c r="J234" s="47">
        <f>D234+F234+H234</f>
        <v>33911000</v>
      </c>
    </row>
    <row r="235" spans="1:10" ht="13.5" thickBot="1">
      <c r="A235" s="208"/>
      <c r="B235" s="234" t="s">
        <v>278</v>
      </c>
      <c r="C235" s="89"/>
      <c r="D235" s="217">
        <f>SUM(D233:D234)</f>
        <v>35991000</v>
      </c>
      <c r="E235" s="89"/>
      <c r="F235" s="88"/>
      <c r="G235" s="89"/>
      <c r="H235" s="88"/>
      <c r="I235" s="216">
        <f>SUM(I233:I234)</f>
        <v>0</v>
      </c>
      <c r="J235" s="217">
        <f>SUM(J233:J234)</f>
        <v>35991000</v>
      </c>
    </row>
    <row r="236" spans="1:10" ht="13.5" thickBot="1">
      <c r="A236" s="32"/>
      <c r="B236" s="69"/>
      <c r="C236" s="46"/>
      <c r="D236" s="47"/>
      <c r="E236" s="46"/>
      <c r="F236" s="47"/>
      <c r="G236" s="46"/>
      <c r="H236" s="47"/>
      <c r="I236" s="46"/>
      <c r="J236" s="47"/>
    </row>
    <row r="237" spans="1:10" ht="25.5">
      <c r="A237" s="242" t="s">
        <v>289</v>
      </c>
      <c r="B237" s="243"/>
      <c r="C237" s="244"/>
      <c r="D237" s="245"/>
      <c r="E237" s="244"/>
      <c r="F237" s="245"/>
      <c r="G237" s="244"/>
      <c r="H237" s="245"/>
      <c r="I237" s="244"/>
      <c r="J237" s="245"/>
    </row>
    <row r="238" spans="1:10" ht="25.5">
      <c r="A238" s="48" t="s">
        <v>290</v>
      </c>
      <c r="B238" s="29" t="s">
        <v>255</v>
      </c>
      <c r="C238" s="46">
        <v>31183000</v>
      </c>
      <c r="D238" s="47"/>
      <c r="E238" s="46"/>
      <c r="F238" s="47"/>
      <c r="G238" s="46"/>
      <c r="H238" s="47"/>
      <c r="I238" s="46">
        <f aca="true" t="shared" si="36" ref="I238:J240">C238+E238+G238</f>
        <v>31183000</v>
      </c>
      <c r="J238" s="47">
        <f t="shared" si="36"/>
        <v>0</v>
      </c>
    </row>
    <row r="239" spans="1:26" s="11" customFormat="1" ht="12.75">
      <c r="A239" s="48"/>
      <c r="B239" s="45" t="s">
        <v>123</v>
      </c>
      <c r="C239" s="46">
        <v>6909000</v>
      </c>
      <c r="D239" s="51"/>
      <c r="E239" s="50"/>
      <c r="F239" s="51"/>
      <c r="G239" s="50"/>
      <c r="H239" s="51"/>
      <c r="I239" s="46">
        <f t="shared" si="36"/>
        <v>6909000</v>
      </c>
      <c r="J239" s="47">
        <f t="shared" si="36"/>
        <v>0</v>
      </c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10" ht="12.75">
      <c r="A240" s="32"/>
      <c r="B240" s="29" t="s">
        <v>118</v>
      </c>
      <c r="C240" s="46">
        <v>31296000</v>
      </c>
      <c r="D240" s="47"/>
      <c r="E240" s="46"/>
      <c r="F240" s="47"/>
      <c r="G240" s="46"/>
      <c r="H240" s="47"/>
      <c r="I240" s="46">
        <f t="shared" si="36"/>
        <v>31296000</v>
      </c>
      <c r="J240" s="47">
        <f t="shared" si="36"/>
        <v>0</v>
      </c>
    </row>
    <row r="241" spans="1:10" ht="12.75">
      <c r="A241" s="28"/>
      <c r="B241" s="49" t="s">
        <v>278</v>
      </c>
      <c r="C241" s="42">
        <f>SUM(C238:C240)</f>
        <v>69388000</v>
      </c>
      <c r="D241" s="31"/>
      <c r="E241" s="30"/>
      <c r="F241" s="31"/>
      <c r="G241" s="30"/>
      <c r="H241" s="31"/>
      <c r="I241" s="50">
        <f>SUM(I238:I240)</f>
        <v>69388000</v>
      </c>
      <c r="J241" s="101">
        <f>SUM(J238:J240)</f>
        <v>0</v>
      </c>
    </row>
    <row r="242" spans="1:10" ht="12.75">
      <c r="A242" s="28"/>
      <c r="B242" s="32" t="s">
        <v>276</v>
      </c>
      <c r="C242" s="30"/>
      <c r="D242" s="31">
        <v>33020000</v>
      </c>
      <c r="E242" s="30"/>
      <c r="F242" s="31"/>
      <c r="G242" s="30"/>
      <c r="H242" s="31"/>
      <c r="I242" s="46">
        <f>C242+E242+G242</f>
        <v>0</v>
      </c>
      <c r="J242" s="47">
        <f>D242+F242+H242</f>
        <v>33020000</v>
      </c>
    </row>
    <row r="243" spans="1:10" ht="25.5">
      <c r="A243" s="28"/>
      <c r="B243" s="45" t="s">
        <v>288</v>
      </c>
      <c r="C243" s="30"/>
      <c r="D243" s="31">
        <f>69388000-33020000</f>
        <v>36368000</v>
      </c>
      <c r="E243" s="30"/>
      <c r="F243" s="31"/>
      <c r="G243" s="30"/>
      <c r="H243" s="31"/>
      <c r="I243" s="46">
        <f>C243+E243+G243</f>
        <v>0</v>
      </c>
      <c r="J243" s="47">
        <f>D243+F243+H243</f>
        <v>36368000</v>
      </c>
    </row>
    <row r="244" spans="1:10" ht="13.5" thickBot="1">
      <c r="A244" s="62"/>
      <c r="B244" s="234" t="s">
        <v>278</v>
      </c>
      <c r="C244" s="64"/>
      <c r="D244" s="236">
        <f>SUM(D242:D243)</f>
        <v>69388000</v>
      </c>
      <c r="E244" s="64"/>
      <c r="F244" s="65"/>
      <c r="G244" s="64"/>
      <c r="H244" s="65"/>
      <c r="I244" s="216">
        <f>SUM(I242:I243)</f>
        <v>0</v>
      </c>
      <c r="J244" s="217">
        <f>SUM(J242:J243)</f>
        <v>69388000</v>
      </c>
    </row>
    <row r="245" spans="1:10" ht="12.75">
      <c r="A245" s="228" t="s">
        <v>291</v>
      </c>
      <c r="B245" s="85"/>
      <c r="C245" s="77"/>
      <c r="D245" s="225"/>
      <c r="E245" s="77"/>
      <c r="F245" s="225"/>
      <c r="G245" s="77"/>
      <c r="H245" s="225"/>
      <c r="I245" s="77"/>
      <c r="J245" s="225"/>
    </row>
    <row r="246" spans="1:10" ht="12.75">
      <c r="A246" s="32"/>
      <c r="B246" s="29" t="s">
        <v>255</v>
      </c>
      <c r="C246" s="46"/>
      <c r="D246" s="47"/>
      <c r="E246" s="46">
        <v>1345000</v>
      </c>
      <c r="F246" s="47"/>
      <c r="G246" s="46"/>
      <c r="H246" s="47"/>
      <c r="I246" s="46">
        <f aca="true" t="shared" si="37" ref="I246:J248">C246+E246+G246</f>
        <v>1345000</v>
      </c>
      <c r="J246" s="47">
        <f t="shared" si="37"/>
        <v>0</v>
      </c>
    </row>
    <row r="247" spans="1:10" ht="12.75">
      <c r="A247" s="48"/>
      <c r="B247" s="45" t="s">
        <v>123</v>
      </c>
      <c r="C247" s="50"/>
      <c r="D247" s="51"/>
      <c r="E247" s="46">
        <v>533000</v>
      </c>
      <c r="F247" s="51"/>
      <c r="G247" s="50"/>
      <c r="H247" s="51"/>
      <c r="I247" s="46">
        <f t="shared" si="37"/>
        <v>533000</v>
      </c>
      <c r="J247" s="47">
        <f t="shared" si="37"/>
        <v>0</v>
      </c>
    </row>
    <row r="248" spans="1:10" ht="12.75">
      <c r="A248" s="48"/>
      <c r="B248" s="29" t="s">
        <v>118</v>
      </c>
      <c r="C248" s="50"/>
      <c r="D248" s="51"/>
      <c r="E248" s="46">
        <v>9140000</v>
      </c>
      <c r="F248" s="51"/>
      <c r="G248" s="50"/>
      <c r="H248" s="51"/>
      <c r="I248" s="46">
        <f t="shared" si="37"/>
        <v>9140000</v>
      </c>
      <c r="J248" s="47">
        <f t="shared" si="37"/>
        <v>0</v>
      </c>
    </row>
    <row r="249" spans="1:10" ht="12.75">
      <c r="A249" s="48"/>
      <c r="B249" s="49" t="s">
        <v>278</v>
      </c>
      <c r="C249" s="50"/>
      <c r="D249" s="51"/>
      <c r="E249" s="50">
        <f>SUM(E246:E248)</f>
        <v>11018000</v>
      </c>
      <c r="F249" s="51"/>
      <c r="G249" s="50"/>
      <c r="H249" s="51"/>
      <c r="I249" s="50">
        <f>SUM(I246:I248)</f>
        <v>11018000</v>
      </c>
      <c r="J249" s="101">
        <f>SUM(J246:J248)</f>
        <v>0</v>
      </c>
    </row>
    <row r="250" spans="1:10" ht="12.75">
      <c r="A250" s="28"/>
      <c r="B250" s="32" t="s">
        <v>276</v>
      </c>
      <c r="C250" s="30"/>
      <c r="D250" s="31"/>
      <c r="E250" s="30"/>
      <c r="F250" s="31">
        <v>8890000</v>
      </c>
      <c r="G250" s="30"/>
      <c r="H250" s="31"/>
      <c r="I250" s="46">
        <f>C250+E250+G250</f>
        <v>0</v>
      </c>
      <c r="J250" s="47">
        <f>D250+F250+H250</f>
        <v>8890000</v>
      </c>
    </row>
    <row r="251" spans="1:10" ht="25.5">
      <c r="A251" s="28"/>
      <c r="B251" s="45" t="s">
        <v>288</v>
      </c>
      <c r="C251" s="30"/>
      <c r="D251" s="31"/>
      <c r="E251" s="30"/>
      <c r="F251" s="31">
        <f>11018000-8890000</f>
        <v>2128000</v>
      </c>
      <c r="G251" s="30"/>
      <c r="H251" s="31"/>
      <c r="I251" s="46">
        <f>C251+E251+G251</f>
        <v>0</v>
      </c>
      <c r="J251" s="47">
        <f>D251+F251+H251</f>
        <v>2128000</v>
      </c>
    </row>
    <row r="252" spans="1:26" s="24" customFormat="1" ht="16.5" thickBot="1">
      <c r="A252" s="62"/>
      <c r="B252" s="234" t="s">
        <v>278</v>
      </c>
      <c r="C252" s="64"/>
      <c r="D252" s="65"/>
      <c r="E252" s="64"/>
      <c r="F252" s="236">
        <f>SUM(F250:F251)</f>
        <v>11018000</v>
      </c>
      <c r="G252" s="64"/>
      <c r="H252" s="65"/>
      <c r="I252" s="216">
        <f>SUM(I250:I251)</f>
        <v>0</v>
      </c>
      <c r="J252" s="217">
        <f>SUM(J250:J251)</f>
        <v>11018000</v>
      </c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s="15" customFormat="1" ht="15.75">
      <c r="A253" s="235" t="s">
        <v>292</v>
      </c>
      <c r="B253" s="74" t="s">
        <v>255</v>
      </c>
      <c r="C253" s="77"/>
      <c r="D253" s="225"/>
      <c r="E253" s="77">
        <v>3200000</v>
      </c>
      <c r="F253" s="225"/>
      <c r="G253" s="77"/>
      <c r="H253" s="225"/>
      <c r="I253" s="46">
        <f aca="true" t="shared" si="38" ref="I253:J255">C253+E253+G253</f>
        <v>3200000</v>
      </c>
      <c r="J253" s="47">
        <f t="shared" si="38"/>
        <v>0</v>
      </c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s="15" customFormat="1" ht="15.75">
      <c r="A254" s="28"/>
      <c r="B254" s="45" t="s">
        <v>123</v>
      </c>
      <c r="C254" s="30"/>
      <c r="D254" s="31"/>
      <c r="E254" s="30">
        <v>796000</v>
      </c>
      <c r="F254" s="31"/>
      <c r="G254" s="30"/>
      <c r="H254" s="31"/>
      <c r="I254" s="46">
        <f t="shared" si="38"/>
        <v>796000</v>
      </c>
      <c r="J254" s="47">
        <f t="shared" si="38"/>
        <v>0</v>
      </c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10" ht="12.75">
      <c r="A255" s="28"/>
      <c r="B255" s="29" t="s">
        <v>118</v>
      </c>
      <c r="C255" s="30"/>
      <c r="D255" s="31"/>
      <c r="E255" s="30">
        <v>17594000</v>
      </c>
      <c r="F255" s="31"/>
      <c r="G255" s="30"/>
      <c r="H255" s="31"/>
      <c r="I255" s="46">
        <f t="shared" si="38"/>
        <v>17594000</v>
      </c>
      <c r="J255" s="47">
        <f t="shared" si="38"/>
        <v>0</v>
      </c>
    </row>
    <row r="256" spans="1:26" s="11" customFormat="1" ht="12.75">
      <c r="A256" s="32"/>
      <c r="B256" s="49" t="s">
        <v>278</v>
      </c>
      <c r="C256" s="46"/>
      <c r="D256" s="47"/>
      <c r="E256" s="50">
        <f>SUM(E253:E255)</f>
        <v>21590000</v>
      </c>
      <c r="F256" s="47"/>
      <c r="G256" s="46"/>
      <c r="H256" s="47"/>
      <c r="I256" s="50">
        <f>SUM(I253:I255)</f>
        <v>21590000</v>
      </c>
      <c r="J256" s="101">
        <f>SUM(J253:J255)</f>
        <v>0</v>
      </c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s="11" customFormat="1" ht="12.75">
      <c r="A257" s="28"/>
      <c r="B257" s="32" t="s">
        <v>276</v>
      </c>
      <c r="C257" s="30"/>
      <c r="D257" s="31"/>
      <c r="E257" s="30"/>
      <c r="F257" s="31">
        <v>21590000</v>
      </c>
      <c r="G257" s="30"/>
      <c r="H257" s="31"/>
      <c r="I257" s="46">
        <f>C257+E257+G257</f>
        <v>0</v>
      </c>
      <c r="J257" s="47">
        <f>D257+F257+H257</f>
        <v>21590000</v>
      </c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s="11" customFormat="1" ht="25.5">
      <c r="A258" s="28"/>
      <c r="B258" s="45" t="s">
        <v>288</v>
      </c>
      <c r="C258" s="30"/>
      <c r="D258" s="31"/>
      <c r="E258" s="30"/>
      <c r="F258" s="31"/>
      <c r="G258" s="30"/>
      <c r="H258" s="31"/>
      <c r="I258" s="46">
        <f>C258+E258+G258</f>
        <v>0</v>
      </c>
      <c r="J258" s="47">
        <f>D258+F258+H258</f>
        <v>0</v>
      </c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s="11" customFormat="1" ht="13.5" thickBot="1">
      <c r="A259" s="62"/>
      <c r="B259" s="234" t="s">
        <v>278</v>
      </c>
      <c r="C259" s="64"/>
      <c r="D259" s="65"/>
      <c r="E259" s="64"/>
      <c r="F259" s="236">
        <f>SUM(F257:F258)</f>
        <v>21590000</v>
      </c>
      <c r="G259" s="64"/>
      <c r="H259" s="65"/>
      <c r="I259" s="216">
        <f>SUM(I257:I258)</f>
        <v>0</v>
      </c>
      <c r="J259" s="217">
        <f>SUM(J257:J258)</f>
        <v>21590000</v>
      </c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10" ht="12.75">
      <c r="A260" s="228" t="s">
        <v>293</v>
      </c>
      <c r="B260" s="74" t="s">
        <v>255</v>
      </c>
      <c r="C260" s="77"/>
      <c r="D260" s="225"/>
      <c r="E260" s="77">
        <v>720000</v>
      </c>
      <c r="F260" s="225"/>
      <c r="G260" s="77"/>
      <c r="H260" s="225"/>
      <c r="I260" s="46">
        <f aca="true" t="shared" si="39" ref="I260:J262">C260+E260+G260</f>
        <v>720000</v>
      </c>
      <c r="J260" s="47">
        <f t="shared" si="39"/>
        <v>0</v>
      </c>
    </row>
    <row r="261" spans="1:26" s="11" customFormat="1" ht="12.75">
      <c r="A261" s="28"/>
      <c r="B261" s="45" t="s">
        <v>123</v>
      </c>
      <c r="C261" s="30"/>
      <c r="D261" s="31"/>
      <c r="E261" s="30">
        <v>143000</v>
      </c>
      <c r="F261" s="31"/>
      <c r="G261" s="30"/>
      <c r="H261" s="31"/>
      <c r="I261" s="46">
        <f t="shared" si="39"/>
        <v>143000</v>
      </c>
      <c r="J261" s="47">
        <f t="shared" si="39"/>
        <v>0</v>
      </c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s="11" customFormat="1" ht="12.75">
      <c r="A262" s="28"/>
      <c r="B262" s="29" t="s">
        <v>118</v>
      </c>
      <c r="C262" s="30"/>
      <c r="D262" s="31"/>
      <c r="E262" s="30">
        <v>11294000</v>
      </c>
      <c r="F262" s="31"/>
      <c r="G262" s="30"/>
      <c r="H262" s="31"/>
      <c r="I262" s="46">
        <f t="shared" si="39"/>
        <v>11294000</v>
      </c>
      <c r="J262" s="47">
        <f t="shared" si="39"/>
        <v>0</v>
      </c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s="11" customFormat="1" ht="12.75">
      <c r="A263" s="28"/>
      <c r="B263" s="49" t="s">
        <v>278</v>
      </c>
      <c r="C263" s="30"/>
      <c r="D263" s="31"/>
      <c r="E263" s="42">
        <f>SUM(E260:E262)</f>
        <v>12157000</v>
      </c>
      <c r="F263" s="31"/>
      <c r="G263" s="30"/>
      <c r="H263" s="31"/>
      <c r="I263" s="50">
        <f>SUM(I260:I262)</f>
        <v>12157000</v>
      </c>
      <c r="J263" s="101">
        <f>SUM(J260:J262)</f>
        <v>0</v>
      </c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10" ht="12.75">
      <c r="A264" s="28"/>
      <c r="B264" s="32" t="s">
        <v>276</v>
      </c>
      <c r="C264" s="30"/>
      <c r="D264" s="31"/>
      <c r="E264" s="30"/>
      <c r="F264" s="31">
        <v>10000000</v>
      </c>
      <c r="G264" s="30"/>
      <c r="H264" s="31"/>
      <c r="I264" s="46">
        <f>C264+E264+G264</f>
        <v>0</v>
      </c>
      <c r="J264" s="47">
        <f>D264+F264+H264</f>
        <v>10000000</v>
      </c>
    </row>
    <row r="265" spans="1:10" ht="25.5">
      <c r="A265" s="32"/>
      <c r="B265" s="45" t="s">
        <v>288</v>
      </c>
      <c r="C265" s="46"/>
      <c r="D265" s="47"/>
      <c r="E265" s="46"/>
      <c r="F265" s="47">
        <v>2157000</v>
      </c>
      <c r="G265" s="46"/>
      <c r="H265" s="47"/>
      <c r="I265" s="46">
        <f>C265+E265+G265</f>
        <v>0</v>
      </c>
      <c r="J265" s="47">
        <f>D265+F265+H265</f>
        <v>2157000</v>
      </c>
    </row>
    <row r="266" spans="1:10" ht="13.5" thickBot="1">
      <c r="A266" s="62"/>
      <c r="B266" s="234" t="s">
        <v>278</v>
      </c>
      <c r="C266" s="64"/>
      <c r="D266" s="65"/>
      <c r="E266" s="64"/>
      <c r="F266" s="236">
        <f>SUM(F264:F265)</f>
        <v>12157000</v>
      </c>
      <c r="G266" s="64"/>
      <c r="H266" s="65"/>
      <c r="I266" s="216">
        <f>SUM(I264:I265)</f>
        <v>0</v>
      </c>
      <c r="J266" s="217">
        <f>SUM(J264:J265)</f>
        <v>12157000</v>
      </c>
    </row>
    <row r="267" spans="1:10" ht="25.5">
      <c r="A267" s="242" t="s">
        <v>289</v>
      </c>
      <c r="B267" s="256"/>
      <c r="C267" s="254"/>
      <c r="D267" s="255"/>
      <c r="E267" s="254"/>
      <c r="F267" s="252"/>
      <c r="G267" s="254"/>
      <c r="H267" s="255"/>
      <c r="I267" s="257"/>
      <c r="J267" s="258"/>
    </row>
    <row r="268" spans="1:10" ht="12.75">
      <c r="A268" s="204"/>
      <c r="B268" s="29" t="s">
        <v>255</v>
      </c>
      <c r="C268" s="30">
        <f aca="true" t="shared" si="40" ref="C268:H268">+C238+C246+C253+C260</f>
        <v>31183000</v>
      </c>
      <c r="D268" s="31">
        <f t="shared" si="40"/>
        <v>0</v>
      </c>
      <c r="E268" s="30">
        <f t="shared" si="40"/>
        <v>5265000</v>
      </c>
      <c r="F268" s="31">
        <f t="shared" si="40"/>
        <v>0</v>
      </c>
      <c r="G268" s="30">
        <f t="shared" si="40"/>
        <v>0</v>
      </c>
      <c r="H268" s="31">
        <f t="shared" si="40"/>
        <v>0</v>
      </c>
      <c r="I268" s="46">
        <f aca="true" t="shared" si="41" ref="I268:J270">C268+E268+G268</f>
        <v>36448000</v>
      </c>
      <c r="J268" s="47">
        <f t="shared" si="41"/>
        <v>0</v>
      </c>
    </row>
    <row r="269" spans="1:10" ht="12.75">
      <c r="A269" s="28"/>
      <c r="B269" s="45" t="s">
        <v>123</v>
      </c>
      <c r="C269" s="30">
        <f aca="true" t="shared" si="42" ref="C269:H270">C239+C247+C254+C261</f>
        <v>6909000</v>
      </c>
      <c r="D269" s="31">
        <f t="shared" si="42"/>
        <v>0</v>
      </c>
      <c r="E269" s="30">
        <f t="shared" si="42"/>
        <v>1472000</v>
      </c>
      <c r="F269" s="31">
        <f t="shared" si="42"/>
        <v>0</v>
      </c>
      <c r="G269" s="30">
        <f t="shared" si="42"/>
        <v>0</v>
      </c>
      <c r="H269" s="31">
        <f t="shared" si="42"/>
        <v>0</v>
      </c>
      <c r="I269" s="46">
        <f t="shared" si="41"/>
        <v>8381000</v>
      </c>
      <c r="J269" s="47">
        <f t="shared" si="41"/>
        <v>0</v>
      </c>
    </row>
    <row r="270" spans="1:10" ht="12.75">
      <c r="A270" s="28"/>
      <c r="B270" s="29" t="s">
        <v>118</v>
      </c>
      <c r="C270" s="30">
        <f t="shared" si="42"/>
        <v>31296000</v>
      </c>
      <c r="D270" s="31">
        <f t="shared" si="42"/>
        <v>0</v>
      </c>
      <c r="E270" s="30">
        <f t="shared" si="42"/>
        <v>38028000</v>
      </c>
      <c r="F270" s="31">
        <f t="shared" si="42"/>
        <v>0</v>
      </c>
      <c r="G270" s="30">
        <f t="shared" si="42"/>
        <v>0</v>
      </c>
      <c r="H270" s="31">
        <f t="shared" si="42"/>
        <v>0</v>
      </c>
      <c r="I270" s="46">
        <f t="shared" si="41"/>
        <v>69324000</v>
      </c>
      <c r="J270" s="47">
        <f t="shared" si="41"/>
        <v>0</v>
      </c>
    </row>
    <row r="271" spans="1:10" ht="12.75">
      <c r="A271" s="28"/>
      <c r="B271" s="49" t="s">
        <v>278</v>
      </c>
      <c r="C271" s="42">
        <f aca="true" t="shared" si="43" ref="C271:J271">SUM(C268:C270)</f>
        <v>69388000</v>
      </c>
      <c r="D271" s="31">
        <f t="shared" si="43"/>
        <v>0</v>
      </c>
      <c r="E271" s="42">
        <f t="shared" si="43"/>
        <v>44765000</v>
      </c>
      <c r="F271" s="31">
        <f t="shared" si="43"/>
        <v>0</v>
      </c>
      <c r="G271" s="30">
        <f t="shared" si="43"/>
        <v>0</v>
      </c>
      <c r="H271" s="31">
        <f t="shared" si="43"/>
        <v>0</v>
      </c>
      <c r="I271" s="50">
        <f t="shared" si="43"/>
        <v>114153000</v>
      </c>
      <c r="J271" s="101">
        <f t="shared" si="43"/>
        <v>0</v>
      </c>
    </row>
    <row r="272" spans="1:10" ht="12.75">
      <c r="A272" s="28"/>
      <c r="B272" s="32" t="s">
        <v>276</v>
      </c>
      <c r="C272" s="30">
        <f aca="true" t="shared" si="44" ref="C272:H272">+C242+C250+C257+C264</f>
        <v>0</v>
      </c>
      <c r="D272" s="31">
        <f t="shared" si="44"/>
        <v>33020000</v>
      </c>
      <c r="E272" s="30">
        <f t="shared" si="44"/>
        <v>0</v>
      </c>
      <c r="F272" s="31">
        <f t="shared" si="44"/>
        <v>40480000</v>
      </c>
      <c r="G272" s="30">
        <f t="shared" si="44"/>
        <v>0</v>
      </c>
      <c r="H272" s="31">
        <f t="shared" si="44"/>
        <v>0</v>
      </c>
      <c r="I272" s="46">
        <f>C272+E272+G272</f>
        <v>0</v>
      </c>
      <c r="J272" s="47">
        <f>D272+F272+H272</f>
        <v>73500000</v>
      </c>
    </row>
    <row r="273" spans="1:10" ht="25.5">
      <c r="A273" s="28"/>
      <c r="B273" s="45" t="s">
        <v>288</v>
      </c>
      <c r="C273" s="30">
        <f aca="true" t="shared" si="45" ref="C273:H273">C265+C251+C243</f>
        <v>0</v>
      </c>
      <c r="D273" s="31">
        <f t="shared" si="45"/>
        <v>36368000</v>
      </c>
      <c r="E273" s="30">
        <f t="shared" si="45"/>
        <v>0</v>
      </c>
      <c r="F273" s="31">
        <f t="shared" si="45"/>
        <v>4285000</v>
      </c>
      <c r="G273" s="30">
        <f t="shared" si="45"/>
        <v>0</v>
      </c>
      <c r="H273" s="31">
        <f t="shared" si="45"/>
        <v>0</v>
      </c>
      <c r="I273" s="46">
        <f>C273+E273+G273</f>
        <v>0</v>
      </c>
      <c r="J273" s="47">
        <f>D273+F273+H273</f>
        <v>40653000</v>
      </c>
    </row>
    <row r="274" spans="1:10" ht="13.5" thickBot="1">
      <c r="A274" s="62"/>
      <c r="B274" s="234" t="s">
        <v>278</v>
      </c>
      <c r="C274" s="237">
        <f aca="true" t="shared" si="46" ref="C274:J274">SUM(C272:C273)</f>
        <v>0</v>
      </c>
      <c r="D274" s="236">
        <f t="shared" si="46"/>
        <v>69388000</v>
      </c>
      <c r="E274" s="64">
        <f t="shared" si="46"/>
        <v>0</v>
      </c>
      <c r="F274" s="236">
        <f t="shared" si="46"/>
        <v>44765000</v>
      </c>
      <c r="G274" s="64">
        <f t="shared" si="46"/>
        <v>0</v>
      </c>
      <c r="H274" s="65">
        <f t="shared" si="46"/>
        <v>0</v>
      </c>
      <c r="I274" s="216">
        <f t="shared" si="46"/>
        <v>0</v>
      </c>
      <c r="J274" s="217">
        <f t="shared" si="46"/>
        <v>114153000</v>
      </c>
    </row>
    <row r="275" spans="1:10" ht="12.75">
      <c r="A275" s="238" t="s">
        <v>295</v>
      </c>
      <c r="B275" s="246"/>
      <c r="C275" s="247"/>
      <c r="D275" s="248"/>
      <c r="E275" s="247"/>
      <c r="F275" s="248"/>
      <c r="G275" s="247"/>
      <c r="H275" s="248"/>
      <c r="I275" s="247"/>
      <c r="J275" s="248"/>
    </row>
    <row r="276" spans="1:10" ht="12.75">
      <c r="A276" s="28"/>
      <c r="B276" s="29" t="s">
        <v>255</v>
      </c>
      <c r="C276" s="46">
        <v>28125000</v>
      </c>
      <c r="D276" s="47"/>
      <c r="E276" s="46"/>
      <c r="F276" s="47"/>
      <c r="G276" s="46"/>
      <c r="H276" s="47"/>
      <c r="I276" s="46">
        <f aca="true" t="shared" si="47" ref="I276:J278">C276+E276+G276</f>
        <v>28125000</v>
      </c>
      <c r="J276" s="47">
        <f t="shared" si="47"/>
        <v>0</v>
      </c>
    </row>
    <row r="277" spans="1:26" s="24" customFormat="1" ht="15.75">
      <c r="A277" s="53"/>
      <c r="B277" s="45" t="s">
        <v>123</v>
      </c>
      <c r="C277" s="46">
        <v>6105000</v>
      </c>
      <c r="D277" s="47"/>
      <c r="E277" s="46"/>
      <c r="F277" s="47"/>
      <c r="G277" s="46"/>
      <c r="H277" s="47"/>
      <c r="I277" s="46">
        <f t="shared" si="47"/>
        <v>6105000</v>
      </c>
      <c r="J277" s="47">
        <f t="shared" si="47"/>
        <v>0</v>
      </c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s="15" customFormat="1" ht="15.75">
      <c r="A278" s="28"/>
      <c r="B278" s="29" t="s">
        <v>118</v>
      </c>
      <c r="C278" s="46">
        <v>10225000</v>
      </c>
      <c r="D278" s="47"/>
      <c r="E278" s="46"/>
      <c r="F278" s="47"/>
      <c r="G278" s="46"/>
      <c r="H278" s="47"/>
      <c r="I278" s="46">
        <f t="shared" si="47"/>
        <v>10225000</v>
      </c>
      <c r="J278" s="47">
        <f t="shared" si="47"/>
        <v>0</v>
      </c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s="15" customFormat="1" ht="15.75">
      <c r="A279" s="54"/>
      <c r="B279" s="49" t="s">
        <v>278</v>
      </c>
      <c r="C279" s="50">
        <f>SUM(C276:C278)</f>
        <v>44455000</v>
      </c>
      <c r="D279" s="51"/>
      <c r="E279" s="50"/>
      <c r="F279" s="51"/>
      <c r="G279" s="50"/>
      <c r="H279" s="51"/>
      <c r="I279" s="50">
        <f>SUM(I276:I278)</f>
        <v>44455000</v>
      </c>
      <c r="J279" s="51">
        <f>SUM(J276:J278)</f>
        <v>0</v>
      </c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10" ht="15.75">
      <c r="A280" s="58"/>
      <c r="B280" s="32" t="s">
        <v>276</v>
      </c>
      <c r="C280" s="50"/>
      <c r="D280" s="47">
        <v>4000000</v>
      </c>
      <c r="E280" s="50"/>
      <c r="F280" s="51"/>
      <c r="G280" s="50"/>
      <c r="H280" s="51"/>
      <c r="I280" s="46">
        <f>C280+E280+G280</f>
        <v>0</v>
      </c>
      <c r="J280" s="47">
        <f>D280+F280+H280</f>
        <v>4000000</v>
      </c>
    </row>
    <row r="281" spans="1:26" s="11" customFormat="1" ht="25.5">
      <c r="A281" s="58"/>
      <c r="B281" s="45" t="s">
        <v>288</v>
      </c>
      <c r="C281" s="46"/>
      <c r="D281" s="47">
        <f>44455000-4000000</f>
        <v>40455000</v>
      </c>
      <c r="E281" s="46"/>
      <c r="F281" s="47"/>
      <c r="G281" s="46"/>
      <c r="H281" s="47"/>
      <c r="I281" s="46">
        <f>C281+E281+G281</f>
        <v>0</v>
      </c>
      <c r="J281" s="47">
        <f>D281+F281+H281</f>
        <v>40455000</v>
      </c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s="11" customFormat="1" ht="13.5" thickBot="1">
      <c r="A282" s="62"/>
      <c r="B282" s="234" t="s">
        <v>278</v>
      </c>
      <c r="C282" s="89"/>
      <c r="D282" s="217">
        <f>SUM(D280:D281)</f>
        <v>44455000</v>
      </c>
      <c r="E282" s="89"/>
      <c r="F282" s="88"/>
      <c r="G282" s="89"/>
      <c r="H282" s="88"/>
      <c r="I282" s="216">
        <f>SUM(I280:I281)</f>
        <v>0</v>
      </c>
      <c r="J282" s="217">
        <f>SUM(J280:J281)</f>
        <v>44455000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s="11" customFormat="1" ht="13.5" thickBot="1">
      <c r="A283" s="32"/>
      <c r="B283" s="45"/>
      <c r="C283" s="46"/>
      <c r="D283" s="47"/>
      <c r="E283" s="46"/>
      <c r="F283" s="47"/>
      <c r="G283" s="46"/>
      <c r="H283" s="47"/>
      <c r="I283" s="46"/>
      <c r="J283" s="47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10" ht="12.75">
      <c r="A284" s="238" t="s">
        <v>297</v>
      </c>
      <c r="B284" s="246"/>
      <c r="C284" s="247"/>
      <c r="D284" s="248"/>
      <c r="E284" s="247"/>
      <c r="F284" s="248"/>
      <c r="G284" s="247"/>
      <c r="H284" s="248"/>
      <c r="I284" s="247"/>
      <c r="J284" s="248"/>
    </row>
    <row r="285" spans="1:10" ht="12.75">
      <c r="A285" s="28"/>
      <c r="B285" s="29" t="s">
        <v>255</v>
      </c>
      <c r="C285" s="253">
        <v>124451000</v>
      </c>
      <c r="D285" s="47"/>
      <c r="E285" s="46"/>
      <c r="F285" s="47"/>
      <c r="G285" s="46"/>
      <c r="H285" s="47"/>
      <c r="I285" s="46">
        <f aca="true" t="shared" si="48" ref="I285:J287">C285+E285+G285</f>
        <v>124451000</v>
      </c>
      <c r="J285" s="47">
        <f t="shared" si="48"/>
        <v>0</v>
      </c>
    </row>
    <row r="286" spans="1:10" ht="12.75">
      <c r="A286" s="53"/>
      <c r="B286" s="45" t="s">
        <v>123</v>
      </c>
      <c r="C286" s="253">
        <v>29639000</v>
      </c>
      <c r="D286" s="47"/>
      <c r="E286" s="46"/>
      <c r="F286" s="47"/>
      <c r="G286" s="46"/>
      <c r="H286" s="47"/>
      <c r="I286" s="46">
        <f t="shared" si="48"/>
        <v>29639000</v>
      </c>
      <c r="J286" s="47">
        <f t="shared" si="48"/>
        <v>0</v>
      </c>
    </row>
    <row r="287" spans="1:10" ht="12.75">
      <c r="A287" s="28"/>
      <c r="B287" s="29" t="s">
        <v>118</v>
      </c>
      <c r="C287" s="253">
        <v>79460000</v>
      </c>
      <c r="D287" s="47"/>
      <c r="E287" s="46"/>
      <c r="F287" s="47"/>
      <c r="G287" s="46"/>
      <c r="H287" s="47"/>
      <c r="I287" s="46">
        <f t="shared" si="48"/>
        <v>79460000</v>
      </c>
      <c r="J287" s="47">
        <f t="shared" si="48"/>
        <v>0</v>
      </c>
    </row>
    <row r="288" spans="1:10" ht="15.75">
      <c r="A288" s="54"/>
      <c r="B288" s="49" t="s">
        <v>278</v>
      </c>
      <c r="C288" s="50">
        <f>SUM(C285:C287)</f>
        <v>233550000</v>
      </c>
      <c r="D288" s="51"/>
      <c r="E288" s="50"/>
      <c r="F288" s="51"/>
      <c r="G288" s="50"/>
      <c r="H288" s="51"/>
      <c r="I288" s="50">
        <f>SUM(I285:I287)</f>
        <v>233550000</v>
      </c>
      <c r="J288" s="51">
        <f>SUM(J285:J287)</f>
        <v>0</v>
      </c>
    </row>
    <row r="289" spans="1:10" ht="15.75">
      <c r="A289" s="54"/>
      <c r="B289" s="29" t="s">
        <v>114</v>
      </c>
      <c r="C289" s="50"/>
      <c r="D289" s="47">
        <v>44148000</v>
      </c>
      <c r="E289" s="50"/>
      <c r="F289" s="51"/>
      <c r="G289" s="50"/>
      <c r="H289" s="51"/>
      <c r="I289" s="50"/>
      <c r="J289" s="47">
        <f>D289+F289+H289</f>
        <v>44148000</v>
      </c>
    </row>
    <row r="290" spans="1:10" ht="15.75">
      <c r="A290" s="58"/>
      <c r="B290" s="32" t="s">
        <v>276</v>
      </c>
      <c r="C290" s="50"/>
      <c r="D290" s="47">
        <v>58067000</v>
      </c>
      <c r="E290" s="50"/>
      <c r="F290" s="51"/>
      <c r="G290" s="50"/>
      <c r="H290" s="51"/>
      <c r="I290" s="46">
        <f>C290+E290+G290</f>
        <v>0</v>
      </c>
      <c r="J290" s="47">
        <f>D290+F290+H290</f>
        <v>58067000</v>
      </c>
    </row>
    <row r="291" spans="1:10" ht="25.5">
      <c r="A291" s="58"/>
      <c r="B291" s="45" t="s">
        <v>288</v>
      </c>
      <c r="C291" s="46"/>
      <c r="D291" s="47">
        <v>131335000</v>
      </c>
      <c r="E291" s="46"/>
      <c r="F291" s="47"/>
      <c r="G291" s="46"/>
      <c r="H291" s="47"/>
      <c r="I291" s="46">
        <f>C291+E291+G291</f>
        <v>0</v>
      </c>
      <c r="J291" s="47">
        <f>D291+F291+H291</f>
        <v>131335000</v>
      </c>
    </row>
    <row r="292" spans="1:10" ht="13.5" thickBot="1">
      <c r="A292" s="62"/>
      <c r="B292" s="234" t="s">
        <v>278</v>
      </c>
      <c r="C292" s="89"/>
      <c r="D292" s="217">
        <f>SUM(D289:D291)</f>
        <v>233550000</v>
      </c>
      <c r="E292" s="89"/>
      <c r="F292" s="88"/>
      <c r="G292" s="89"/>
      <c r="H292" s="88"/>
      <c r="I292" s="216">
        <f>SUM(I290:I291)</f>
        <v>0</v>
      </c>
      <c r="J292" s="217">
        <f>SUM(J289:J291)</f>
        <v>233550000</v>
      </c>
    </row>
    <row r="293" spans="1:10" ht="12.75">
      <c r="A293" s="238" t="s">
        <v>298</v>
      </c>
      <c r="B293" s="246"/>
      <c r="C293" s="247"/>
      <c r="D293" s="248"/>
      <c r="E293" s="247"/>
      <c r="F293" s="248"/>
      <c r="G293" s="247"/>
      <c r="H293" s="248"/>
      <c r="I293" s="247"/>
      <c r="J293" s="248"/>
    </row>
    <row r="294" spans="1:10" ht="12.75">
      <c r="A294" s="28"/>
      <c r="B294" s="29" t="s">
        <v>255</v>
      </c>
      <c r="C294" s="253">
        <f>186960000-56088000</f>
        <v>130872000</v>
      </c>
      <c r="D294" s="47"/>
      <c r="E294" s="46"/>
      <c r="F294" s="47"/>
      <c r="G294" s="46">
        <v>56088000</v>
      </c>
      <c r="H294" s="47"/>
      <c r="I294" s="46">
        <f aca="true" t="shared" si="49" ref="I294:J296">C294+E294+G294</f>
        <v>186960000</v>
      </c>
      <c r="J294" s="47">
        <f t="shared" si="49"/>
        <v>0</v>
      </c>
    </row>
    <row r="295" spans="1:10" ht="12.75">
      <c r="A295" s="53"/>
      <c r="B295" s="45" t="s">
        <v>123</v>
      </c>
      <c r="C295" s="253">
        <f>46284000-13885000</f>
        <v>32399000</v>
      </c>
      <c r="D295" s="47"/>
      <c r="E295" s="46"/>
      <c r="F295" s="47"/>
      <c r="G295" s="46">
        <v>13885000</v>
      </c>
      <c r="H295" s="47"/>
      <c r="I295" s="46">
        <f t="shared" si="49"/>
        <v>46284000</v>
      </c>
      <c r="J295" s="47">
        <f t="shared" si="49"/>
        <v>0</v>
      </c>
    </row>
    <row r="296" spans="1:10" ht="12.75">
      <c r="A296" s="28"/>
      <c r="B296" s="29" t="s">
        <v>118</v>
      </c>
      <c r="C296" s="253">
        <f>65100000-19530000</f>
        <v>45570000</v>
      </c>
      <c r="D296" s="47"/>
      <c r="E296" s="46"/>
      <c r="F296" s="47"/>
      <c r="G296" s="46">
        <v>19530000</v>
      </c>
      <c r="H296" s="47"/>
      <c r="I296" s="46">
        <f t="shared" si="49"/>
        <v>65100000</v>
      </c>
      <c r="J296" s="47">
        <f t="shared" si="49"/>
        <v>0</v>
      </c>
    </row>
    <row r="297" spans="1:26" s="24" customFormat="1" ht="15.75">
      <c r="A297" s="54"/>
      <c r="B297" s="49" t="s">
        <v>278</v>
      </c>
      <c r="C297" s="50">
        <f>SUM(C294:C296)</f>
        <v>208841000</v>
      </c>
      <c r="D297" s="51"/>
      <c r="E297" s="50"/>
      <c r="F297" s="51"/>
      <c r="G297" s="50">
        <f>SUM(G294:G296)</f>
        <v>89503000</v>
      </c>
      <c r="H297" s="51"/>
      <c r="I297" s="50">
        <f>SUM(I294:I296)</f>
        <v>298344000</v>
      </c>
      <c r="J297" s="51">
        <f>SUM(J294:J296)</f>
        <v>0</v>
      </c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s="15" customFormat="1" ht="15.75">
      <c r="A298" s="54"/>
      <c r="B298" s="29" t="s">
        <v>114</v>
      </c>
      <c r="C298" s="50"/>
      <c r="D298" s="47"/>
      <c r="E298" s="50"/>
      <c r="F298" s="51"/>
      <c r="G298" s="50"/>
      <c r="H298" s="51"/>
      <c r="I298" s="46">
        <f aca="true" t="shared" si="50" ref="I298:J300">C298+E298+G298</f>
        <v>0</v>
      </c>
      <c r="J298" s="47">
        <f t="shared" si="50"/>
        <v>0</v>
      </c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s="15" customFormat="1" ht="15.75">
      <c r="A299" s="58"/>
      <c r="B299" s="32" t="s">
        <v>276</v>
      </c>
      <c r="C299" s="50"/>
      <c r="D299" s="47">
        <v>2160000</v>
      </c>
      <c r="E299" s="50"/>
      <c r="F299" s="51"/>
      <c r="G299" s="50"/>
      <c r="H299" s="51"/>
      <c r="I299" s="46">
        <f t="shared" si="50"/>
        <v>0</v>
      </c>
      <c r="J299" s="47">
        <f t="shared" si="50"/>
        <v>2160000</v>
      </c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10" ht="25.5">
      <c r="A300" s="58"/>
      <c r="B300" s="45" t="s">
        <v>288</v>
      </c>
      <c r="C300" s="46"/>
      <c r="D300" s="47">
        <f>297184000-1000000</f>
        <v>296184000</v>
      </c>
      <c r="E300" s="46"/>
      <c r="F300" s="47"/>
      <c r="G300" s="46"/>
      <c r="H300" s="47"/>
      <c r="I300" s="46">
        <f t="shared" si="50"/>
        <v>0</v>
      </c>
      <c r="J300" s="47">
        <f t="shared" si="50"/>
        <v>296184000</v>
      </c>
    </row>
    <row r="301" spans="1:26" s="11" customFormat="1" ht="13.5" thickBot="1">
      <c r="A301" s="62"/>
      <c r="B301" s="234" t="s">
        <v>278</v>
      </c>
      <c r="C301" s="89"/>
      <c r="D301" s="217">
        <f>SUM(D298:D300)</f>
        <v>298344000</v>
      </c>
      <c r="E301" s="89"/>
      <c r="F301" s="88"/>
      <c r="G301" s="89"/>
      <c r="H301" s="88"/>
      <c r="I301" s="216">
        <f>SUM(I299:I300)</f>
        <v>0</v>
      </c>
      <c r="J301" s="217">
        <f>SUM(J298:J300)</f>
        <v>298344000</v>
      </c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s="11" customFormat="1" ht="12.75">
      <c r="A302" s="32"/>
      <c r="B302" s="45"/>
      <c r="C302" s="46"/>
      <c r="D302" s="47"/>
      <c r="E302" s="46"/>
      <c r="F302" s="47"/>
      <c r="G302" s="46"/>
      <c r="H302" s="47"/>
      <c r="I302" s="46"/>
      <c r="J302" s="4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s="11" customFormat="1" ht="17.25" customHeight="1">
      <c r="A303" s="32"/>
      <c r="B303" s="45"/>
      <c r="C303" s="46"/>
      <c r="D303" s="47"/>
      <c r="E303" s="46"/>
      <c r="F303" s="47"/>
      <c r="G303" s="46"/>
      <c r="H303" s="47"/>
      <c r="I303" s="46"/>
      <c r="J303" s="4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s="11" customFormat="1" ht="17.25" customHeight="1" thickBot="1">
      <c r="A304" s="32"/>
      <c r="B304" s="45"/>
      <c r="C304" s="46"/>
      <c r="D304" s="47"/>
      <c r="E304" s="46"/>
      <c r="F304" s="47"/>
      <c r="G304" s="46"/>
      <c r="H304" s="47"/>
      <c r="I304" s="46"/>
      <c r="J304" s="4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10" ht="15.75">
      <c r="A305" s="261" t="s">
        <v>299</v>
      </c>
      <c r="B305" s="262"/>
      <c r="C305" s="263"/>
      <c r="D305" s="264"/>
      <c r="E305" s="263"/>
      <c r="F305" s="264"/>
      <c r="G305" s="263"/>
      <c r="H305" s="264"/>
      <c r="I305" s="263"/>
      <c r="J305" s="264"/>
    </row>
    <row r="306" spans="1:10" ht="16.5" customHeight="1">
      <c r="A306" s="32"/>
      <c r="B306" s="29" t="s">
        <v>255</v>
      </c>
      <c r="C306" s="30">
        <f aca="true" t="shared" si="51" ref="C306:E308">C210+C229+C268+C276+C285+C294</f>
        <v>354351408</v>
      </c>
      <c r="D306" s="66">
        <f t="shared" si="51"/>
        <v>0</v>
      </c>
      <c r="E306" s="30">
        <f t="shared" si="51"/>
        <v>24557000</v>
      </c>
      <c r="F306" s="31">
        <f>F128+F130+F132+F200+F280+F281+F282+F296+F289</f>
        <v>0</v>
      </c>
      <c r="G306" s="30">
        <f>G210+G229+G268+G276+G285+G294</f>
        <v>56088000</v>
      </c>
      <c r="H306" s="31">
        <f>H128+H130+H132+H200+H280+H281+H282+H296+H289</f>
        <v>0</v>
      </c>
      <c r="I306" s="30">
        <f aca="true" t="shared" si="52" ref="I306:J313">C306+E306+G306</f>
        <v>434996408</v>
      </c>
      <c r="J306" s="31">
        <f t="shared" si="52"/>
        <v>0</v>
      </c>
    </row>
    <row r="307" spans="1:10" ht="16.5" customHeight="1">
      <c r="A307" s="32"/>
      <c r="B307" s="45" t="s">
        <v>123</v>
      </c>
      <c r="C307" s="30">
        <f t="shared" si="51"/>
        <v>83871175.92049107</v>
      </c>
      <c r="D307" s="66">
        <f t="shared" si="51"/>
        <v>0</v>
      </c>
      <c r="E307" s="30">
        <f t="shared" si="51"/>
        <v>6299520</v>
      </c>
      <c r="F307" s="47">
        <f>F129+F131+F133+F201+F283+F290+F297</f>
        <v>0</v>
      </c>
      <c r="G307" s="30">
        <f>G211+G230+G269+G277+G286+G295</f>
        <v>13885000</v>
      </c>
      <c r="H307" s="47">
        <f>H129+H131+H133+H201+H283+H290+H297</f>
        <v>0</v>
      </c>
      <c r="I307" s="30">
        <f t="shared" si="52"/>
        <v>104055695.92049107</v>
      </c>
      <c r="J307" s="31">
        <f t="shared" si="52"/>
        <v>0</v>
      </c>
    </row>
    <row r="308" spans="1:10" ht="16.5" customHeight="1">
      <c r="A308" s="32"/>
      <c r="B308" s="29" t="s">
        <v>118</v>
      </c>
      <c r="C308" s="30">
        <f t="shared" si="51"/>
        <v>626581838</v>
      </c>
      <c r="D308" s="66">
        <f t="shared" si="51"/>
        <v>0</v>
      </c>
      <c r="E308" s="30">
        <f t="shared" si="51"/>
        <v>98505637</v>
      </c>
      <c r="F308" s="69"/>
      <c r="G308" s="30">
        <f>G212+G231+G270+G278+G287+G296</f>
        <v>19530000</v>
      </c>
      <c r="H308" s="69">
        <f>H120+H122+H134+H135+H136+H137+H140+H142+H144+H146+H148+H150+H152+H154+H156+H158+H164+H165+H166+H168+H169+H170+H171+H172+H173+H174+H175+H176+H177+H178+H179+H182+H183+H184+H185+H186+H187+H189+H194+H195+H196+H197+H202+H206+H218+H221+H232+H233+H238+H239+H240+H242+H276+H284+H291+H298</f>
        <v>0</v>
      </c>
      <c r="I308" s="30">
        <f t="shared" si="52"/>
        <v>744617475</v>
      </c>
      <c r="J308" s="31">
        <f t="shared" si="52"/>
        <v>0</v>
      </c>
    </row>
    <row r="309" spans="1:10" ht="16.5" customHeight="1">
      <c r="A309" s="28"/>
      <c r="B309" s="45" t="s">
        <v>210</v>
      </c>
      <c r="C309" s="30">
        <f>C213</f>
        <v>26800000</v>
      </c>
      <c r="D309" s="66">
        <f>D214</f>
        <v>0</v>
      </c>
      <c r="E309" s="30">
        <f>E213</f>
        <v>0</v>
      </c>
      <c r="F309" s="47"/>
      <c r="G309" s="46">
        <f>G225+G226+G227+G228</f>
        <v>0</v>
      </c>
      <c r="H309" s="47">
        <f>H225+H226+H227+H228</f>
        <v>0</v>
      </c>
      <c r="I309" s="30">
        <f t="shared" si="52"/>
        <v>26800000</v>
      </c>
      <c r="J309" s="31">
        <f t="shared" si="52"/>
        <v>0</v>
      </c>
    </row>
    <row r="310" spans="1:10" ht="16.5" customHeight="1">
      <c r="A310" s="28"/>
      <c r="B310" s="45" t="s">
        <v>247</v>
      </c>
      <c r="C310" s="30">
        <f>C214</f>
        <v>314405809</v>
      </c>
      <c r="D310" s="66"/>
      <c r="E310" s="30">
        <f>E214</f>
        <v>1800000</v>
      </c>
      <c r="F310" s="47"/>
      <c r="G310" s="46">
        <f>G111+G113+G114+G115+G116+G117+G235+G270+G271+G272+G119</f>
        <v>0</v>
      </c>
      <c r="H310" s="47">
        <f>H111+H113+H114+H115+H116+H117+H235+H270+H271+H272+H119</f>
        <v>0</v>
      </c>
      <c r="I310" s="30">
        <f t="shared" si="52"/>
        <v>316205809</v>
      </c>
      <c r="J310" s="31">
        <f t="shared" si="52"/>
        <v>0</v>
      </c>
    </row>
    <row r="311" spans="1:10" ht="16.5" customHeight="1">
      <c r="A311" s="28"/>
      <c r="B311" s="45" t="s">
        <v>285</v>
      </c>
      <c r="C311" s="30">
        <f>C215</f>
        <v>17800000</v>
      </c>
      <c r="D311" s="66"/>
      <c r="E311" s="30">
        <f>E215</f>
        <v>25779388</v>
      </c>
      <c r="F311" s="47"/>
      <c r="G311" s="46">
        <f>G243+G247+G248+G249+G251+G252+G253+G254+G255+G256+G257+G258+G259+G260+G261+G262+G263+G264+G265+G266+G268+G269+G274+G275+G292</f>
        <v>0</v>
      </c>
      <c r="H311" s="47">
        <f>H243+H247+H248+H249+H251+H252+H253+H254+H255+H256+H257+H258+H259+H260+H261+H262+H263+H264+H265+H266+H268+H269+H274+H275+H292</f>
        <v>0</v>
      </c>
      <c r="I311" s="30">
        <f t="shared" si="52"/>
        <v>43579388</v>
      </c>
      <c r="J311" s="31">
        <f t="shared" si="52"/>
        <v>0</v>
      </c>
    </row>
    <row r="312" spans="1:10" ht="16.5" customHeight="1">
      <c r="A312" s="28"/>
      <c r="B312" s="32" t="s">
        <v>235</v>
      </c>
      <c r="C312" s="30">
        <f>C216</f>
        <v>3500000</v>
      </c>
      <c r="D312" s="66"/>
      <c r="E312" s="30">
        <f>E216</f>
        <v>31663569</v>
      </c>
      <c r="F312" s="31"/>
      <c r="G312" s="30">
        <f>G299+G230+G204</f>
        <v>0</v>
      </c>
      <c r="H312" s="31">
        <f>H299+H230+H204</f>
        <v>0</v>
      </c>
      <c r="I312" s="30">
        <f t="shared" si="52"/>
        <v>35163569</v>
      </c>
      <c r="J312" s="31">
        <f t="shared" si="52"/>
        <v>0</v>
      </c>
    </row>
    <row r="313" spans="1:10" ht="16.5" customHeight="1">
      <c r="A313" s="28"/>
      <c r="B313" s="45" t="s">
        <v>246</v>
      </c>
      <c r="C313" s="30">
        <f>C217</f>
        <v>571605621</v>
      </c>
      <c r="D313" s="66"/>
      <c r="E313" s="30">
        <f>E217</f>
        <v>0</v>
      </c>
      <c r="F313" s="31"/>
      <c r="G313" s="30">
        <f>G105+G106+G107+G108+G109</f>
        <v>0</v>
      </c>
      <c r="H313" s="31">
        <f>H105+H106+H107+H108+H109</f>
        <v>0</v>
      </c>
      <c r="I313" s="30">
        <f t="shared" si="52"/>
        <v>571605621</v>
      </c>
      <c r="J313" s="31">
        <f t="shared" si="52"/>
        <v>0</v>
      </c>
    </row>
    <row r="314" spans="1:10" ht="16.5" customHeight="1">
      <c r="A314" s="28"/>
      <c r="B314" s="49" t="s">
        <v>277</v>
      </c>
      <c r="C314" s="42">
        <f aca="true" t="shared" si="53" ref="C314:J314">SUM(C306:C313)</f>
        <v>1998915851.9204912</v>
      </c>
      <c r="D314" s="230">
        <f t="shared" si="53"/>
        <v>0</v>
      </c>
      <c r="E314" s="42">
        <f t="shared" si="53"/>
        <v>188605114</v>
      </c>
      <c r="F314" s="230">
        <f t="shared" si="53"/>
        <v>0</v>
      </c>
      <c r="G314" s="42">
        <f t="shared" si="53"/>
        <v>89503000</v>
      </c>
      <c r="H314" s="230">
        <f t="shared" si="53"/>
        <v>0</v>
      </c>
      <c r="I314" s="42">
        <f t="shared" si="53"/>
        <v>2277023965.920491</v>
      </c>
      <c r="J314" s="43">
        <f t="shared" si="53"/>
        <v>0</v>
      </c>
    </row>
    <row r="315" spans="1:10" ht="16.5" customHeight="1">
      <c r="A315" s="28"/>
      <c r="B315" s="45"/>
      <c r="C315" s="46"/>
      <c r="D315" s="47"/>
      <c r="E315" s="46"/>
      <c r="F315" s="47"/>
      <c r="G315" s="46"/>
      <c r="H315" s="47"/>
      <c r="I315" s="46"/>
      <c r="J315" s="47"/>
    </row>
    <row r="316" spans="1:10" ht="16.5" customHeight="1">
      <c r="A316" s="28"/>
      <c r="B316" s="29" t="s">
        <v>114</v>
      </c>
      <c r="C316" s="46"/>
      <c r="D316" s="47">
        <f>D220+D289+D298</f>
        <v>914520997</v>
      </c>
      <c r="E316" s="46"/>
      <c r="F316" s="47">
        <f>F220+F289+F298</f>
        <v>67003794</v>
      </c>
      <c r="G316" s="46"/>
      <c r="H316" s="47">
        <f>H220+H289+H298</f>
        <v>0</v>
      </c>
      <c r="I316" s="30">
        <f aca="true" t="shared" si="54" ref="I316:J319">C316+E316+G316</f>
        <v>0</v>
      </c>
      <c r="J316" s="31">
        <f t="shared" si="54"/>
        <v>981524791</v>
      </c>
    </row>
    <row r="317" spans="1:26" s="24" customFormat="1" ht="16.5" customHeight="1">
      <c r="A317" s="28"/>
      <c r="B317" s="29" t="s">
        <v>197</v>
      </c>
      <c r="C317" s="46"/>
      <c r="D317" s="47">
        <f>D221</f>
        <v>454978290</v>
      </c>
      <c r="E317" s="46"/>
      <c r="F317" s="47">
        <f>F221</f>
        <v>0</v>
      </c>
      <c r="G317" s="46"/>
      <c r="H317" s="47">
        <f>H221</f>
        <v>0</v>
      </c>
      <c r="I317" s="30">
        <f t="shared" si="54"/>
        <v>0</v>
      </c>
      <c r="J317" s="31">
        <f t="shared" si="54"/>
        <v>454978290</v>
      </c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s="15" customFormat="1" ht="16.5" customHeight="1">
      <c r="A318" s="28"/>
      <c r="B318" s="32" t="s">
        <v>276</v>
      </c>
      <c r="C318" s="50"/>
      <c r="D318" s="47">
        <f>D222+D272+D280+D299+D290+D233</f>
        <v>167677885</v>
      </c>
      <c r="E318" s="50"/>
      <c r="F318" s="47">
        <f>F222+F272+F280+F299+F290</f>
        <v>45305000</v>
      </c>
      <c r="G318" s="50"/>
      <c r="H318" s="51">
        <f>H222+H272+H280+H299+H290</f>
        <v>0</v>
      </c>
      <c r="I318" s="30">
        <f t="shared" si="54"/>
        <v>0</v>
      </c>
      <c r="J318" s="31">
        <f t="shared" si="54"/>
        <v>212982885</v>
      </c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s="15" customFormat="1" ht="16.5" customHeight="1">
      <c r="A319" s="28"/>
      <c r="B319" s="45" t="s">
        <v>288</v>
      </c>
      <c r="C319" s="46"/>
      <c r="D319" s="47">
        <f>D300+D223+D291+D281+D273+D234</f>
        <v>623253000</v>
      </c>
      <c r="E319" s="46"/>
      <c r="F319" s="47">
        <f>F273</f>
        <v>4285000</v>
      </c>
      <c r="G319" s="46"/>
      <c r="H319" s="47"/>
      <c r="I319" s="30">
        <f t="shared" si="54"/>
        <v>0</v>
      </c>
      <c r="J319" s="31">
        <f t="shared" si="54"/>
        <v>627538000</v>
      </c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10" ht="16.5" customHeight="1">
      <c r="A320" s="28"/>
      <c r="B320" s="49" t="s">
        <v>277</v>
      </c>
      <c r="C320" s="50">
        <f aca="true" t="shared" si="55" ref="C320:J320">SUM(C316:C319)</f>
        <v>0</v>
      </c>
      <c r="D320" s="51">
        <f t="shared" si="55"/>
        <v>2160430172</v>
      </c>
      <c r="E320" s="50">
        <f t="shared" si="55"/>
        <v>0</v>
      </c>
      <c r="F320" s="51">
        <f t="shared" si="55"/>
        <v>116593794</v>
      </c>
      <c r="G320" s="50">
        <f t="shared" si="55"/>
        <v>0</v>
      </c>
      <c r="H320" s="51">
        <f t="shared" si="55"/>
        <v>0</v>
      </c>
      <c r="I320" s="50">
        <f t="shared" si="55"/>
        <v>0</v>
      </c>
      <c r="J320" s="51">
        <f t="shared" si="55"/>
        <v>2277023966</v>
      </c>
    </row>
    <row r="321" spans="1:26" s="11" customFormat="1" ht="12.75">
      <c r="A321" s="28"/>
      <c r="B321" s="29"/>
      <c r="C321" s="30"/>
      <c r="D321" s="31"/>
      <c r="E321" s="30"/>
      <c r="F321" s="31"/>
      <c r="G321" s="30"/>
      <c r="H321" s="31"/>
      <c r="I321" s="30"/>
      <c r="J321" s="31">
        <f>J320-I314</f>
        <v>0.07950878143310547</v>
      </c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s="11" customFormat="1" ht="17.25" customHeight="1">
      <c r="A322" s="58"/>
      <c r="B322" s="59"/>
      <c r="C322" s="60"/>
      <c r="D322" s="61"/>
      <c r="E322" s="60"/>
      <c r="F322" s="61"/>
      <c r="G322" s="60"/>
      <c r="H322" s="61"/>
      <c r="I322" s="60"/>
      <c r="J322" s="61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s="11" customFormat="1" ht="9" customHeight="1" thickBot="1">
      <c r="A323" s="265"/>
      <c r="B323" s="266"/>
      <c r="C323" s="267"/>
      <c r="D323" s="268"/>
      <c r="E323" s="267"/>
      <c r="F323" s="268"/>
      <c r="G323" s="267"/>
      <c r="H323" s="268"/>
      <c r="I323" s="267"/>
      <c r="J323" s="268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10" ht="12.75">
      <c r="A324" s="29"/>
      <c r="B324" s="29"/>
      <c r="C324" s="66"/>
      <c r="D324" s="66"/>
      <c r="E324" s="66"/>
      <c r="F324" s="66"/>
      <c r="G324" s="66"/>
      <c r="H324" s="66"/>
      <c r="I324" s="66"/>
      <c r="J324" s="66"/>
    </row>
    <row r="325" spans="1:26" s="11" customFormat="1" ht="12.75">
      <c r="A325" s="29"/>
      <c r="B325" s="29"/>
      <c r="C325" s="66"/>
      <c r="D325" s="66"/>
      <c r="E325" s="66"/>
      <c r="F325" s="66"/>
      <c r="G325" s="66"/>
      <c r="H325" s="66"/>
      <c r="I325" s="66"/>
      <c r="J325" s="66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s="11" customFormat="1" ht="12.75">
      <c r="A326" s="29"/>
      <c r="B326" s="29"/>
      <c r="C326" s="66"/>
      <c r="D326" s="66"/>
      <c r="E326" s="66"/>
      <c r="F326" s="66"/>
      <c r="G326" s="66"/>
      <c r="H326" s="66"/>
      <c r="I326" s="66"/>
      <c r="J326" s="66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s="11" customFormat="1" ht="12.75">
      <c r="A327" s="29"/>
      <c r="B327" s="29"/>
      <c r="C327" s="66"/>
      <c r="D327" s="66"/>
      <c r="E327" s="66"/>
      <c r="F327" s="66"/>
      <c r="G327" s="66"/>
      <c r="H327" s="66"/>
      <c r="I327" s="66"/>
      <c r="J327" s="66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s="11" customFormat="1" ht="17.25" customHeight="1">
      <c r="A328" s="29"/>
      <c r="B328" s="29"/>
      <c r="C328" s="66"/>
      <c r="D328" s="66"/>
      <c r="E328" s="66"/>
      <c r="F328" s="66"/>
      <c r="G328" s="66"/>
      <c r="H328" s="66"/>
      <c r="I328" s="66"/>
      <c r="J328" s="66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10" ht="12.75" customHeight="1">
      <c r="A329" s="29"/>
      <c r="B329" s="29"/>
      <c r="C329" s="66"/>
      <c r="D329" s="66"/>
      <c r="E329" s="66"/>
      <c r="F329" s="66"/>
      <c r="G329" s="66"/>
      <c r="H329" s="66"/>
      <c r="I329" s="66"/>
      <c r="J329" s="66"/>
    </row>
    <row r="330" spans="1:10" ht="12.75">
      <c r="A330" s="29"/>
      <c r="B330" s="29"/>
      <c r="C330" s="66"/>
      <c r="D330" s="66"/>
      <c r="E330" s="66"/>
      <c r="F330" s="66"/>
      <c r="G330" s="66"/>
      <c r="H330" s="66"/>
      <c r="I330" s="66"/>
      <c r="J330" s="66"/>
    </row>
    <row r="331" spans="1:26" s="11" customFormat="1" ht="12.75">
      <c r="A331" s="29"/>
      <c r="B331" s="29"/>
      <c r="C331" s="66"/>
      <c r="D331" s="66"/>
      <c r="E331" s="66"/>
      <c r="F331" s="66"/>
      <c r="G331" s="66"/>
      <c r="H331" s="66"/>
      <c r="I331" s="66"/>
      <c r="J331" s="66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s="11" customFormat="1" ht="15.75">
      <c r="A332" s="55"/>
      <c r="B332" s="55"/>
      <c r="C332" s="67"/>
      <c r="D332" s="67"/>
      <c r="E332" s="67"/>
      <c r="F332" s="67"/>
      <c r="G332" s="67"/>
      <c r="H332" s="67"/>
      <c r="I332" s="67"/>
      <c r="J332" s="6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s="11" customFormat="1" ht="17.25" customHeight="1">
      <c r="A333" s="59"/>
      <c r="B333" s="59"/>
      <c r="C333" s="68"/>
      <c r="D333" s="68"/>
      <c r="E333" s="68"/>
      <c r="F333" s="68"/>
      <c r="G333" s="68"/>
      <c r="H333" s="68"/>
      <c r="I333" s="68"/>
      <c r="J333" s="68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s="11" customFormat="1" ht="12.75" customHeight="1">
      <c r="A334" s="59"/>
      <c r="B334" s="59"/>
      <c r="C334" s="68"/>
      <c r="D334" s="68"/>
      <c r="E334" s="68"/>
      <c r="F334" s="68"/>
      <c r="G334" s="68"/>
      <c r="H334" s="68"/>
      <c r="I334" s="68"/>
      <c r="J334" s="6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10" ht="12.75">
      <c r="A335" s="29"/>
      <c r="B335" s="29"/>
      <c r="C335" s="66"/>
      <c r="D335" s="66"/>
      <c r="E335" s="66"/>
      <c r="F335" s="66"/>
      <c r="G335" s="66"/>
      <c r="H335" s="66"/>
      <c r="I335" s="66"/>
      <c r="J335" s="66"/>
    </row>
    <row r="336" spans="1:10" ht="12.75">
      <c r="A336" s="45"/>
      <c r="B336" s="45"/>
      <c r="C336" s="69"/>
      <c r="D336" s="69"/>
      <c r="E336" s="69"/>
      <c r="F336" s="69"/>
      <c r="G336" s="69"/>
      <c r="H336" s="69"/>
      <c r="I336" s="69"/>
      <c r="J336" s="69"/>
    </row>
    <row r="337" spans="1:10" ht="12.75">
      <c r="A337" s="45"/>
      <c r="B337" s="45"/>
      <c r="C337" s="69"/>
      <c r="D337" s="69"/>
      <c r="E337" s="69"/>
      <c r="F337" s="69"/>
      <c r="G337" s="69"/>
      <c r="H337" s="69"/>
      <c r="I337" s="69"/>
      <c r="J337" s="69"/>
    </row>
    <row r="338" spans="1:10" ht="12.75">
      <c r="A338" s="45"/>
      <c r="B338" s="45"/>
      <c r="C338" s="69"/>
      <c r="D338" s="69"/>
      <c r="E338" s="69"/>
      <c r="F338" s="69"/>
      <c r="G338" s="69"/>
      <c r="H338" s="69"/>
      <c r="I338" s="69"/>
      <c r="J338" s="69"/>
    </row>
    <row r="339" spans="1:10" ht="12.75">
      <c r="A339" s="45"/>
      <c r="B339" s="45"/>
      <c r="C339" s="69"/>
      <c r="D339" s="69"/>
      <c r="E339" s="69"/>
      <c r="F339" s="69"/>
      <c r="G339" s="69"/>
      <c r="H339" s="69"/>
      <c r="I339" s="69"/>
      <c r="J339" s="69"/>
    </row>
    <row r="340" spans="1:10" ht="12.75" hidden="1">
      <c r="A340" s="29"/>
      <c r="B340" s="29"/>
      <c r="C340" s="66"/>
      <c r="D340" s="66"/>
      <c r="E340" s="66"/>
      <c r="F340" s="66"/>
      <c r="G340" s="66"/>
      <c r="H340" s="66"/>
      <c r="I340" s="66"/>
      <c r="J340" s="66"/>
    </row>
    <row r="341" spans="1:10" ht="12.75" hidden="1">
      <c r="A341" s="29"/>
      <c r="B341" s="29"/>
      <c r="C341" s="66"/>
      <c r="D341" s="66"/>
      <c r="E341" s="66"/>
      <c r="F341" s="66"/>
      <c r="G341" s="66"/>
      <c r="H341" s="66"/>
      <c r="I341" s="66"/>
      <c r="J341" s="66"/>
    </row>
    <row r="342" spans="1:10" ht="12.75" hidden="1">
      <c r="A342" s="29"/>
      <c r="B342" s="29"/>
      <c r="C342" s="66"/>
      <c r="D342" s="66"/>
      <c r="E342" s="66"/>
      <c r="F342" s="66"/>
      <c r="G342" s="66"/>
      <c r="H342" s="66"/>
      <c r="I342" s="66"/>
      <c r="J342" s="66"/>
    </row>
    <row r="343" spans="1:10" ht="12.75" hidden="1">
      <c r="A343" s="29"/>
      <c r="B343" s="29"/>
      <c r="C343" s="66"/>
      <c r="D343" s="66"/>
      <c r="E343" s="66"/>
      <c r="F343" s="66"/>
      <c r="G343" s="66"/>
      <c r="H343" s="66"/>
      <c r="I343" s="66"/>
      <c r="J343" s="66"/>
    </row>
    <row r="344" spans="1:10" ht="12.75">
      <c r="A344" s="29"/>
      <c r="B344" s="29"/>
      <c r="C344" s="66"/>
      <c r="D344" s="66"/>
      <c r="E344" s="66"/>
      <c r="F344" s="66"/>
      <c r="G344" s="66"/>
      <c r="H344" s="66"/>
      <c r="I344" s="66"/>
      <c r="J344" s="66"/>
    </row>
    <row r="345" spans="1:10" ht="12.75">
      <c r="A345" s="29"/>
      <c r="B345" s="29"/>
      <c r="C345" s="66"/>
      <c r="D345" s="66"/>
      <c r="E345" s="66"/>
      <c r="F345" s="66"/>
      <c r="G345" s="66"/>
      <c r="H345" s="66"/>
      <c r="I345" s="66"/>
      <c r="J345" s="66"/>
    </row>
    <row r="346" spans="1:26" s="24" customFormat="1" ht="17.25" customHeight="1">
      <c r="A346" s="29"/>
      <c r="B346" s="29"/>
      <c r="C346" s="66"/>
      <c r="D346" s="66"/>
      <c r="E346" s="66"/>
      <c r="F346" s="66"/>
      <c r="G346" s="66"/>
      <c r="H346" s="66"/>
      <c r="I346" s="66"/>
      <c r="J346" s="6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s="15" customFormat="1" ht="17.25" customHeight="1">
      <c r="A347" s="29"/>
      <c r="B347" s="29"/>
      <c r="C347" s="66"/>
      <c r="D347" s="66"/>
      <c r="E347" s="66"/>
      <c r="F347" s="66"/>
      <c r="G347" s="66"/>
      <c r="H347" s="66"/>
      <c r="I347" s="66"/>
      <c r="J347" s="66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s="15" customFormat="1" ht="16.5" customHeight="1">
      <c r="A348" s="29"/>
      <c r="B348" s="29"/>
      <c r="C348" s="66"/>
      <c r="D348" s="66"/>
      <c r="E348" s="66"/>
      <c r="F348" s="66"/>
      <c r="G348" s="66"/>
      <c r="H348" s="66"/>
      <c r="I348" s="66"/>
      <c r="J348" s="66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10" ht="16.5" customHeight="1">
      <c r="A349" s="29"/>
      <c r="B349" s="29"/>
      <c r="C349" s="66"/>
      <c r="D349" s="66"/>
      <c r="E349" s="66"/>
      <c r="F349" s="66"/>
      <c r="G349" s="66"/>
      <c r="H349" s="66"/>
      <c r="I349" s="66"/>
      <c r="J349" s="66"/>
    </row>
    <row r="350" spans="1:26" s="11" customFormat="1" ht="12.75">
      <c r="A350" s="29"/>
      <c r="B350" s="29"/>
      <c r="C350" s="66"/>
      <c r="D350" s="66"/>
      <c r="E350" s="66"/>
      <c r="F350" s="66"/>
      <c r="G350" s="66"/>
      <c r="H350" s="66"/>
      <c r="I350" s="66"/>
      <c r="J350" s="66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s="11" customFormat="1" ht="12.75">
      <c r="A351" s="29"/>
      <c r="B351" s="29"/>
      <c r="C351" s="66"/>
      <c r="D351" s="66"/>
      <c r="E351" s="66"/>
      <c r="F351" s="66"/>
      <c r="G351" s="66"/>
      <c r="H351" s="66"/>
      <c r="I351" s="66"/>
      <c r="J351" s="66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s="11" customFormat="1" ht="17.25" customHeight="1">
      <c r="A352" s="55"/>
      <c r="B352" s="55"/>
      <c r="C352" s="67"/>
      <c r="D352" s="67"/>
      <c r="E352" s="67"/>
      <c r="F352" s="67"/>
      <c r="G352" s="67"/>
      <c r="H352" s="67"/>
      <c r="I352" s="67"/>
      <c r="J352" s="67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s="11" customFormat="1" ht="17.25" customHeight="1">
      <c r="A353" s="59"/>
      <c r="B353" s="59"/>
      <c r="C353" s="68"/>
      <c r="D353" s="68"/>
      <c r="E353" s="68"/>
      <c r="F353" s="68"/>
      <c r="G353" s="68"/>
      <c r="H353" s="68"/>
      <c r="I353" s="68"/>
      <c r="J353" s="6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10" ht="15.75">
      <c r="A354" s="59"/>
      <c r="B354" s="59"/>
      <c r="C354" s="68"/>
      <c r="D354" s="68"/>
      <c r="E354" s="68"/>
      <c r="F354" s="68"/>
      <c r="G354" s="68"/>
      <c r="H354" s="68"/>
      <c r="I354" s="68"/>
      <c r="J354" s="68"/>
    </row>
    <row r="355" spans="1:10" ht="12.75">
      <c r="A355" s="29"/>
      <c r="B355" s="29"/>
      <c r="C355" s="66"/>
      <c r="D355" s="66"/>
      <c r="E355" s="66"/>
      <c r="F355" s="66"/>
      <c r="G355" s="66"/>
      <c r="H355" s="66"/>
      <c r="I355" s="66"/>
      <c r="J355" s="66"/>
    </row>
    <row r="356" spans="1:10" ht="12.75">
      <c r="A356" s="45"/>
      <c r="B356" s="45"/>
      <c r="C356" s="69"/>
      <c r="D356" s="69"/>
      <c r="E356" s="69"/>
      <c r="F356" s="69"/>
      <c r="G356" s="69"/>
      <c r="H356" s="69"/>
      <c r="I356" s="69"/>
      <c r="J356" s="69"/>
    </row>
    <row r="357" spans="1:10" ht="12.75">
      <c r="A357" s="45"/>
      <c r="B357" s="45"/>
      <c r="C357" s="69"/>
      <c r="D357" s="69"/>
      <c r="E357" s="69"/>
      <c r="F357" s="69"/>
      <c r="G357" s="69"/>
      <c r="H357" s="69"/>
      <c r="I357" s="69"/>
      <c r="J357" s="69"/>
    </row>
    <row r="358" spans="1:10" ht="12.75">
      <c r="A358" s="45"/>
      <c r="B358" s="45"/>
      <c r="C358" s="69"/>
      <c r="D358" s="69"/>
      <c r="E358" s="69"/>
      <c r="F358" s="69"/>
      <c r="G358" s="69"/>
      <c r="H358" s="69"/>
      <c r="I358" s="69"/>
      <c r="J358" s="69"/>
    </row>
    <row r="359" spans="1:10" ht="12.75">
      <c r="A359" s="45"/>
      <c r="B359" s="45"/>
      <c r="C359" s="69"/>
      <c r="D359" s="69"/>
      <c r="E359" s="69"/>
      <c r="F359" s="69"/>
      <c r="G359" s="69"/>
      <c r="H359" s="69"/>
      <c r="I359" s="69"/>
      <c r="J359" s="69"/>
    </row>
    <row r="360" spans="1:10" ht="12.75">
      <c r="A360" s="29"/>
      <c r="B360" s="29"/>
      <c r="C360" s="66"/>
      <c r="D360" s="66"/>
      <c r="E360" s="66"/>
      <c r="F360" s="66"/>
      <c r="G360" s="66"/>
      <c r="H360" s="66"/>
      <c r="I360" s="66"/>
      <c r="J360" s="66"/>
    </row>
    <row r="361" spans="1:10" ht="12.75">
      <c r="A361" s="45"/>
      <c r="B361" s="45"/>
      <c r="C361" s="69"/>
      <c r="D361" s="69"/>
      <c r="E361" s="69"/>
      <c r="F361" s="69"/>
      <c r="G361" s="69"/>
      <c r="H361" s="69"/>
      <c r="I361" s="69"/>
      <c r="J361" s="69"/>
    </row>
    <row r="362" spans="1:10" ht="12.75">
      <c r="A362" s="45"/>
      <c r="B362" s="45"/>
      <c r="C362" s="69"/>
      <c r="D362" s="69"/>
      <c r="E362" s="69"/>
      <c r="F362" s="69"/>
      <c r="G362" s="69"/>
      <c r="H362" s="69"/>
      <c r="I362" s="69"/>
      <c r="J362" s="69"/>
    </row>
    <row r="363" spans="1:10" ht="12.75">
      <c r="A363" s="45"/>
      <c r="B363" s="45"/>
      <c r="C363" s="69"/>
      <c r="D363" s="69"/>
      <c r="E363" s="69"/>
      <c r="F363" s="69"/>
      <c r="G363" s="69"/>
      <c r="H363" s="69"/>
      <c r="I363" s="69"/>
      <c r="J363" s="69"/>
    </row>
    <row r="364" spans="1:10" ht="12.75">
      <c r="A364" s="45"/>
      <c r="B364" s="45"/>
      <c r="C364" s="69"/>
      <c r="D364" s="69"/>
      <c r="E364" s="69"/>
      <c r="F364" s="69"/>
      <c r="G364" s="69"/>
      <c r="H364" s="69"/>
      <c r="I364" s="69"/>
      <c r="J364" s="69"/>
    </row>
    <row r="365" spans="1:10" ht="12.75">
      <c r="A365" s="29"/>
      <c r="B365" s="29"/>
      <c r="C365" s="66"/>
      <c r="D365" s="66"/>
      <c r="E365" s="66"/>
      <c r="F365" s="66"/>
      <c r="G365" s="66"/>
      <c r="H365" s="66"/>
      <c r="I365" s="66"/>
      <c r="J365" s="66"/>
    </row>
    <row r="366" spans="1:26" s="24" customFormat="1" ht="15.75">
      <c r="A366" s="29"/>
      <c r="B366" s="29"/>
      <c r="C366" s="66"/>
      <c r="D366" s="66"/>
      <c r="E366" s="66"/>
      <c r="F366" s="66"/>
      <c r="G366" s="66"/>
      <c r="H366" s="66"/>
      <c r="I366" s="66"/>
      <c r="J366" s="6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s="15" customFormat="1" ht="17.25" customHeight="1">
      <c r="A367" s="45"/>
      <c r="B367" s="45"/>
      <c r="C367" s="69"/>
      <c r="D367" s="69"/>
      <c r="E367" s="69"/>
      <c r="F367" s="69"/>
      <c r="G367" s="69"/>
      <c r="H367" s="69"/>
      <c r="I367" s="69"/>
      <c r="J367" s="69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s="15" customFormat="1" ht="22.5" customHeight="1">
      <c r="A368" s="45"/>
      <c r="B368" s="45"/>
      <c r="C368" s="69"/>
      <c r="D368" s="69"/>
      <c r="E368" s="69"/>
      <c r="F368" s="69"/>
      <c r="G368" s="69"/>
      <c r="H368" s="69"/>
      <c r="I368" s="69"/>
      <c r="J368" s="69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10" ht="12.75">
      <c r="A369" s="45"/>
      <c r="B369" s="45"/>
      <c r="C369" s="69"/>
      <c r="D369" s="69"/>
      <c r="E369" s="69"/>
      <c r="F369" s="69"/>
      <c r="G369" s="69"/>
      <c r="H369" s="69"/>
      <c r="I369" s="69"/>
      <c r="J369" s="69"/>
    </row>
    <row r="370" spans="1:26" s="11" customFormat="1" ht="12.75">
      <c r="A370" s="45"/>
      <c r="B370" s="45"/>
      <c r="C370" s="69"/>
      <c r="D370" s="69"/>
      <c r="E370" s="69"/>
      <c r="F370" s="69"/>
      <c r="G370" s="69"/>
      <c r="H370" s="69"/>
      <c r="I370" s="69"/>
      <c r="J370" s="69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s="11" customFormat="1" ht="12.75">
      <c r="A371" s="29"/>
      <c r="B371" s="29"/>
      <c r="C371" s="66"/>
      <c r="D371" s="66"/>
      <c r="E371" s="66"/>
      <c r="F371" s="66"/>
      <c r="G371" s="66"/>
      <c r="H371" s="66"/>
      <c r="I371" s="66"/>
      <c r="J371" s="66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s="11" customFormat="1" ht="17.25" customHeight="1">
      <c r="A372" s="29"/>
      <c r="B372" s="29"/>
      <c r="C372" s="66"/>
      <c r="D372" s="66"/>
      <c r="E372" s="66"/>
      <c r="F372" s="66"/>
      <c r="G372" s="66"/>
      <c r="H372" s="66"/>
      <c r="I372" s="66"/>
      <c r="J372" s="66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s="11" customFormat="1" ht="17.25" customHeight="1">
      <c r="A373" s="29"/>
      <c r="B373" s="29"/>
      <c r="C373" s="66"/>
      <c r="D373" s="66"/>
      <c r="E373" s="66"/>
      <c r="F373" s="66"/>
      <c r="G373" s="66"/>
      <c r="H373" s="66"/>
      <c r="I373" s="66"/>
      <c r="J373" s="66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10" ht="12.75">
      <c r="A374" s="29"/>
      <c r="B374" s="29"/>
      <c r="C374" s="66"/>
      <c r="D374" s="66"/>
      <c r="E374" s="66"/>
      <c r="F374" s="66"/>
      <c r="G374" s="66"/>
      <c r="H374" s="66"/>
      <c r="I374" s="66"/>
      <c r="J374" s="66"/>
    </row>
    <row r="375" spans="1:10" ht="12.75">
      <c r="A375" s="29"/>
      <c r="B375" s="29"/>
      <c r="C375" s="66"/>
      <c r="D375" s="66"/>
      <c r="E375" s="66"/>
      <c r="F375" s="66"/>
      <c r="G375" s="66"/>
      <c r="H375" s="66"/>
      <c r="I375" s="66"/>
      <c r="J375" s="66"/>
    </row>
    <row r="376" spans="1:10" ht="12.75">
      <c r="A376" s="29"/>
      <c r="B376" s="29"/>
      <c r="C376" s="66"/>
      <c r="D376" s="66"/>
      <c r="E376" s="66"/>
      <c r="F376" s="66"/>
      <c r="G376" s="66"/>
      <c r="H376" s="66"/>
      <c r="I376" s="66"/>
      <c r="J376" s="66"/>
    </row>
    <row r="377" spans="1:10" ht="12.75">
      <c r="A377" s="29"/>
      <c r="B377" s="29"/>
      <c r="C377" s="66"/>
      <c r="D377" s="66"/>
      <c r="E377" s="66"/>
      <c r="F377" s="66"/>
      <c r="G377" s="66"/>
      <c r="H377" s="66"/>
      <c r="I377" s="66"/>
      <c r="J377" s="66"/>
    </row>
    <row r="378" spans="1:10" ht="12.75">
      <c r="A378" s="29"/>
      <c r="B378" s="29"/>
      <c r="C378" s="66"/>
      <c r="D378" s="66"/>
      <c r="E378" s="66"/>
      <c r="F378" s="66"/>
      <c r="G378" s="66"/>
      <c r="H378" s="66"/>
      <c r="I378" s="66"/>
      <c r="J378" s="66"/>
    </row>
    <row r="379" spans="1:10" ht="12.75">
      <c r="A379" s="29"/>
      <c r="B379" s="29"/>
      <c r="C379" s="66"/>
      <c r="D379" s="66"/>
      <c r="E379" s="66"/>
      <c r="F379" s="66"/>
      <c r="G379" s="66"/>
      <c r="H379" s="66"/>
      <c r="I379" s="66"/>
      <c r="J379" s="66"/>
    </row>
    <row r="380" spans="1:10" ht="12.75">
      <c r="A380" s="29"/>
      <c r="B380" s="29"/>
      <c r="C380" s="66"/>
      <c r="D380" s="66"/>
      <c r="E380" s="66"/>
      <c r="F380" s="66"/>
      <c r="G380" s="66"/>
      <c r="H380" s="66"/>
      <c r="I380" s="66"/>
      <c r="J380" s="66"/>
    </row>
    <row r="381" spans="1:10" ht="12.75">
      <c r="A381" s="66"/>
      <c r="B381" s="29"/>
      <c r="C381" s="66"/>
      <c r="D381" s="66"/>
      <c r="E381" s="66"/>
      <c r="F381" s="66"/>
      <c r="G381" s="66"/>
      <c r="H381" s="66"/>
      <c r="I381" s="66"/>
      <c r="J381" s="66"/>
    </row>
    <row r="382" spans="1:10" ht="15.75">
      <c r="A382" s="55"/>
      <c r="B382" s="55"/>
      <c r="C382" s="67"/>
      <c r="D382" s="67"/>
      <c r="E382" s="67"/>
      <c r="F382" s="67"/>
      <c r="G382" s="67"/>
      <c r="H382" s="67"/>
      <c r="I382" s="67"/>
      <c r="J382" s="67"/>
    </row>
    <row r="383" spans="1:10" ht="15.75">
      <c r="A383" s="59"/>
      <c r="B383" s="59"/>
      <c r="C383" s="68"/>
      <c r="D383" s="68"/>
      <c r="E383" s="68"/>
      <c r="F383" s="68"/>
      <c r="G383" s="68"/>
      <c r="H383" s="68"/>
      <c r="I383" s="68"/>
      <c r="J383" s="68"/>
    </row>
    <row r="384" spans="1:10" ht="15.75">
      <c r="A384" s="59"/>
      <c r="B384" s="59"/>
      <c r="C384" s="68"/>
      <c r="D384" s="68"/>
      <c r="E384" s="68"/>
      <c r="F384" s="68"/>
      <c r="G384" s="68"/>
      <c r="H384" s="68"/>
      <c r="I384" s="68"/>
      <c r="J384" s="68"/>
    </row>
    <row r="385" spans="1:10" ht="12.75">
      <c r="A385" s="29"/>
      <c r="B385" s="29"/>
      <c r="C385" s="66"/>
      <c r="D385" s="66"/>
      <c r="E385" s="66"/>
      <c r="F385" s="66"/>
      <c r="G385" s="66"/>
      <c r="H385" s="66"/>
      <c r="I385" s="66"/>
      <c r="J385" s="66"/>
    </row>
    <row r="386" spans="1:26" s="24" customFormat="1" ht="15.75">
      <c r="A386" s="45"/>
      <c r="B386" s="45"/>
      <c r="C386" s="69"/>
      <c r="D386" s="69"/>
      <c r="E386" s="69"/>
      <c r="F386" s="69"/>
      <c r="G386" s="69"/>
      <c r="H386" s="69"/>
      <c r="I386" s="69"/>
      <c r="J386" s="69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s="15" customFormat="1" ht="17.25" customHeight="1">
      <c r="A387" s="45"/>
      <c r="B387" s="45"/>
      <c r="C387" s="69"/>
      <c r="D387" s="69"/>
      <c r="E387" s="69"/>
      <c r="F387" s="69"/>
      <c r="G387" s="69"/>
      <c r="H387" s="69"/>
      <c r="I387" s="69"/>
      <c r="J387" s="69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s="15" customFormat="1" ht="22.5" customHeight="1">
      <c r="A388" s="45"/>
      <c r="B388" s="45"/>
      <c r="C388" s="69"/>
      <c r="D388" s="69"/>
      <c r="E388" s="69"/>
      <c r="F388" s="69"/>
      <c r="G388" s="69"/>
      <c r="H388" s="69"/>
      <c r="I388" s="69"/>
      <c r="J388" s="69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10" ht="26.25" customHeight="1">
      <c r="A389" s="45"/>
      <c r="B389" s="45"/>
      <c r="C389" s="69"/>
      <c r="D389" s="69"/>
      <c r="E389" s="69"/>
      <c r="F389" s="69"/>
      <c r="G389" s="69"/>
      <c r="H389" s="69"/>
      <c r="I389" s="69"/>
      <c r="J389" s="69"/>
    </row>
    <row r="390" spans="1:26" s="11" customFormat="1" ht="12.75">
      <c r="A390" s="29"/>
      <c r="B390" s="29"/>
      <c r="C390" s="66"/>
      <c r="D390" s="66"/>
      <c r="E390" s="66"/>
      <c r="F390" s="66"/>
      <c r="G390" s="66"/>
      <c r="H390" s="66"/>
      <c r="I390" s="66"/>
      <c r="J390" s="66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s="11" customFormat="1" ht="27.75" customHeight="1">
      <c r="A391" s="29"/>
      <c r="B391" s="29"/>
      <c r="C391" s="66"/>
      <c r="D391" s="66"/>
      <c r="E391" s="66"/>
      <c r="F391" s="66"/>
      <c r="G391" s="66"/>
      <c r="H391" s="66"/>
      <c r="I391" s="66"/>
      <c r="J391" s="66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s="11" customFormat="1" ht="27.75" customHeight="1">
      <c r="A392" s="29"/>
      <c r="B392" s="29"/>
      <c r="C392" s="66"/>
      <c r="D392" s="66"/>
      <c r="E392" s="66"/>
      <c r="F392" s="66"/>
      <c r="G392" s="66"/>
      <c r="H392" s="66"/>
      <c r="I392" s="66"/>
      <c r="J392" s="66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s="11" customFormat="1" ht="24" customHeight="1">
      <c r="A393" s="29"/>
      <c r="B393" s="29"/>
      <c r="C393" s="66"/>
      <c r="D393" s="66"/>
      <c r="E393" s="66"/>
      <c r="F393" s="66"/>
      <c r="G393" s="66"/>
      <c r="H393" s="66"/>
      <c r="I393" s="66"/>
      <c r="J393" s="66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s="11" customFormat="1" ht="17.25" customHeight="1">
      <c r="A394" s="29"/>
      <c r="B394" s="29"/>
      <c r="C394" s="66"/>
      <c r="D394" s="66"/>
      <c r="E394" s="66"/>
      <c r="F394" s="66"/>
      <c r="G394" s="66"/>
      <c r="H394" s="66"/>
      <c r="I394" s="66"/>
      <c r="J394" s="66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s="11" customFormat="1" ht="17.25" customHeight="1">
      <c r="A395" s="29"/>
      <c r="B395" s="29"/>
      <c r="C395" s="66"/>
      <c r="D395" s="66"/>
      <c r="E395" s="66"/>
      <c r="F395" s="66"/>
      <c r="G395" s="66"/>
      <c r="H395" s="66"/>
      <c r="I395" s="66"/>
      <c r="J395" s="66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10" ht="12.75">
      <c r="A396" s="29"/>
      <c r="B396" s="29"/>
      <c r="C396" s="66"/>
      <c r="D396" s="66"/>
      <c r="E396" s="66"/>
      <c r="F396" s="66"/>
      <c r="G396" s="66"/>
      <c r="H396" s="66"/>
      <c r="I396" s="66"/>
      <c r="J396" s="66"/>
    </row>
    <row r="397" spans="1:10" ht="12.75">
      <c r="A397" s="29"/>
      <c r="B397" s="29"/>
      <c r="C397" s="66"/>
      <c r="D397" s="66"/>
      <c r="E397" s="66"/>
      <c r="F397" s="66"/>
      <c r="G397" s="66"/>
      <c r="H397" s="66"/>
      <c r="I397" s="66"/>
      <c r="J397" s="66"/>
    </row>
    <row r="398" spans="1:10" ht="12.75">
      <c r="A398" s="29"/>
      <c r="B398" s="29"/>
      <c r="C398" s="66"/>
      <c r="D398" s="66"/>
      <c r="E398" s="66"/>
      <c r="F398" s="66"/>
      <c r="G398" s="66"/>
      <c r="H398" s="66"/>
      <c r="I398" s="66"/>
      <c r="J398" s="66"/>
    </row>
    <row r="399" spans="1:10" ht="12.75">
      <c r="A399" s="29"/>
      <c r="B399" s="29"/>
      <c r="C399" s="66"/>
      <c r="D399" s="66"/>
      <c r="E399" s="66"/>
      <c r="F399" s="66"/>
      <c r="G399" s="66"/>
      <c r="H399" s="66"/>
      <c r="I399" s="66"/>
      <c r="J399" s="66"/>
    </row>
    <row r="400" spans="1:10" ht="12.75">
      <c r="A400" s="29"/>
      <c r="B400" s="29"/>
      <c r="C400" s="66"/>
      <c r="D400" s="66"/>
      <c r="E400" s="66"/>
      <c r="F400" s="66"/>
      <c r="G400" s="66"/>
      <c r="H400" s="66"/>
      <c r="I400" s="66"/>
      <c r="J400" s="66"/>
    </row>
    <row r="401" spans="1:10" ht="12.75">
      <c r="A401" s="29"/>
      <c r="B401" s="29"/>
      <c r="C401" s="66"/>
      <c r="D401" s="66"/>
      <c r="E401" s="66"/>
      <c r="F401" s="66"/>
      <c r="G401" s="66"/>
      <c r="H401" s="66"/>
      <c r="I401" s="66"/>
      <c r="J401" s="66"/>
    </row>
    <row r="402" spans="1:10" ht="15.75">
      <c r="A402" s="55"/>
      <c r="B402" s="55"/>
      <c r="C402" s="67"/>
      <c r="D402" s="67"/>
      <c r="E402" s="67"/>
      <c r="F402" s="67"/>
      <c r="G402" s="67"/>
      <c r="H402" s="67"/>
      <c r="I402" s="67"/>
      <c r="J402" s="67"/>
    </row>
    <row r="403" spans="1:10" ht="15.75">
      <c r="A403" s="59"/>
      <c r="B403" s="59"/>
      <c r="C403" s="68"/>
      <c r="D403" s="68"/>
      <c r="E403" s="68"/>
      <c r="F403" s="68"/>
      <c r="G403" s="68"/>
      <c r="H403" s="68"/>
      <c r="I403" s="68"/>
      <c r="J403" s="68"/>
    </row>
    <row r="404" spans="1:10" ht="15.75">
      <c r="A404" s="59"/>
      <c r="B404" s="59"/>
      <c r="C404" s="68"/>
      <c r="D404" s="68"/>
      <c r="E404" s="68"/>
      <c r="F404" s="68"/>
      <c r="G404" s="68"/>
      <c r="H404" s="68"/>
      <c r="I404" s="68"/>
      <c r="J404" s="68"/>
    </row>
    <row r="405" spans="1:10" ht="12.75">
      <c r="A405" s="29"/>
      <c r="B405" s="29"/>
      <c r="C405" s="66"/>
      <c r="D405" s="66"/>
      <c r="E405" s="66"/>
      <c r="F405" s="66"/>
      <c r="G405" s="66"/>
      <c r="H405" s="66"/>
      <c r="I405" s="66"/>
      <c r="J405" s="66"/>
    </row>
    <row r="406" spans="1:10" ht="17.25" customHeight="1">
      <c r="A406" s="45"/>
      <c r="B406" s="45"/>
      <c r="C406" s="69"/>
      <c r="D406" s="69"/>
      <c r="E406" s="69"/>
      <c r="F406" s="69"/>
      <c r="G406" s="69"/>
      <c r="H406" s="69"/>
      <c r="I406" s="69"/>
      <c r="J406" s="69"/>
    </row>
    <row r="407" spans="1:26" s="24" customFormat="1" ht="21.75" customHeight="1">
      <c r="A407" s="45"/>
      <c r="B407" s="45"/>
      <c r="C407" s="69"/>
      <c r="D407" s="69"/>
      <c r="E407" s="69"/>
      <c r="F407" s="69"/>
      <c r="G407" s="69"/>
      <c r="H407" s="69"/>
      <c r="I407" s="69"/>
      <c r="J407" s="69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s="15" customFormat="1" ht="17.25" customHeight="1">
      <c r="A408" s="45"/>
      <c r="B408" s="45"/>
      <c r="C408" s="69"/>
      <c r="D408" s="69"/>
      <c r="E408" s="69"/>
      <c r="F408" s="69"/>
      <c r="G408" s="69"/>
      <c r="H408" s="69"/>
      <c r="I408" s="69"/>
      <c r="J408" s="69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s="15" customFormat="1" ht="15.75" customHeight="1">
      <c r="A409" s="45"/>
      <c r="B409" s="45"/>
      <c r="C409" s="69"/>
      <c r="D409" s="69"/>
      <c r="E409" s="69"/>
      <c r="F409" s="69"/>
      <c r="G409" s="69"/>
      <c r="H409" s="69"/>
      <c r="I409" s="69"/>
      <c r="J409" s="69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10" ht="18.75" customHeight="1">
      <c r="A410" s="29"/>
      <c r="B410" s="29"/>
      <c r="C410" s="66"/>
      <c r="D410" s="66"/>
      <c r="E410" s="66"/>
      <c r="F410" s="66"/>
      <c r="G410" s="66"/>
      <c r="H410" s="66"/>
      <c r="I410" s="66"/>
      <c r="J410" s="66"/>
    </row>
    <row r="411" spans="1:26" s="11" customFormat="1" ht="15.75" customHeight="1">
      <c r="A411" s="29"/>
      <c r="B411" s="29"/>
      <c r="C411" s="66"/>
      <c r="D411" s="66"/>
      <c r="E411" s="66"/>
      <c r="F411" s="66"/>
      <c r="G411" s="66"/>
      <c r="H411" s="66"/>
      <c r="I411" s="66"/>
      <c r="J411" s="66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s="11" customFormat="1" ht="12.75">
      <c r="A412" s="29"/>
      <c r="B412" s="29"/>
      <c r="C412" s="66"/>
      <c r="D412" s="66"/>
      <c r="E412" s="66"/>
      <c r="F412" s="66"/>
      <c r="G412" s="66"/>
      <c r="H412" s="66"/>
      <c r="I412" s="66"/>
      <c r="J412" s="66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s="11" customFormat="1" ht="17.25" customHeight="1">
      <c r="A413" s="29"/>
      <c r="B413" s="29"/>
      <c r="C413" s="66"/>
      <c r="D413" s="66"/>
      <c r="E413" s="66"/>
      <c r="F413" s="66"/>
      <c r="G413" s="66"/>
      <c r="H413" s="66"/>
      <c r="I413" s="66"/>
      <c r="J413" s="66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10" ht="12.75">
      <c r="A414" s="29"/>
      <c r="B414" s="29"/>
      <c r="C414" s="66"/>
      <c r="D414" s="66"/>
      <c r="E414" s="66"/>
      <c r="F414" s="66"/>
      <c r="G414" s="66"/>
      <c r="H414" s="66"/>
      <c r="I414" s="66"/>
      <c r="J414" s="66"/>
    </row>
    <row r="415" spans="1:10" ht="12.75">
      <c r="A415" s="29"/>
      <c r="B415" s="29"/>
      <c r="C415" s="66"/>
      <c r="D415" s="66"/>
      <c r="E415" s="66"/>
      <c r="F415" s="66"/>
      <c r="G415" s="66"/>
      <c r="H415" s="66"/>
      <c r="I415" s="66"/>
      <c r="J415" s="66"/>
    </row>
    <row r="416" spans="1:10" ht="12.75">
      <c r="A416" s="29"/>
      <c r="B416" s="29"/>
      <c r="C416" s="66"/>
      <c r="D416" s="66"/>
      <c r="E416" s="66"/>
      <c r="F416" s="66"/>
      <c r="G416" s="66"/>
      <c r="H416" s="66"/>
      <c r="I416" s="66"/>
      <c r="J416" s="66"/>
    </row>
    <row r="417" spans="1:10" ht="12.75">
      <c r="A417" s="29"/>
      <c r="B417" s="29"/>
      <c r="C417" s="66"/>
      <c r="D417" s="66"/>
      <c r="E417" s="66"/>
      <c r="F417" s="66"/>
      <c r="G417" s="66"/>
      <c r="H417" s="66"/>
      <c r="I417" s="66"/>
      <c r="J417" s="66"/>
    </row>
    <row r="418" spans="1:10" ht="12.75">
      <c r="A418" s="29"/>
      <c r="B418" s="29"/>
      <c r="C418" s="66"/>
      <c r="D418" s="66"/>
      <c r="E418" s="66"/>
      <c r="F418" s="66"/>
      <c r="G418" s="66"/>
      <c r="H418" s="66"/>
      <c r="I418" s="66"/>
      <c r="J418" s="66"/>
    </row>
    <row r="419" spans="1:10" ht="12.75">
      <c r="A419" s="29"/>
      <c r="B419" s="29"/>
      <c r="C419" s="66"/>
      <c r="D419" s="66"/>
      <c r="E419" s="66"/>
      <c r="F419" s="66"/>
      <c r="G419" s="66"/>
      <c r="H419" s="66"/>
      <c r="I419" s="66"/>
      <c r="J419" s="66"/>
    </row>
    <row r="420" spans="1:10" ht="12.75">
      <c r="A420" s="29"/>
      <c r="B420" s="29"/>
      <c r="C420" s="66"/>
      <c r="D420" s="66"/>
      <c r="E420" s="66"/>
      <c r="F420" s="66"/>
      <c r="G420" s="66"/>
      <c r="H420" s="66"/>
      <c r="I420" s="66"/>
      <c r="J420" s="66"/>
    </row>
    <row r="421" spans="1:10" ht="12.75">
      <c r="A421" s="29"/>
      <c r="B421" s="29"/>
      <c r="C421" s="66"/>
      <c r="D421" s="66"/>
      <c r="E421" s="66"/>
      <c r="F421" s="66"/>
      <c r="G421" s="66"/>
      <c r="H421" s="66"/>
      <c r="I421" s="66"/>
      <c r="J421" s="66"/>
    </row>
    <row r="422" spans="1:10" ht="15.75">
      <c r="A422" s="55"/>
      <c r="B422" s="55"/>
      <c r="C422" s="67"/>
      <c r="D422" s="67"/>
      <c r="E422" s="67"/>
      <c r="F422" s="67"/>
      <c r="G422" s="67"/>
      <c r="H422" s="67"/>
      <c r="I422" s="67"/>
      <c r="J422" s="67"/>
    </row>
    <row r="423" spans="1:10" ht="15.75">
      <c r="A423" s="59"/>
      <c r="B423" s="59"/>
      <c r="C423" s="68"/>
      <c r="D423" s="68"/>
      <c r="E423" s="68"/>
      <c r="F423" s="68"/>
      <c r="G423" s="68"/>
      <c r="H423" s="68"/>
      <c r="I423" s="68"/>
      <c r="J423" s="68"/>
    </row>
    <row r="424" spans="1:10" ht="15.75">
      <c r="A424" s="59"/>
      <c r="B424" s="59"/>
      <c r="C424" s="68"/>
      <c r="D424" s="68"/>
      <c r="E424" s="68"/>
      <c r="F424" s="68"/>
      <c r="G424" s="68"/>
      <c r="H424" s="68"/>
      <c r="I424" s="68"/>
      <c r="J424" s="68"/>
    </row>
    <row r="425" spans="1:10" ht="12.75">
      <c r="A425" s="29"/>
      <c r="B425" s="29"/>
      <c r="C425" s="66"/>
      <c r="D425" s="66"/>
      <c r="E425" s="66"/>
      <c r="F425" s="66"/>
      <c r="G425" s="66"/>
      <c r="H425" s="66"/>
      <c r="I425" s="66"/>
      <c r="J425" s="66"/>
    </row>
    <row r="426" spans="1:26" s="24" customFormat="1" ht="15.75">
      <c r="A426" s="45"/>
      <c r="B426" s="45"/>
      <c r="C426" s="69"/>
      <c r="D426" s="69"/>
      <c r="E426" s="69"/>
      <c r="F426" s="69"/>
      <c r="G426" s="69"/>
      <c r="H426" s="69"/>
      <c r="I426" s="69"/>
      <c r="J426" s="69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s="15" customFormat="1" ht="17.25" customHeight="1">
      <c r="A427" s="45"/>
      <c r="B427" s="45"/>
      <c r="C427" s="69"/>
      <c r="D427" s="69"/>
      <c r="E427" s="69"/>
      <c r="F427" s="69"/>
      <c r="G427" s="69"/>
      <c r="H427" s="69"/>
      <c r="I427" s="69"/>
      <c r="J427" s="69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s="15" customFormat="1" ht="15.75" customHeight="1">
      <c r="A428" s="45"/>
      <c r="B428" s="45"/>
      <c r="C428" s="69"/>
      <c r="D428" s="69"/>
      <c r="E428" s="69"/>
      <c r="F428" s="69"/>
      <c r="G428" s="69"/>
      <c r="H428" s="69"/>
      <c r="I428" s="69"/>
      <c r="J428" s="69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10" ht="28.5" customHeight="1">
      <c r="A429" s="45"/>
      <c r="B429" s="45"/>
      <c r="C429" s="69"/>
      <c r="D429" s="69"/>
      <c r="E429" s="69"/>
      <c r="F429" s="69"/>
      <c r="G429" s="69"/>
      <c r="H429" s="69"/>
      <c r="I429" s="69"/>
      <c r="J429" s="69"/>
    </row>
    <row r="430" spans="1:26" s="11" customFormat="1" ht="12.75">
      <c r="A430" s="45"/>
      <c r="B430" s="45"/>
      <c r="C430" s="69"/>
      <c r="D430" s="69"/>
      <c r="E430" s="69"/>
      <c r="F430" s="69"/>
      <c r="G430" s="69"/>
      <c r="H430" s="69"/>
      <c r="I430" s="69"/>
      <c r="J430" s="69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s="11" customFormat="1" ht="12.75">
      <c r="A431" s="45"/>
      <c r="B431" s="45"/>
      <c r="C431" s="69"/>
      <c r="D431" s="69"/>
      <c r="E431" s="69"/>
      <c r="F431" s="69"/>
      <c r="G431" s="69"/>
      <c r="H431" s="69"/>
      <c r="I431" s="69"/>
      <c r="J431" s="69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s="11" customFormat="1" ht="17.25" customHeight="1">
      <c r="A432" s="29"/>
      <c r="B432" s="29"/>
      <c r="C432" s="66"/>
      <c r="D432" s="66"/>
      <c r="E432" s="66"/>
      <c r="F432" s="66"/>
      <c r="G432" s="66"/>
      <c r="H432" s="66"/>
      <c r="I432" s="66"/>
      <c r="J432" s="66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s="11" customFormat="1" ht="17.25" customHeight="1">
      <c r="A433" s="29"/>
      <c r="B433" s="29"/>
      <c r="C433" s="66"/>
      <c r="D433" s="66"/>
      <c r="E433" s="66"/>
      <c r="F433" s="66"/>
      <c r="G433" s="66"/>
      <c r="H433" s="66"/>
      <c r="I433" s="66"/>
      <c r="J433" s="66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10" ht="12.75">
      <c r="A434" s="29"/>
      <c r="B434" s="29"/>
      <c r="C434" s="66"/>
      <c r="D434" s="66"/>
      <c r="E434" s="66"/>
      <c r="F434" s="66"/>
      <c r="G434" s="66"/>
      <c r="H434" s="66"/>
      <c r="I434" s="66"/>
      <c r="J434" s="66"/>
    </row>
    <row r="435" spans="1:10" ht="12.75">
      <c r="A435" s="29"/>
      <c r="B435" s="29"/>
      <c r="C435" s="66"/>
      <c r="D435" s="66"/>
      <c r="E435" s="66"/>
      <c r="F435" s="66"/>
      <c r="G435" s="66"/>
      <c r="H435" s="66"/>
      <c r="I435" s="66"/>
      <c r="J435" s="66"/>
    </row>
    <row r="436" spans="1:10" ht="12.75">
      <c r="A436" s="29"/>
      <c r="B436" s="29"/>
      <c r="C436" s="66"/>
      <c r="D436" s="66"/>
      <c r="E436" s="66"/>
      <c r="F436" s="66"/>
      <c r="G436" s="66"/>
      <c r="H436" s="66"/>
      <c r="I436" s="66"/>
      <c r="J436" s="66"/>
    </row>
    <row r="437" spans="1:10" ht="12.75">
      <c r="A437" s="29"/>
      <c r="B437" s="29"/>
      <c r="C437" s="66"/>
      <c r="D437" s="66"/>
      <c r="E437" s="66"/>
      <c r="F437" s="66"/>
      <c r="G437" s="66"/>
      <c r="H437" s="66"/>
      <c r="I437" s="66"/>
      <c r="J437" s="66"/>
    </row>
    <row r="438" spans="1:10" ht="12.75">
      <c r="A438" s="29"/>
      <c r="B438" s="29"/>
      <c r="C438" s="66"/>
      <c r="D438" s="66"/>
      <c r="E438" s="66"/>
      <c r="F438" s="66"/>
      <c r="G438" s="66"/>
      <c r="H438" s="66"/>
      <c r="I438" s="66"/>
      <c r="J438" s="66"/>
    </row>
    <row r="439" spans="1:10" ht="12.75">
      <c r="A439" s="29"/>
      <c r="B439" s="29"/>
      <c r="C439" s="66"/>
      <c r="D439" s="66"/>
      <c r="E439" s="66"/>
      <c r="F439" s="66"/>
      <c r="G439" s="66"/>
      <c r="H439" s="66"/>
      <c r="I439" s="66"/>
      <c r="J439" s="66"/>
    </row>
    <row r="440" spans="1:10" ht="12.75">
      <c r="A440" s="29"/>
      <c r="B440" s="29"/>
      <c r="C440" s="66"/>
      <c r="D440" s="66"/>
      <c r="E440" s="66"/>
      <c r="F440" s="66"/>
      <c r="G440" s="66"/>
      <c r="H440" s="66"/>
      <c r="I440" s="66"/>
      <c r="J440" s="66"/>
    </row>
    <row r="441" spans="1:10" ht="12.75">
      <c r="A441" s="29"/>
      <c r="B441" s="29"/>
      <c r="C441" s="66"/>
      <c r="D441" s="66"/>
      <c r="E441" s="66"/>
      <c r="F441" s="66"/>
      <c r="G441" s="66"/>
      <c r="H441" s="66"/>
      <c r="I441" s="66"/>
      <c r="J441" s="66"/>
    </row>
    <row r="442" spans="1:10" ht="12.75">
      <c r="A442" s="29"/>
      <c r="B442" s="29"/>
      <c r="C442" s="66"/>
      <c r="D442" s="66"/>
      <c r="E442" s="66"/>
      <c r="F442" s="66"/>
      <c r="G442" s="66"/>
      <c r="H442" s="66"/>
      <c r="I442" s="66"/>
      <c r="J442" s="66"/>
    </row>
    <row r="443" spans="1:10" ht="15.75">
      <c r="A443" s="55"/>
      <c r="B443" s="55"/>
      <c r="C443" s="67"/>
      <c r="D443" s="67"/>
      <c r="E443" s="67"/>
      <c r="F443" s="67"/>
      <c r="G443" s="67"/>
      <c r="H443" s="67"/>
      <c r="I443" s="67"/>
      <c r="J443" s="67"/>
    </row>
    <row r="444" spans="1:10" ht="15.75">
      <c r="A444" s="59"/>
      <c r="B444" s="59"/>
      <c r="C444" s="68"/>
      <c r="D444" s="68"/>
      <c r="E444" s="68"/>
      <c r="F444" s="68"/>
      <c r="G444" s="68"/>
      <c r="H444" s="68"/>
      <c r="I444" s="68"/>
      <c r="J444" s="68"/>
    </row>
    <row r="445" spans="1:10" ht="16.5" customHeight="1">
      <c r="A445" s="59"/>
      <c r="B445" s="59"/>
      <c r="C445" s="68"/>
      <c r="D445" s="68"/>
      <c r="E445" s="68"/>
      <c r="F445" s="68"/>
      <c r="G445" s="68"/>
      <c r="H445" s="68"/>
      <c r="I445" s="68"/>
      <c r="J445" s="68"/>
    </row>
    <row r="446" spans="1:10" ht="14.25" customHeight="1">
      <c r="A446" s="29"/>
      <c r="B446" s="29"/>
      <c r="C446" s="66"/>
      <c r="D446" s="66"/>
      <c r="E446" s="66"/>
      <c r="F446" s="66"/>
      <c r="G446" s="66"/>
      <c r="H446" s="66"/>
      <c r="I446" s="66"/>
      <c r="J446" s="66"/>
    </row>
    <row r="447" spans="1:10" ht="17.25" customHeight="1">
      <c r="A447" s="45"/>
      <c r="B447" s="45"/>
      <c r="C447" s="69"/>
      <c r="D447" s="69"/>
      <c r="E447" s="69"/>
      <c r="F447" s="69"/>
      <c r="G447" s="69"/>
      <c r="H447" s="69"/>
      <c r="I447" s="69"/>
      <c r="J447" s="69"/>
    </row>
    <row r="448" spans="1:10" ht="12.75">
      <c r="A448" s="45"/>
      <c r="B448" s="45"/>
      <c r="C448" s="69"/>
      <c r="D448" s="69"/>
      <c r="E448" s="69"/>
      <c r="F448" s="69"/>
      <c r="G448" s="69"/>
      <c r="H448" s="69"/>
      <c r="I448" s="69"/>
      <c r="J448" s="69"/>
    </row>
    <row r="449" spans="1:10" ht="12.75">
      <c r="A449" s="45"/>
      <c r="B449" s="45"/>
      <c r="C449" s="69"/>
      <c r="D449" s="69"/>
      <c r="E449" s="69"/>
      <c r="F449" s="69"/>
      <c r="G449" s="69"/>
      <c r="H449" s="69"/>
      <c r="I449" s="69"/>
      <c r="J449" s="69"/>
    </row>
    <row r="450" spans="1:10" ht="12.75">
      <c r="A450" s="29"/>
      <c r="B450" s="29"/>
      <c r="C450" s="66"/>
      <c r="D450" s="66"/>
      <c r="E450" s="66"/>
      <c r="F450" s="66"/>
      <c r="G450" s="66"/>
      <c r="H450" s="66"/>
      <c r="I450" s="66"/>
      <c r="J450" s="66"/>
    </row>
    <row r="451" spans="1:10" ht="12.75">
      <c r="A451" s="29"/>
      <c r="B451" s="29"/>
      <c r="C451" s="66"/>
      <c r="D451" s="66"/>
      <c r="E451" s="66"/>
      <c r="F451" s="66"/>
      <c r="G451" s="66"/>
      <c r="H451" s="66"/>
      <c r="I451" s="66"/>
      <c r="J451" s="66"/>
    </row>
    <row r="452" spans="1:10" ht="12.75">
      <c r="A452" s="29"/>
      <c r="B452" s="29"/>
      <c r="C452" s="66"/>
      <c r="D452" s="66"/>
      <c r="E452" s="66"/>
      <c r="F452" s="66"/>
      <c r="G452" s="66"/>
      <c r="H452" s="66"/>
      <c r="I452" s="66"/>
      <c r="J452" s="66"/>
    </row>
    <row r="453" spans="1:10" ht="12.75">
      <c r="A453" s="29"/>
      <c r="B453" s="29"/>
      <c r="C453" s="66"/>
      <c r="D453" s="66"/>
      <c r="E453" s="66"/>
      <c r="F453" s="66"/>
      <c r="G453" s="66"/>
      <c r="H453" s="66"/>
      <c r="I453" s="66"/>
      <c r="J453" s="66"/>
    </row>
    <row r="454" spans="1:10" ht="12.75">
      <c r="A454" s="29"/>
      <c r="B454" s="29"/>
      <c r="C454" s="66"/>
      <c r="D454" s="66"/>
      <c r="E454" s="66"/>
      <c r="F454" s="66"/>
      <c r="G454" s="66"/>
      <c r="H454" s="66"/>
      <c r="I454" s="66"/>
      <c r="J454" s="66"/>
    </row>
    <row r="455" spans="1:10" ht="12.75">
      <c r="A455" s="29"/>
      <c r="B455" s="29"/>
      <c r="C455" s="66"/>
      <c r="D455" s="66"/>
      <c r="E455" s="66"/>
      <c r="F455" s="66"/>
      <c r="G455" s="66"/>
      <c r="H455" s="66"/>
      <c r="I455" s="66"/>
      <c r="J455" s="66"/>
    </row>
    <row r="456" spans="1:10" ht="12.75">
      <c r="A456" s="29"/>
      <c r="B456" s="29"/>
      <c r="C456" s="66"/>
      <c r="D456" s="66"/>
      <c r="E456" s="66"/>
      <c r="F456" s="66"/>
      <c r="G456" s="66"/>
      <c r="H456" s="66"/>
      <c r="I456" s="66"/>
      <c r="J456" s="66"/>
    </row>
    <row r="457" spans="1:10" ht="12.75">
      <c r="A457" s="29"/>
      <c r="B457" s="29"/>
      <c r="C457" s="66"/>
      <c r="D457" s="66"/>
      <c r="E457" s="66"/>
      <c r="F457" s="66"/>
      <c r="G457" s="66"/>
      <c r="H457" s="66"/>
      <c r="I457" s="66"/>
      <c r="J457" s="66"/>
    </row>
    <row r="458" spans="1:10" ht="12.75">
      <c r="A458" s="29"/>
      <c r="B458" s="29"/>
      <c r="C458" s="66"/>
      <c r="D458" s="66"/>
      <c r="E458" s="66"/>
      <c r="F458" s="66"/>
      <c r="G458" s="66"/>
      <c r="H458" s="66"/>
      <c r="I458" s="66"/>
      <c r="J458" s="66"/>
    </row>
    <row r="459" spans="1:10" ht="20.25" customHeight="1">
      <c r="A459" s="29"/>
      <c r="B459" s="29"/>
      <c r="C459" s="66"/>
      <c r="D459" s="66"/>
      <c r="E459" s="66"/>
      <c r="F459" s="66"/>
      <c r="G459" s="66"/>
      <c r="H459" s="66"/>
      <c r="I459" s="66"/>
      <c r="J459" s="66"/>
    </row>
    <row r="460" spans="1:10" ht="12.75">
      <c r="A460" s="29"/>
      <c r="B460" s="29"/>
      <c r="C460" s="66"/>
      <c r="D460" s="66"/>
      <c r="E460" s="66"/>
      <c r="F460" s="66"/>
      <c r="G460" s="66"/>
      <c r="H460" s="66"/>
      <c r="I460" s="66"/>
      <c r="J460" s="66"/>
    </row>
    <row r="461" spans="1:10" ht="12.75">
      <c r="A461" s="29"/>
      <c r="B461" s="29"/>
      <c r="C461" s="66"/>
      <c r="D461" s="66"/>
      <c r="E461" s="66"/>
      <c r="F461" s="66"/>
      <c r="G461" s="66"/>
      <c r="H461" s="66"/>
      <c r="I461" s="66"/>
      <c r="J461" s="66"/>
    </row>
    <row r="462" spans="1:10" ht="15.75">
      <c r="A462" s="55"/>
      <c r="B462" s="55"/>
      <c r="C462" s="67"/>
      <c r="D462" s="67"/>
      <c r="E462" s="67"/>
      <c r="F462" s="67"/>
      <c r="G462" s="67"/>
      <c r="H462" s="67"/>
      <c r="I462" s="67"/>
      <c r="J462" s="67"/>
    </row>
    <row r="463" spans="1:10" ht="15.75">
      <c r="A463" s="59"/>
      <c r="B463" s="59"/>
      <c r="C463" s="68"/>
      <c r="D463" s="68"/>
      <c r="E463" s="68"/>
      <c r="F463" s="68"/>
      <c r="G463" s="68"/>
      <c r="H463" s="68"/>
      <c r="I463" s="68"/>
      <c r="J463" s="68"/>
    </row>
    <row r="464" spans="1:10" ht="15.75">
      <c r="A464" s="59"/>
      <c r="B464" s="59"/>
      <c r="C464" s="68"/>
      <c r="D464" s="68"/>
      <c r="E464" s="68"/>
      <c r="F464" s="68"/>
      <c r="G464" s="68"/>
      <c r="H464" s="68"/>
      <c r="I464" s="68"/>
      <c r="J464" s="68"/>
    </row>
    <row r="465" spans="1:10" ht="12.75">
      <c r="A465" s="29"/>
      <c r="B465" s="29"/>
      <c r="C465" s="66"/>
      <c r="D465" s="66"/>
      <c r="E465" s="66"/>
      <c r="F465" s="66"/>
      <c r="G465" s="66"/>
      <c r="H465" s="66"/>
      <c r="I465" s="66"/>
      <c r="J465" s="66"/>
    </row>
    <row r="466" spans="1:10" ht="12.75">
      <c r="A466" s="45"/>
      <c r="B466" s="45"/>
      <c r="C466" s="69"/>
      <c r="D466" s="69"/>
      <c r="E466" s="69"/>
      <c r="F466" s="69"/>
      <c r="G466" s="69"/>
      <c r="H466" s="69"/>
      <c r="I466" s="69"/>
      <c r="J466" s="69"/>
    </row>
    <row r="467" spans="1:10" ht="12.75">
      <c r="A467" s="45"/>
      <c r="B467" s="45"/>
      <c r="C467" s="69"/>
      <c r="D467" s="69"/>
      <c r="E467" s="69"/>
      <c r="F467" s="69"/>
      <c r="G467" s="69"/>
      <c r="H467" s="69"/>
      <c r="I467" s="69"/>
      <c r="J467" s="69"/>
    </row>
    <row r="468" spans="1:10" ht="12.75">
      <c r="A468" s="45"/>
      <c r="B468" s="45"/>
      <c r="C468" s="69"/>
      <c r="D468" s="69"/>
      <c r="E468" s="69"/>
      <c r="F468" s="69"/>
      <c r="G468" s="69"/>
      <c r="H468" s="69"/>
      <c r="I468" s="69"/>
      <c r="J468" s="69"/>
    </row>
    <row r="469" spans="1:10" ht="12.75">
      <c r="A469" s="45"/>
      <c r="B469" s="45"/>
      <c r="C469" s="69"/>
      <c r="D469" s="69"/>
      <c r="E469" s="69"/>
      <c r="F469" s="69"/>
      <c r="G469" s="69"/>
      <c r="H469" s="69"/>
      <c r="I469" s="69"/>
      <c r="J469" s="69"/>
    </row>
    <row r="470" spans="1:10" ht="18" customHeight="1">
      <c r="A470" s="29"/>
      <c r="B470" s="29"/>
      <c r="C470" s="66"/>
      <c r="D470" s="66"/>
      <c r="E470" s="66"/>
      <c r="F470" s="66"/>
      <c r="G470" s="66"/>
      <c r="H470" s="66"/>
      <c r="I470" s="66"/>
      <c r="J470" s="66"/>
    </row>
    <row r="471" spans="1:10" ht="12.75">
      <c r="A471" s="29"/>
      <c r="B471" s="29"/>
      <c r="C471" s="66"/>
      <c r="D471" s="66"/>
      <c r="E471" s="66"/>
      <c r="F471" s="66"/>
      <c r="G471" s="66"/>
      <c r="H471" s="66"/>
      <c r="I471" s="66"/>
      <c r="J471" s="66"/>
    </row>
    <row r="472" spans="1:10" ht="12.75">
      <c r="A472" s="29"/>
      <c r="B472" s="29"/>
      <c r="C472" s="66"/>
      <c r="D472" s="66"/>
      <c r="E472" s="66"/>
      <c r="F472" s="66"/>
      <c r="G472" s="66"/>
      <c r="H472" s="66"/>
      <c r="I472" s="66"/>
      <c r="J472" s="66"/>
    </row>
    <row r="473" spans="1:10" ht="12.75">
      <c r="A473" s="29"/>
      <c r="B473" s="29"/>
      <c r="C473" s="66"/>
      <c r="D473" s="66"/>
      <c r="E473" s="66"/>
      <c r="F473" s="66"/>
      <c r="G473" s="66"/>
      <c r="H473" s="66"/>
      <c r="I473" s="66"/>
      <c r="J473" s="66"/>
    </row>
    <row r="474" spans="1:10" ht="12.75">
      <c r="A474" s="29"/>
      <c r="B474" s="29"/>
      <c r="C474" s="66"/>
      <c r="D474" s="66"/>
      <c r="E474" s="66"/>
      <c r="F474" s="66"/>
      <c r="G474" s="66"/>
      <c r="H474" s="66"/>
      <c r="I474" s="66"/>
      <c r="J474" s="66"/>
    </row>
    <row r="475" spans="1:10" ht="12.75">
      <c r="A475" s="29"/>
      <c r="B475" s="29"/>
      <c r="C475" s="66"/>
      <c r="D475" s="66"/>
      <c r="E475" s="66"/>
      <c r="F475" s="66"/>
      <c r="G475" s="66"/>
      <c r="H475" s="66"/>
      <c r="I475" s="66"/>
      <c r="J475" s="66"/>
    </row>
    <row r="476" spans="1:10" ht="12.75">
      <c r="A476" s="29"/>
      <c r="B476" s="29"/>
      <c r="C476" s="66"/>
      <c r="D476" s="66"/>
      <c r="E476" s="66"/>
      <c r="F476" s="66"/>
      <c r="G476" s="66"/>
      <c r="H476" s="66"/>
      <c r="I476" s="66"/>
      <c r="J476" s="66"/>
    </row>
    <row r="477" spans="1:10" ht="12.75">
      <c r="A477" s="29"/>
      <c r="B477" s="29"/>
      <c r="C477" s="66"/>
      <c r="D477" s="66"/>
      <c r="E477" s="66"/>
      <c r="F477" s="66"/>
      <c r="G477" s="66"/>
      <c r="H477" s="66"/>
      <c r="I477" s="66"/>
      <c r="J477" s="66"/>
    </row>
    <row r="478" spans="1:10" ht="12.75">
      <c r="A478" s="29"/>
      <c r="B478" s="29"/>
      <c r="C478" s="66"/>
      <c r="D478" s="66"/>
      <c r="E478" s="66"/>
      <c r="F478" s="66"/>
      <c r="G478" s="66"/>
      <c r="H478" s="66"/>
      <c r="I478" s="66"/>
      <c r="J478" s="66"/>
    </row>
    <row r="479" spans="1:10" ht="12.75">
      <c r="A479" s="66"/>
      <c r="B479" s="29"/>
      <c r="C479" s="66"/>
      <c r="D479" s="66"/>
      <c r="E479" s="66"/>
      <c r="F479" s="66"/>
      <c r="G479" s="66"/>
      <c r="H479" s="66"/>
      <c r="I479" s="66"/>
      <c r="J479" s="66"/>
    </row>
    <row r="480" spans="1:10" ht="12.75">
      <c r="A480" s="29"/>
      <c r="B480" s="29"/>
      <c r="C480" s="66"/>
      <c r="D480" s="66"/>
      <c r="E480" s="66"/>
      <c r="F480" s="66"/>
      <c r="G480" s="66"/>
      <c r="H480" s="66"/>
      <c r="I480" s="66"/>
      <c r="J480" s="66"/>
    </row>
    <row r="481" spans="1:10" ht="12.75">
      <c r="A481" s="66"/>
      <c r="B481" s="29"/>
      <c r="C481" s="66"/>
      <c r="D481" s="66"/>
      <c r="E481" s="66"/>
      <c r="F481" s="66"/>
      <c r="G481" s="66"/>
      <c r="H481" s="66"/>
      <c r="I481" s="66"/>
      <c r="J481" s="66"/>
    </row>
    <row r="482" spans="1:26" s="22" customFormat="1" ht="25.5" customHeight="1">
      <c r="A482" s="29"/>
      <c r="B482" s="29"/>
      <c r="C482" s="66"/>
      <c r="D482" s="66"/>
      <c r="E482" s="66"/>
      <c r="F482" s="66"/>
      <c r="G482" s="66"/>
      <c r="H482" s="66"/>
      <c r="I482" s="66"/>
      <c r="J482" s="66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10" ht="12.75">
      <c r="A483" s="29"/>
      <c r="B483" s="29"/>
      <c r="C483" s="66"/>
      <c r="D483" s="66"/>
      <c r="E483" s="66"/>
      <c r="F483" s="66"/>
      <c r="G483" s="66"/>
      <c r="H483" s="66"/>
      <c r="I483" s="66"/>
      <c r="J483" s="66"/>
    </row>
    <row r="484" spans="1:10" ht="12.75">
      <c r="A484" s="29"/>
      <c r="B484" s="29"/>
      <c r="C484" s="66"/>
      <c r="D484" s="66"/>
      <c r="E484" s="66"/>
      <c r="F484" s="66"/>
      <c r="G484" s="66"/>
      <c r="H484" s="66"/>
      <c r="I484" s="66"/>
      <c r="J484" s="66"/>
    </row>
    <row r="485" spans="1:10" ht="12.75">
      <c r="A485" s="29"/>
      <c r="B485" s="29"/>
      <c r="C485" s="66"/>
      <c r="D485" s="66"/>
      <c r="E485" s="66"/>
      <c r="F485" s="66"/>
      <c r="G485" s="66"/>
      <c r="H485" s="66"/>
      <c r="I485" s="66"/>
      <c r="J485" s="66"/>
    </row>
    <row r="486" spans="1:10" ht="12.75">
      <c r="A486" s="29"/>
      <c r="B486" s="29"/>
      <c r="C486" s="66"/>
      <c r="D486" s="66"/>
      <c r="E486" s="66"/>
      <c r="F486" s="66"/>
      <c r="G486" s="66"/>
      <c r="H486" s="66"/>
      <c r="I486" s="66"/>
      <c r="J486" s="66"/>
    </row>
    <row r="487" spans="1:10" ht="12.75">
      <c r="A487" s="29"/>
      <c r="B487" s="29"/>
      <c r="C487" s="66"/>
      <c r="D487" s="66"/>
      <c r="E487" s="66"/>
      <c r="F487" s="66"/>
      <c r="G487" s="66"/>
      <c r="H487" s="66"/>
      <c r="I487" s="66"/>
      <c r="J487" s="66"/>
    </row>
    <row r="488" spans="1:10" ht="12.75">
      <c r="A488" s="29"/>
      <c r="B488" s="29"/>
      <c r="C488" s="66"/>
      <c r="D488" s="66"/>
      <c r="E488" s="66"/>
      <c r="F488" s="66"/>
      <c r="G488" s="66"/>
      <c r="H488" s="66"/>
      <c r="I488" s="66"/>
      <c r="J488" s="66"/>
    </row>
    <row r="489" spans="1:10" ht="12.75">
      <c r="A489" s="29"/>
      <c r="B489" s="29"/>
      <c r="C489" s="66"/>
      <c r="D489" s="66"/>
      <c r="E489" s="66"/>
      <c r="F489" s="66"/>
      <c r="G489" s="66"/>
      <c r="H489" s="66"/>
      <c r="I489" s="66"/>
      <c r="J489" s="66"/>
    </row>
    <row r="490" spans="1:10" ht="12.75">
      <c r="A490" s="29"/>
      <c r="B490" s="29"/>
      <c r="C490" s="66"/>
      <c r="D490" s="66"/>
      <c r="E490" s="66"/>
      <c r="F490" s="66"/>
      <c r="G490" s="66"/>
      <c r="H490" s="66"/>
      <c r="I490" s="66"/>
      <c r="J490" s="66"/>
    </row>
    <row r="491" spans="1:10" ht="12.75">
      <c r="A491" s="29"/>
      <c r="B491" s="29"/>
      <c r="C491" s="66"/>
      <c r="D491" s="66"/>
      <c r="E491" s="66"/>
      <c r="F491" s="66"/>
      <c r="G491" s="66"/>
      <c r="H491" s="66"/>
      <c r="I491" s="66"/>
      <c r="J491" s="66"/>
    </row>
    <row r="492" spans="1:10" ht="12.75">
      <c r="A492" s="29"/>
      <c r="B492" s="29"/>
      <c r="C492" s="66"/>
      <c r="D492" s="66"/>
      <c r="E492" s="66"/>
      <c r="F492" s="66"/>
      <c r="G492" s="66"/>
      <c r="H492" s="66"/>
      <c r="I492" s="66"/>
      <c r="J492" s="66"/>
    </row>
    <row r="493" spans="1:10" ht="12.75">
      <c r="A493" s="29"/>
      <c r="B493" s="29"/>
      <c r="C493" s="66"/>
      <c r="D493" s="66"/>
      <c r="E493" s="66"/>
      <c r="F493" s="66"/>
      <c r="G493" s="66"/>
      <c r="H493" s="66"/>
      <c r="I493" s="66"/>
      <c r="J493" s="66"/>
    </row>
    <row r="494" spans="1:10" ht="12.75">
      <c r="A494" s="66"/>
      <c r="B494" s="29"/>
      <c r="C494" s="66"/>
      <c r="D494" s="66"/>
      <c r="E494" s="66"/>
      <c r="F494" s="66"/>
      <c r="G494" s="66"/>
      <c r="H494" s="66"/>
      <c r="I494" s="66"/>
      <c r="J494" s="66"/>
    </row>
    <row r="495" spans="1:10" ht="12.75">
      <c r="A495" s="29"/>
      <c r="B495" s="29"/>
      <c r="C495" s="66"/>
      <c r="D495" s="66"/>
      <c r="E495" s="66"/>
      <c r="F495" s="66"/>
      <c r="G495" s="66"/>
      <c r="H495" s="66"/>
      <c r="I495" s="66"/>
      <c r="J495" s="66"/>
    </row>
    <row r="496" spans="1:10" ht="12.75">
      <c r="A496" s="29"/>
      <c r="B496" s="29"/>
      <c r="C496" s="66"/>
      <c r="D496" s="66"/>
      <c r="E496" s="66"/>
      <c r="F496" s="66"/>
      <c r="G496" s="66"/>
      <c r="H496" s="66"/>
      <c r="I496" s="66"/>
      <c r="J496" s="66"/>
    </row>
    <row r="497" spans="1:10" ht="12.75">
      <c r="A497" s="29"/>
      <c r="B497" s="29"/>
      <c r="C497" s="66"/>
      <c r="D497" s="66"/>
      <c r="E497" s="66"/>
      <c r="F497" s="66"/>
      <c r="G497" s="66"/>
      <c r="H497" s="66"/>
      <c r="I497" s="66"/>
      <c r="J497" s="66"/>
    </row>
    <row r="498" spans="1:10" ht="12.75">
      <c r="A498" s="29"/>
      <c r="B498" s="29"/>
      <c r="C498" s="66"/>
      <c r="D498" s="66"/>
      <c r="E498" s="66"/>
      <c r="F498" s="66"/>
      <c r="G498" s="66"/>
      <c r="H498" s="66"/>
      <c r="I498" s="66"/>
      <c r="J498" s="66"/>
    </row>
    <row r="499" spans="1:10" ht="12.75">
      <c r="A499" s="29"/>
      <c r="B499" s="29"/>
      <c r="C499" s="66"/>
      <c r="D499" s="66"/>
      <c r="E499" s="66"/>
      <c r="F499" s="66"/>
      <c r="G499" s="66"/>
      <c r="H499" s="66"/>
      <c r="I499" s="66"/>
      <c r="J499" s="66"/>
    </row>
    <row r="500" spans="1:10" ht="12.75">
      <c r="A500" s="29"/>
      <c r="B500" s="29"/>
      <c r="C500" s="66"/>
      <c r="D500" s="66"/>
      <c r="E500" s="66"/>
      <c r="F500" s="66"/>
      <c r="G500" s="66"/>
      <c r="H500" s="66"/>
      <c r="I500" s="66"/>
      <c r="J500" s="66"/>
    </row>
    <row r="501" spans="1:10" ht="12.75">
      <c r="A501" s="29"/>
      <c r="B501" s="29"/>
      <c r="C501" s="66"/>
      <c r="D501" s="66"/>
      <c r="E501" s="66"/>
      <c r="F501" s="66"/>
      <c r="G501" s="66"/>
      <c r="H501" s="66"/>
      <c r="I501" s="66"/>
      <c r="J501" s="66"/>
    </row>
    <row r="502" spans="1:10" ht="12.75">
      <c r="A502" s="29"/>
      <c r="B502" s="29"/>
      <c r="C502" s="66"/>
      <c r="D502" s="66"/>
      <c r="E502" s="66"/>
      <c r="F502" s="66"/>
      <c r="G502" s="66"/>
      <c r="H502" s="66"/>
      <c r="I502" s="66"/>
      <c r="J502" s="66"/>
    </row>
    <row r="503" spans="1:10" ht="12.75">
      <c r="A503" s="29"/>
      <c r="B503" s="29"/>
      <c r="C503" s="66"/>
      <c r="D503" s="66"/>
      <c r="E503" s="66"/>
      <c r="F503" s="66"/>
      <c r="G503" s="66"/>
      <c r="H503" s="66"/>
      <c r="I503" s="66"/>
      <c r="J503" s="66"/>
    </row>
    <row r="504" spans="1:10" ht="12.75">
      <c r="A504" s="29"/>
      <c r="B504" s="29"/>
      <c r="C504" s="66"/>
      <c r="D504" s="66"/>
      <c r="E504" s="66"/>
      <c r="F504" s="66"/>
      <c r="G504" s="66"/>
      <c r="H504" s="66"/>
      <c r="I504" s="66"/>
      <c r="J504" s="66"/>
    </row>
    <row r="505" spans="1:10" ht="12.75">
      <c r="A505" s="66"/>
      <c r="B505" s="29"/>
      <c r="C505" s="66"/>
      <c r="D505" s="66"/>
      <c r="E505" s="66"/>
      <c r="F505" s="66"/>
      <c r="G505" s="66"/>
      <c r="H505" s="66"/>
      <c r="I505" s="66"/>
      <c r="J505" s="66"/>
    </row>
    <row r="506" spans="1:10" ht="12.75">
      <c r="A506" s="29"/>
      <c r="B506" s="29"/>
      <c r="C506" s="66"/>
      <c r="D506" s="66"/>
      <c r="E506" s="66"/>
      <c r="F506" s="66"/>
      <c r="G506" s="66"/>
      <c r="H506" s="66"/>
      <c r="I506" s="66"/>
      <c r="J506" s="66"/>
    </row>
    <row r="507" spans="1:10" ht="12.75">
      <c r="A507" s="29"/>
      <c r="B507" s="29"/>
      <c r="C507" s="66"/>
      <c r="D507" s="66"/>
      <c r="E507" s="66"/>
      <c r="F507" s="66"/>
      <c r="G507" s="66"/>
      <c r="H507" s="66"/>
      <c r="I507" s="66"/>
      <c r="J507" s="66"/>
    </row>
    <row r="508" spans="1:10" ht="12.75">
      <c r="A508" s="29"/>
      <c r="B508" s="29"/>
      <c r="C508" s="66"/>
      <c r="D508" s="66"/>
      <c r="E508" s="66"/>
      <c r="F508" s="66"/>
      <c r="G508" s="66"/>
      <c r="H508" s="66"/>
      <c r="I508" s="66"/>
      <c r="J508" s="66"/>
    </row>
    <row r="509" spans="1:10" ht="12.75">
      <c r="A509" s="29"/>
      <c r="B509" s="29"/>
      <c r="C509" s="66"/>
      <c r="D509" s="66"/>
      <c r="E509" s="66"/>
      <c r="F509" s="66"/>
      <c r="G509" s="66"/>
      <c r="H509" s="66"/>
      <c r="I509" s="66"/>
      <c r="J509" s="66"/>
    </row>
    <row r="510" spans="1:10" ht="12.75">
      <c r="A510" s="29"/>
      <c r="B510" s="29"/>
      <c r="C510" s="66"/>
      <c r="D510" s="66"/>
      <c r="E510" s="66"/>
      <c r="F510" s="66"/>
      <c r="G510" s="66"/>
      <c r="H510" s="66"/>
      <c r="I510" s="66"/>
      <c r="J510" s="66"/>
    </row>
    <row r="511" spans="1:10" ht="12.75">
      <c r="A511" s="29"/>
      <c r="B511" s="29"/>
      <c r="C511" s="66"/>
      <c r="D511" s="66"/>
      <c r="E511" s="66"/>
      <c r="F511" s="66"/>
      <c r="G511" s="66"/>
      <c r="H511" s="66"/>
      <c r="I511" s="66"/>
      <c r="J511" s="66"/>
    </row>
    <row r="512" spans="1:10" ht="12.75">
      <c r="A512" s="29"/>
      <c r="B512" s="29"/>
      <c r="C512" s="66"/>
      <c r="D512" s="66"/>
      <c r="E512" s="66"/>
      <c r="F512" s="66"/>
      <c r="G512" s="66"/>
      <c r="H512" s="66"/>
      <c r="I512" s="66"/>
      <c r="J512" s="66"/>
    </row>
    <row r="513" spans="1:10" ht="12.75">
      <c r="A513" s="29"/>
      <c r="B513" s="29"/>
      <c r="C513" s="66"/>
      <c r="D513" s="66"/>
      <c r="E513" s="66"/>
      <c r="F513" s="66"/>
      <c r="G513" s="66"/>
      <c r="H513" s="66"/>
      <c r="I513" s="66"/>
      <c r="J513" s="66"/>
    </row>
    <row r="514" spans="1:10" ht="12.75">
      <c r="A514" s="29"/>
      <c r="B514" s="29"/>
      <c r="C514" s="66"/>
      <c r="D514" s="66"/>
      <c r="E514" s="66"/>
      <c r="F514" s="66"/>
      <c r="G514" s="66"/>
      <c r="H514" s="66"/>
      <c r="I514" s="66"/>
      <c r="J514" s="66"/>
    </row>
    <row r="515" spans="1:10" ht="12.75">
      <c r="A515" s="29"/>
      <c r="B515" s="29"/>
      <c r="C515" s="66"/>
      <c r="D515" s="66"/>
      <c r="E515" s="66"/>
      <c r="F515" s="66"/>
      <c r="G515" s="66"/>
      <c r="H515" s="66"/>
      <c r="I515" s="66"/>
      <c r="J515" s="66"/>
    </row>
    <row r="516" spans="1:10" ht="12.75">
      <c r="A516" s="66"/>
      <c r="B516" s="29"/>
      <c r="C516" s="66"/>
      <c r="D516" s="66"/>
      <c r="E516" s="66"/>
      <c r="F516" s="66"/>
      <c r="G516" s="66"/>
      <c r="H516" s="66"/>
      <c r="I516" s="66"/>
      <c r="J516" s="66"/>
    </row>
    <row r="517" spans="1:10" ht="12.75">
      <c r="A517" s="29"/>
      <c r="B517" s="29"/>
      <c r="C517" s="66"/>
      <c r="D517" s="66"/>
      <c r="E517" s="66"/>
      <c r="F517" s="66"/>
      <c r="G517" s="66"/>
      <c r="H517" s="66"/>
      <c r="I517" s="66"/>
      <c r="J517" s="66"/>
    </row>
    <row r="518" spans="1:10" ht="15.75">
      <c r="A518" s="70"/>
      <c r="B518" s="17"/>
      <c r="C518" s="70"/>
      <c r="D518" s="70"/>
      <c r="E518" s="70"/>
      <c r="F518" s="70"/>
      <c r="G518" s="70"/>
      <c r="H518" s="70"/>
      <c r="I518" s="70"/>
      <c r="J518" s="70"/>
    </row>
    <row r="519" spans="1:10" ht="12.75">
      <c r="A519" s="29"/>
      <c r="B519" s="29"/>
      <c r="C519" s="66"/>
      <c r="D519" s="66"/>
      <c r="E519" s="66"/>
      <c r="F519" s="66"/>
      <c r="G519" s="66"/>
      <c r="H519" s="66"/>
      <c r="I519" s="66"/>
      <c r="J519" s="66"/>
    </row>
    <row r="520" spans="1:10" ht="12.75">
      <c r="A520" s="29"/>
      <c r="B520" s="29"/>
      <c r="C520" s="66"/>
      <c r="D520" s="66"/>
      <c r="E520" s="66"/>
      <c r="F520" s="66"/>
      <c r="G520" s="66"/>
      <c r="H520" s="66"/>
      <c r="I520" s="66"/>
      <c r="J520" s="66"/>
    </row>
    <row r="521" spans="1:10" ht="12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</row>
    <row r="522" spans="1:10" ht="12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</row>
    <row r="523" spans="1:10" ht="12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</row>
    <row r="524" spans="1:10" ht="12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</row>
    <row r="525" spans="1:10" ht="12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</row>
    <row r="526" spans="1:10" ht="12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</row>
    <row r="527" spans="1:10" ht="12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</row>
    <row r="528" spans="1:10" ht="12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</row>
    <row r="529" spans="1:10" ht="12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</row>
    <row r="530" spans="1:10" ht="12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</row>
    <row r="531" spans="1:10" ht="12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</row>
    <row r="532" spans="1:10" ht="12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</row>
    <row r="533" spans="1:10" ht="12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</row>
    <row r="534" spans="1:10" ht="12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</row>
    <row r="535" spans="1:10" ht="12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</row>
    <row r="536" spans="1:10" ht="12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</row>
    <row r="537" spans="1:10" ht="12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</row>
    <row r="538" spans="1:10" ht="12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</row>
    <row r="539" spans="1:10" ht="12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</row>
    <row r="540" spans="1:10" ht="12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</row>
    <row r="541" spans="1:10" ht="12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</row>
  </sheetData>
  <sheetProtection/>
  <mergeCells count="8">
    <mergeCell ref="I5:J5"/>
    <mergeCell ref="A2:J2"/>
    <mergeCell ref="A1:C1"/>
    <mergeCell ref="E5:F5"/>
    <mergeCell ref="G5:H5"/>
    <mergeCell ref="C5:D5"/>
    <mergeCell ref="A5:A6"/>
    <mergeCell ref="B5:B6"/>
  </mergeCells>
  <printOptions/>
  <pageMargins left="0.3937007874015748" right="0.23" top="0.4" bottom="0.37" header="0.17" footer="0.17"/>
  <pageSetup horizontalDpi="600" verticalDpi="600" orientation="landscape" paperSize="9" scale="84" r:id="rId1"/>
  <rowBreaks count="12" manualBreakCount="12">
    <brk id="35" max="9" man="1"/>
    <brk id="68" max="9" man="1"/>
    <brk id="96" max="9" man="1"/>
    <brk id="126" max="9" man="1"/>
    <brk id="207" max="9" man="1"/>
    <brk id="235" max="9" man="1"/>
    <brk id="259" max="9" man="1"/>
    <brk id="282" max="9" man="1"/>
    <brk id="301" max="9" man="1"/>
    <brk id="385" max="255" man="1"/>
    <brk id="425" max="255" man="1"/>
    <brk id="4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N1" sqref="AN1:AP16384"/>
    </sheetView>
  </sheetViews>
  <sheetFormatPr defaultColWidth="9.00390625" defaultRowHeight="12.75"/>
  <cols>
    <col min="1" max="1" width="4.75390625" style="8" customWidth="1"/>
    <col min="2" max="2" width="27.875" style="8" customWidth="1"/>
    <col min="3" max="3" width="10.25390625" style="8" customWidth="1"/>
    <col min="4" max="4" width="11.00390625" style="8" customWidth="1"/>
    <col min="5" max="5" width="11.00390625" style="2" customWidth="1"/>
    <col min="6" max="6" width="11.00390625" style="8" customWidth="1"/>
    <col min="7" max="8" width="11.00390625" style="2" customWidth="1"/>
    <col min="9" max="9" width="11.125" style="8" customWidth="1"/>
    <col min="10" max="10" width="12.75390625" style="8" customWidth="1"/>
    <col min="11" max="11" width="13.75390625" style="8" customWidth="1"/>
    <col min="12" max="39" width="9.125" style="8" customWidth="1"/>
    <col min="40" max="42" width="0" style="8" hidden="1" customWidth="1"/>
    <col min="43" max="16384" width="9.125" style="8" customWidth="1"/>
  </cols>
  <sheetData>
    <row r="1" spans="1:8" ht="13.5">
      <c r="A1" s="511" t="s">
        <v>94</v>
      </c>
      <c r="B1" s="511"/>
      <c r="C1" s="511"/>
      <c r="D1" s="511"/>
      <c r="E1" s="3"/>
      <c r="F1" s="3"/>
      <c r="G1" s="3"/>
      <c r="H1" s="3"/>
    </row>
    <row r="2" spans="2:13" ht="12.75">
      <c r="B2" s="516" t="s">
        <v>6</v>
      </c>
      <c r="C2" s="516"/>
      <c r="D2" s="516"/>
      <c r="E2" s="516"/>
      <c r="F2" s="516"/>
      <c r="G2" s="516"/>
      <c r="H2" s="516"/>
      <c r="I2" s="516"/>
      <c r="J2" s="345"/>
      <c r="K2" s="345"/>
      <c r="L2" s="345"/>
      <c r="M2" s="345"/>
    </row>
    <row r="3" spans="2:13" ht="12.75" customHeight="1">
      <c r="B3" s="516" t="s">
        <v>29</v>
      </c>
      <c r="C3" s="516"/>
      <c r="D3" s="516"/>
      <c r="E3" s="516"/>
      <c r="F3" s="516"/>
      <c r="G3" s="516"/>
      <c r="H3" s="516"/>
      <c r="I3" s="516"/>
      <c r="J3" s="345"/>
      <c r="K3" s="345"/>
      <c r="L3" s="345"/>
      <c r="M3" s="345"/>
    </row>
    <row r="4" ht="12.75" customHeight="1" thickBot="1">
      <c r="B4" s="9"/>
    </row>
    <row r="5" spans="1:9" s="10" customFormat="1" ht="27" customHeight="1" thickBot="1">
      <c r="A5" s="339"/>
      <c r="B5" s="340"/>
      <c r="C5" s="341">
        <v>2017</v>
      </c>
      <c r="D5" s="341">
        <v>2018</v>
      </c>
      <c r="E5" s="341">
        <v>2019</v>
      </c>
      <c r="F5" s="341">
        <v>2020</v>
      </c>
      <c r="G5" s="341">
        <v>2021</v>
      </c>
      <c r="H5" s="342" t="s">
        <v>312</v>
      </c>
      <c r="I5" s="343" t="s">
        <v>3</v>
      </c>
    </row>
    <row r="6" spans="1:9" ht="21" customHeight="1">
      <c r="A6" s="321" t="s">
        <v>2</v>
      </c>
      <c r="B6" s="322" t="s">
        <v>311</v>
      </c>
      <c r="C6" s="323">
        <f>22983+6327</f>
        <v>29310</v>
      </c>
      <c r="D6" s="324">
        <f>30933+7521</f>
        <v>38454</v>
      </c>
      <c r="E6" s="324">
        <f>19909+4594</f>
        <v>24503</v>
      </c>
      <c r="F6" s="324"/>
      <c r="G6" s="324"/>
      <c r="H6" s="323"/>
      <c r="I6" s="325">
        <f aca="true" t="shared" si="0" ref="I6:I17">SUM(C6:H6)</f>
        <v>92267</v>
      </c>
    </row>
    <row r="7" spans="1:9" ht="21" customHeight="1">
      <c r="A7" s="326"/>
      <c r="B7" s="327" t="s">
        <v>283</v>
      </c>
      <c r="C7" s="328">
        <v>21834</v>
      </c>
      <c r="D7" s="329">
        <v>29386</v>
      </c>
      <c r="E7" s="329">
        <v>18914</v>
      </c>
      <c r="F7" s="329"/>
      <c r="G7" s="329"/>
      <c r="H7" s="328"/>
      <c r="I7" s="330">
        <f t="shared" si="0"/>
        <v>70134</v>
      </c>
    </row>
    <row r="8" spans="1:9" ht="21" customHeight="1" thickBot="1">
      <c r="A8" s="331"/>
      <c r="B8" s="332" t="s">
        <v>286</v>
      </c>
      <c r="C8" s="333">
        <f>1149+6327</f>
        <v>7476</v>
      </c>
      <c r="D8" s="334">
        <f>1547+7521</f>
        <v>9068</v>
      </c>
      <c r="E8" s="334">
        <f>995+4594</f>
        <v>5589</v>
      </c>
      <c r="F8" s="334"/>
      <c r="G8" s="334"/>
      <c r="H8" s="333"/>
      <c r="I8" s="335">
        <f t="shared" si="0"/>
        <v>22133</v>
      </c>
    </row>
    <row r="9" spans="1:9" ht="32.25" customHeight="1">
      <c r="A9" s="321" t="s">
        <v>280</v>
      </c>
      <c r="B9" s="322" t="s">
        <v>279</v>
      </c>
      <c r="C9" s="323">
        <v>21568</v>
      </c>
      <c r="D9" s="324">
        <v>8432</v>
      </c>
      <c r="E9" s="324"/>
      <c r="F9" s="324"/>
      <c r="G9" s="324"/>
      <c r="H9" s="323"/>
      <c r="I9" s="325">
        <f t="shared" si="0"/>
        <v>30000</v>
      </c>
    </row>
    <row r="10" spans="1:9" ht="21" customHeight="1">
      <c r="A10" s="326"/>
      <c r="B10" s="327" t="s">
        <v>283</v>
      </c>
      <c r="C10" s="328">
        <v>21568</v>
      </c>
      <c r="D10" s="329">
        <v>8432</v>
      </c>
      <c r="E10" s="329"/>
      <c r="F10" s="329"/>
      <c r="G10" s="329"/>
      <c r="H10" s="328"/>
      <c r="I10" s="330">
        <f t="shared" si="0"/>
        <v>30000</v>
      </c>
    </row>
    <row r="11" spans="1:9" ht="21" customHeight="1" thickBot="1">
      <c r="A11" s="331"/>
      <c r="B11" s="332" t="s">
        <v>286</v>
      </c>
      <c r="C11" s="333"/>
      <c r="D11" s="334"/>
      <c r="E11" s="334"/>
      <c r="F11" s="334"/>
      <c r="G11" s="334"/>
      <c r="H11" s="333"/>
      <c r="I11" s="335">
        <f t="shared" si="0"/>
        <v>0</v>
      </c>
    </row>
    <row r="12" spans="1:9" ht="21" customHeight="1">
      <c r="A12" s="321" t="s">
        <v>281</v>
      </c>
      <c r="B12" s="322" t="s">
        <v>282</v>
      </c>
      <c r="C12" s="323">
        <f>31366</f>
        <v>31366</v>
      </c>
      <c r="D12" s="324">
        <v>11905</v>
      </c>
      <c r="E12" s="324">
        <v>11297</v>
      </c>
      <c r="F12" s="324">
        <v>10842</v>
      </c>
      <c r="G12" s="324"/>
      <c r="H12" s="323"/>
      <c r="I12" s="325">
        <f t="shared" si="0"/>
        <v>65410</v>
      </c>
    </row>
    <row r="13" spans="1:9" ht="21" customHeight="1">
      <c r="A13" s="326"/>
      <c r="B13" s="327" t="s">
        <v>283</v>
      </c>
      <c r="C13" s="328">
        <f>C12</f>
        <v>31366</v>
      </c>
      <c r="D13" s="329">
        <f>D12</f>
        <v>11905</v>
      </c>
      <c r="E13" s="329">
        <v>11297</v>
      </c>
      <c r="F13" s="329">
        <v>10842</v>
      </c>
      <c r="G13" s="329"/>
      <c r="H13" s="328"/>
      <c r="I13" s="330">
        <f t="shared" si="0"/>
        <v>65410</v>
      </c>
    </row>
    <row r="14" spans="1:9" ht="21" customHeight="1" thickBot="1">
      <c r="A14" s="331"/>
      <c r="B14" s="332" t="s">
        <v>286</v>
      </c>
      <c r="C14" s="333"/>
      <c r="D14" s="334"/>
      <c r="E14" s="334"/>
      <c r="F14" s="334"/>
      <c r="G14" s="334"/>
      <c r="H14" s="333"/>
      <c r="I14" s="335">
        <f t="shared" si="0"/>
        <v>0</v>
      </c>
    </row>
    <row r="15" spans="1:9" s="10" customFormat="1" ht="21.75" customHeight="1">
      <c r="A15" s="321"/>
      <c r="B15" s="336" t="s">
        <v>1</v>
      </c>
      <c r="C15" s="336">
        <f aca="true" t="shared" si="1" ref="C15:H17">C12+C9+C6</f>
        <v>82244</v>
      </c>
      <c r="D15" s="336">
        <f t="shared" si="1"/>
        <v>58791</v>
      </c>
      <c r="E15" s="336">
        <f t="shared" si="1"/>
        <v>35800</v>
      </c>
      <c r="F15" s="336">
        <f t="shared" si="1"/>
        <v>10842</v>
      </c>
      <c r="G15" s="336">
        <f t="shared" si="1"/>
        <v>0</v>
      </c>
      <c r="H15" s="336">
        <f t="shared" si="1"/>
        <v>0</v>
      </c>
      <c r="I15" s="325">
        <f t="shared" si="0"/>
        <v>187677</v>
      </c>
    </row>
    <row r="16" spans="1:10" ht="19.5" customHeight="1">
      <c r="A16" s="337"/>
      <c r="B16" s="327" t="s">
        <v>283</v>
      </c>
      <c r="C16" s="328">
        <f t="shared" si="1"/>
        <v>74768</v>
      </c>
      <c r="D16" s="328">
        <f t="shared" si="1"/>
        <v>49723</v>
      </c>
      <c r="E16" s="328">
        <f t="shared" si="1"/>
        <v>30211</v>
      </c>
      <c r="F16" s="328">
        <f t="shared" si="1"/>
        <v>10842</v>
      </c>
      <c r="G16" s="328">
        <f t="shared" si="1"/>
        <v>0</v>
      </c>
      <c r="H16" s="328">
        <f t="shared" si="1"/>
        <v>0</v>
      </c>
      <c r="I16" s="330">
        <f t="shared" si="0"/>
        <v>165544</v>
      </c>
      <c r="J16" s="9"/>
    </row>
    <row r="17" spans="1:10" ht="19.5" customHeight="1" thickBot="1">
      <c r="A17" s="338"/>
      <c r="B17" s="332" t="s">
        <v>286</v>
      </c>
      <c r="C17" s="344">
        <f t="shared" si="1"/>
        <v>7476</v>
      </c>
      <c r="D17" s="344">
        <f t="shared" si="1"/>
        <v>9068</v>
      </c>
      <c r="E17" s="344">
        <f t="shared" si="1"/>
        <v>5589</v>
      </c>
      <c r="F17" s="344">
        <f t="shared" si="1"/>
        <v>0</v>
      </c>
      <c r="G17" s="344">
        <f t="shared" si="1"/>
        <v>0</v>
      </c>
      <c r="H17" s="344">
        <f t="shared" si="1"/>
        <v>0</v>
      </c>
      <c r="I17" s="335">
        <f t="shared" si="0"/>
        <v>22133</v>
      </c>
      <c r="J17" s="320"/>
    </row>
    <row r="18" spans="2:10" ht="12.75">
      <c r="B18" s="320"/>
      <c r="C18" s="320"/>
      <c r="D18" s="320"/>
      <c r="E18" s="320"/>
      <c r="F18" s="320"/>
      <c r="G18" s="320"/>
      <c r="H18" s="320"/>
      <c r="I18" s="320"/>
      <c r="J18" s="320"/>
    </row>
  </sheetData>
  <sheetProtection/>
  <mergeCells count="3">
    <mergeCell ref="A1:D1"/>
    <mergeCell ref="B2:I2"/>
    <mergeCell ref="B3:I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zoomScalePageLayoutView="0" workbookViewId="0" topLeftCell="A1">
      <selection activeCell="AN1" sqref="AN1:AP16384"/>
    </sheetView>
  </sheetViews>
  <sheetFormatPr defaultColWidth="9.00390625" defaultRowHeight="12.75"/>
  <cols>
    <col min="1" max="1" width="27.625" style="320" customWidth="1"/>
    <col min="2" max="2" width="8.25390625" style="9" customWidth="1"/>
    <col min="3" max="3" width="9.75390625" style="9" customWidth="1"/>
    <col min="4" max="4" width="8.625" style="9" customWidth="1"/>
    <col min="5" max="5" width="10.875" style="9" customWidth="1"/>
    <col min="6" max="6" width="10.375" style="9" bestFit="1" customWidth="1"/>
    <col min="7" max="16384" width="9.125" style="8" customWidth="1"/>
  </cols>
  <sheetData>
    <row r="1" spans="1:4" ht="13.5">
      <c r="A1" s="511" t="s">
        <v>313</v>
      </c>
      <c r="B1" s="511"/>
      <c r="C1" s="511"/>
      <c r="D1" s="511"/>
    </row>
    <row r="2" spans="1:7" ht="13.5">
      <c r="A2" s="521" t="s">
        <v>6</v>
      </c>
      <c r="B2" s="522"/>
      <c r="C2" s="522"/>
      <c r="D2" s="522"/>
      <c r="E2" s="522"/>
      <c r="F2" s="522"/>
      <c r="G2" s="522"/>
    </row>
    <row r="3" spans="1:7" ht="12.75">
      <c r="A3" s="519" t="s">
        <v>314</v>
      </c>
      <c r="B3" s="519"/>
      <c r="C3" s="519"/>
      <c r="D3" s="519"/>
      <c r="E3" s="520"/>
      <c r="F3" s="520"/>
      <c r="G3" s="520"/>
    </row>
    <row r="4" spans="1:5" ht="12.75">
      <c r="A4" s="346"/>
      <c r="B4" s="518" t="s">
        <v>315</v>
      </c>
      <c r="C4" s="518"/>
      <c r="D4" s="518"/>
      <c r="E4" s="348"/>
    </row>
    <row r="5" spans="1:5" ht="12.75">
      <c r="A5" s="346"/>
      <c r="B5" s="347"/>
      <c r="C5" s="347"/>
      <c r="D5" s="347"/>
      <c r="E5" s="348"/>
    </row>
    <row r="6" spans="1:7" ht="13.5">
      <c r="A6" s="525" t="s">
        <v>316</v>
      </c>
      <c r="B6" s="526"/>
      <c r="C6" s="526"/>
      <c r="D6" s="526"/>
      <c r="E6" s="526"/>
      <c r="F6" s="526"/>
      <c r="G6" s="526"/>
    </row>
    <row r="7" spans="1:5" ht="26.25" customHeight="1">
      <c r="A7" s="527" t="s">
        <v>317</v>
      </c>
      <c r="B7" s="520"/>
      <c r="C7" s="520"/>
      <c r="D7" s="520"/>
      <c r="E7" s="351">
        <f>56511+56496</f>
        <v>113007</v>
      </c>
    </row>
    <row r="8" spans="1:5" ht="38.25">
      <c r="A8" s="346" t="s">
        <v>318</v>
      </c>
      <c r="B8" s="347"/>
      <c r="C8" s="347"/>
      <c r="D8" s="347"/>
      <c r="E8" s="352">
        <v>56511</v>
      </c>
    </row>
    <row r="9" spans="1:5" ht="12.75">
      <c r="A9" s="353" t="s">
        <v>319</v>
      </c>
      <c r="B9" s="347"/>
      <c r="C9" s="347"/>
      <c r="D9" s="347"/>
      <c r="E9" s="348">
        <f>E7-E8</f>
        <v>56496</v>
      </c>
    </row>
    <row r="10" spans="1:5" ht="12.75">
      <c r="A10" s="346"/>
      <c r="B10" s="347"/>
      <c r="C10" s="347"/>
      <c r="D10" s="347"/>
      <c r="E10" s="348"/>
    </row>
    <row r="11" spans="1:6" s="356" customFormat="1" ht="25.5">
      <c r="A11" s="353" t="s">
        <v>320</v>
      </c>
      <c r="B11" s="347"/>
      <c r="C11" s="347"/>
      <c r="D11" s="347"/>
      <c r="E11" s="354">
        <v>150</v>
      </c>
      <c r="F11" s="355"/>
    </row>
    <row r="12" spans="1:5" ht="12.75">
      <c r="A12" s="346"/>
      <c r="B12" s="347"/>
      <c r="C12" s="347"/>
      <c r="D12" s="347"/>
      <c r="E12" s="348"/>
    </row>
    <row r="13" spans="1:5" ht="13.5">
      <c r="A13" s="525" t="s">
        <v>321</v>
      </c>
      <c r="B13" s="526"/>
      <c r="C13" s="357"/>
      <c r="D13" s="357"/>
      <c r="E13" s="358">
        <f>E8+E11</f>
        <v>56661</v>
      </c>
    </row>
    <row r="14" spans="1:5" ht="13.5">
      <c r="A14" s="349"/>
      <c r="B14" s="350"/>
      <c r="C14" s="357"/>
      <c r="D14" s="357"/>
      <c r="E14" s="358"/>
    </row>
    <row r="15" spans="1:7" ht="13.5">
      <c r="A15" s="525" t="s">
        <v>322</v>
      </c>
      <c r="B15" s="520"/>
      <c r="C15" s="520"/>
      <c r="D15" s="520"/>
      <c r="E15" s="520"/>
      <c r="F15" s="520"/>
      <c r="G15" s="520"/>
    </row>
    <row r="16" spans="1:7" ht="12.75">
      <c r="A16" s="529" t="s">
        <v>323</v>
      </c>
      <c r="B16" s="520"/>
      <c r="C16" s="520"/>
      <c r="D16" s="520"/>
      <c r="E16" s="520"/>
      <c r="F16" s="520"/>
      <c r="G16" s="520"/>
    </row>
    <row r="17" spans="1:5" ht="12.75">
      <c r="A17" s="346"/>
      <c r="B17" s="347"/>
      <c r="C17" s="347"/>
      <c r="D17" s="347"/>
      <c r="E17" s="348"/>
    </row>
    <row r="18" spans="1:7" s="356" customFormat="1" ht="13.5">
      <c r="A18" s="523" t="s">
        <v>324</v>
      </c>
      <c r="B18" s="524"/>
      <c r="C18" s="524"/>
      <c r="D18" s="524"/>
      <c r="E18" s="524"/>
      <c r="F18" s="524"/>
      <c r="G18" s="524"/>
    </row>
    <row r="19" spans="1:7" ht="12.75">
      <c r="A19" s="359" t="s">
        <v>8</v>
      </c>
      <c r="B19" s="360"/>
      <c r="C19" s="360"/>
      <c r="D19" s="360"/>
      <c r="E19" s="3">
        <v>49716</v>
      </c>
      <c r="F19" s="3"/>
      <c r="G19" s="2"/>
    </row>
    <row r="20" spans="1:7" s="364" customFormat="1" ht="12.75">
      <c r="A20" s="361" t="s">
        <v>325</v>
      </c>
      <c r="B20" s="362"/>
      <c r="C20" s="362"/>
      <c r="D20" s="362"/>
      <c r="E20" s="363">
        <v>6486</v>
      </c>
      <c r="F20" s="363"/>
      <c r="G20" s="25"/>
    </row>
    <row r="21" spans="1:7" s="356" customFormat="1" ht="12.75">
      <c r="A21" s="359" t="s">
        <v>319</v>
      </c>
      <c r="B21" s="365"/>
      <c r="C21" s="365"/>
      <c r="D21" s="365"/>
      <c r="E21" s="366">
        <f>E19-E20</f>
        <v>43230</v>
      </c>
      <c r="F21" s="366"/>
      <c r="G21" s="5"/>
    </row>
    <row r="22" spans="1:7" ht="6.75" customHeight="1">
      <c r="A22" s="367"/>
      <c r="B22" s="360"/>
      <c r="C22" s="360"/>
      <c r="D22" s="360"/>
      <c r="E22" s="3"/>
      <c r="F22" s="3"/>
      <c r="G22" s="2"/>
    </row>
    <row r="23" spans="1:7" ht="12.75">
      <c r="A23" s="359" t="s">
        <v>326</v>
      </c>
      <c r="B23" s="360"/>
      <c r="C23" s="360"/>
      <c r="D23" s="360"/>
      <c r="E23" s="3">
        <v>85274</v>
      </c>
      <c r="F23" s="3"/>
      <c r="G23" s="2"/>
    </row>
    <row r="24" spans="1:7" ht="12.75">
      <c r="A24" s="367" t="s">
        <v>327</v>
      </c>
      <c r="B24" s="360"/>
      <c r="C24" s="360"/>
      <c r="D24" s="360"/>
      <c r="E24" s="3">
        <v>4438</v>
      </c>
      <c r="F24" s="3"/>
      <c r="G24" s="2"/>
    </row>
    <row r="25" spans="1:7" ht="12.75">
      <c r="A25" s="367" t="s">
        <v>328</v>
      </c>
      <c r="B25" s="360"/>
      <c r="C25" s="360"/>
      <c r="D25" s="360"/>
      <c r="E25" s="3">
        <v>2273</v>
      </c>
      <c r="F25" s="3"/>
      <c r="G25" s="2"/>
    </row>
    <row r="26" spans="1:7" s="10" customFormat="1" ht="13.5">
      <c r="A26" s="359" t="s">
        <v>319</v>
      </c>
      <c r="B26" s="368"/>
      <c r="C26" s="368"/>
      <c r="D26" s="368"/>
      <c r="E26" s="369">
        <f>E23-E24-E25</f>
        <v>78563</v>
      </c>
      <c r="F26" s="369"/>
      <c r="G26" s="370"/>
    </row>
    <row r="27" spans="1:7" ht="12.75">
      <c r="A27" s="367"/>
      <c r="B27" s="371"/>
      <c r="C27" s="371"/>
      <c r="D27" s="371"/>
      <c r="E27" s="3"/>
      <c r="F27" s="3"/>
      <c r="G27" s="2"/>
    </row>
    <row r="28" spans="1:7" ht="28.5" customHeight="1">
      <c r="A28" s="517" t="s">
        <v>329</v>
      </c>
      <c r="B28" s="517"/>
      <c r="C28" s="517"/>
      <c r="D28" s="517"/>
      <c r="E28" s="369">
        <f>E20+(E24+E25)*0.4</f>
        <v>9170.4</v>
      </c>
      <c r="F28" s="3"/>
      <c r="G28" s="2"/>
    </row>
    <row r="29" spans="1:4" ht="12.75">
      <c r="A29" s="346"/>
      <c r="B29" s="357"/>
      <c r="C29" s="357"/>
      <c r="D29" s="357"/>
    </row>
    <row r="30" spans="1:7" ht="13.5">
      <c r="A30" s="528" t="s">
        <v>330</v>
      </c>
      <c r="B30" s="520"/>
      <c r="C30" s="520"/>
      <c r="D30" s="520"/>
      <c r="E30" s="520"/>
      <c r="F30" s="520"/>
      <c r="G30" s="520"/>
    </row>
    <row r="31" spans="1:4" ht="27" customHeight="1">
      <c r="A31" s="532" t="s">
        <v>331</v>
      </c>
      <c r="B31" s="520"/>
      <c r="C31" s="520"/>
      <c r="D31" s="357"/>
    </row>
    <row r="32" spans="1:5" ht="12.75">
      <c r="A32" s="532" t="s">
        <v>332</v>
      </c>
      <c r="B32" s="520"/>
      <c r="C32" s="520"/>
      <c r="D32" s="520"/>
      <c r="E32" s="3">
        <v>24405</v>
      </c>
    </row>
    <row r="33" spans="1:4" ht="12.75">
      <c r="A33" s="346"/>
      <c r="B33" s="357"/>
      <c r="C33" s="357"/>
      <c r="D33" s="357"/>
    </row>
    <row r="34" spans="1:5" ht="13.5">
      <c r="A34" s="525" t="s">
        <v>321</v>
      </c>
      <c r="B34" s="526"/>
      <c r="C34" s="357"/>
      <c r="D34" s="357"/>
      <c r="E34" s="358">
        <f>E32</f>
        <v>24405</v>
      </c>
    </row>
    <row r="35" spans="1:4" ht="12.75">
      <c r="A35" s="346"/>
      <c r="B35" s="357"/>
      <c r="C35" s="357"/>
      <c r="D35" s="357"/>
    </row>
    <row r="36" spans="1:7" ht="13.5">
      <c r="A36" s="525" t="s">
        <v>333</v>
      </c>
      <c r="B36" s="526"/>
      <c r="C36" s="526"/>
      <c r="D36" s="526"/>
      <c r="E36" s="526"/>
      <c r="F36" s="526"/>
      <c r="G36" s="526"/>
    </row>
    <row r="37" spans="1:5" ht="12.75">
      <c r="A37" s="532" t="s">
        <v>334</v>
      </c>
      <c r="B37" s="520"/>
      <c r="C37" s="520"/>
      <c r="D37" s="357"/>
      <c r="E37" s="3">
        <v>1000</v>
      </c>
    </row>
    <row r="38" spans="1:5" ht="12.75">
      <c r="A38" s="346" t="s">
        <v>325</v>
      </c>
      <c r="B38" s="372"/>
      <c r="C38" s="372"/>
      <c r="D38" s="372"/>
      <c r="E38" s="3">
        <v>100</v>
      </c>
    </row>
    <row r="39" spans="1:6" s="10" customFormat="1" ht="13.5">
      <c r="A39" s="353" t="s">
        <v>319</v>
      </c>
      <c r="B39" s="373"/>
      <c r="C39" s="373"/>
      <c r="D39" s="373"/>
      <c r="E39" s="355">
        <f>E37-E38</f>
        <v>900</v>
      </c>
      <c r="F39" s="358"/>
    </row>
    <row r="40" spans="1:4" ht="12.75">
      <c r="A40" s="346"/>
      <c r="B40" s="357"/>
      <c r="C40" s="357"/>
      <c r="D40" s="357"/>
    </row>
    <row r="41" spans="1:5" ht="13.5">
      <c r="A41" s="525" t="s">
        <v>321</v>
      </c>
      <c r="B41" s="526"/>
      <c r="C41" s="357"/>
      <c r="D41" s="357"/>
      <c r="E41" s="358">
        <f>E38</f>
        <v>100</v>
      </c>
    </row>
    <row r="42" spans="1:4" ht="12.75">
      <c r="A42" s="346"/>
      <c r="B42" s="357"/>
      <c r="C42" s="357"/>
      <c r="D42" s="357"/>
    </row>
    <row r="43" spans="1:6" s="356" customFormat="1" ht="12.75">
      <c r="A43" s="530" t="s">
        <v>335</v>
      </c>
      <c r="B43" s="531"/>
      <c r="C43" s="531"/>
      <c r="D43" s="374"/>
      <c r="E43" s="355">
        <f>E41+E34+E28+E13</f>
        <v>90336.4</v>
      </c>
      <c r="F43" s="355"/>
    </row>
    <row r="44" spans="1:4" ht="12.75">
      <c r="A44" s="346"/>
      <c r="B44" s="357"/>
      <c r="C44" s="357"/>
      <c r="D44" s="357"/>
    </row>
  </sheetData>
  <sheetProtection/>
  <mergeCells count="19">
    <mergeCell ref="A30:G30"/>
    <mergeCell ref="A16:G16"/>
    <mergeCell ref="A43:C43"/>
    <mergeCell ref="A31:C31"/>
    <mergeCell ref="A32:D32"/>
    <mergeCell ref="A34:B34"/>
    <mergeCell ref="A36:G36"/>
    <mergeCell ref="A37:C37"/>
    <mergeCell ref="A41:B41"/>
    <mergeCell ref="A1:D1"/>
    <mergeCell ref="A28:D28"/>
    <mergeCell ref="B4:D4"/>
    <mergeCell ref="A3:G3"/>
    <mergeCell ref="A2:G2"/>
    <mergeCell ref="A18:G18"/>
    <mergeCell ref="A6:G6"/>
    <mergeCell ref="A7:D7"/>
    <mergeCell ref="A13:B13"/>
    <mergeCell ref="A15:G15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N1" sqref="AN1:AP16384"/>
    </sheetView>
  </sheetViews>
  <sheetFormatPr defaultColWidth="9.00390625" defaultRowHeight="12.75"/>
  <cols>
    <col min="1" max="1" width="27.875" style="375" customWidth="1"/>
    <col min="2" max="2" width="7.625" style="375" customWidth="1"/>
    <col min="3" max="3" width="7.875" style="375" customWidth="1"/>
    <col min="4" max="4" width="8.25390625" style="375" customWidth="1"/>
    <col min="5" max="6" width="7.375" style="375" customWidth="1"/>
    <col min="7" max="7" width="7.875" style="375" customWidth="1"/>
    <col min="8" max="8" width="7.25390625" style="375" customWidth="1"/>
    <col min="9" max="9" width="9.375" style="375" customWidth="1"/>
    <col min="10" max="10" width="10.625" style="375" customWidth="1"/>
    <col min="11" max="11" width="8.625" style="375" customWidth="1"/>
    <col min="12" max="12" width="9.75390625" style="375" customWidth="1"/>
    <col min="13" max="14" width="9.00390625" style="375" customWidth="1"/>
    <col min="15" max="15" width="12.125" style="375" customWidth="1"/>
    <col min="16" max="16" width="11.875" style="375" customWidth="1"/>
    <col min="17" max="16384" width="9.125" style="375" customWidth="1"/>
  </cols>
  <sheetData>
    <row r="1" ht="13.5">
      <c r="A1" s="16" t="s">
        <v>336</v>
      </c>
    </row>
    <row r="2" ht="13.5">
      <c r="A2" s="16"/>
    </row>
    <row r="3" spans="1:15" s="377" customFormat="1" ht="33" customHeight="1">
      <c r="A3" s="533" t="s">
        <v>337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376"/>
    </row>
    <row r="4" spans="14:15" s="378" customFormat="1" ht="9" customHeight="1">
      <c r="N4" s="379"/>
      <c r="O4" s="380"/>
    </row>
    <row r="5" spans="1:15" s="385" customFormat="1" ht="12.75">
      <c r="A5" s="381"/>
      <c r="B5" s="382" t="s">
        <v>338</v>
      </c>
      <c r="C5" s="382" t="s">
        <v>339</v>
      </c>
      <c r="D5" s="382" t="s">
        <v>340</v>
      </c>
      <c r="E5" s="382" t="s">
        <v>341</v>
      </c>
      <c r="F5" s="382" t="s">
        <v>342</v>
      </c>
      <c r="G5" s="382" t="s">
        <v>343</v>
      </c>
      <c r="H5" s="382" t="s">
        <v>344</v>
      </c>
      <c r="I5" s="382" t="s">
        <v>345</v>
      </c>
      <c r="J5" s="382" t="s">
        <v>346</v>
      </c>
      <c r="K5" s="382" t="s">
        <v>347</v>
      </c>
      <c r="L5" s="382" t="s">
        <v>348</v>
      </c>
      <c r="M5" s="382" t="s">
        <v>349</v>
      </c>
      <c r="N5" s="383" t="s">
        <v>3</v>
      </c>
      <c r="O5" s="384"/>
    </row>
    <row r="6" spans="1:15" s="378" customFormat="1" ht="12.75">
      <c r="A6" s="386" t="s">
        <v>350</v>
      </c>
      <c r="B6" s="387">
        <f>74066+27778+65000</f>
        <v>166844</v>
      </c>
      <c r="C6" s="387">
        <v>74062</v>
      </c>
      <c r="D6" s="387">
        <v>74062</v>
      </c>
      <c r="E6" s="387">
        <v>74062</v>
      </c>
      <c r="F6" s="387">
        <v>74062</v>
      </c>
      <c r="G6" s="387">
        <v>74062</v>
      </c>
      <c r="H6" s="387">
        <v>74062</v>
      </c>
      <c r="I6" s="387">
        <v>74062</v>
      </c>
      <c r="J6" s="387">
        <v>74062</v>
      </c>
      <c r="K6" s="387">
        <v>74062</v>
      </c>
      <c r="L6" s="387">
        <v>74062</v>
      </c>
      <c r="M6" s="387">
        <v>74061</v>
      </c>
      <c r="N6" s="388">
        <f aca="true" t="shared" si="0" ref="N6:N17">SUM(B6:M6)</f>
        <v>981525</v>
      </c>
      <c r="O6" s="380"/>
    </row>
    <row r="7" spans="1:15" s="378" customFormat="1" ht="12.75">
      <c r="A7" s="386" t="s">
        <v>351</v>
      </c>
      <c r="B7" s="389">
        <v>500</v>
      </c>
      <c r="C7" s="389">
        <v>500</v>
      </c>
      <c r="D7" s="387">
        <v>205000</v>
      </c>
      <c r="E7" s="387">
        <v>4500</v>
      </c>
      <c r="F7" s="387">
        <v>5000</v>
      </c>
      <c r="G7" s="387">
        <v>5000</v>
      </c>
      <c r="H7" s="387">
        <v>5000</v>
      </c>
      <c r="I7" s="387">
        <v>5000</v>
      </c>
      <c r="J7" s="387">
        <v>205000</v>
      </c>
      <c r="K7" s="387">
        <v>3900</v>
      </c>
      <c r="L7" s="387">
        <v>1371</v>
      </c>
      <c r="M7" s="387">
        <f>15011-804</f>
        <v>14207</v>
      </c>
      <c r="N7" s="388">
        <f t="shared" si="0"/>
        <v>454978</v>
      </c>
      <c r="O7" s="380"/>
    </row>
    <row r="8" spans="1:15" s="378" customFormat="1" ht="15" customHeight="1">
      <c r="A8" s="390" t="s">
        <v>352</v>
      </c>
      <c r="B8" s="387">
        <v>12581</v>
      </c>
      <c r="C8" s="387">
        <v>12581</v>
      </c>
      <c r="D8" s="387">
        <v>12581</v>
      </c>
      <c r="E8" s="387">
        <v>16081</v>
      </c>
      <c r="F8" s="387">
        <v>17200</v>
      </c>
      <c r="G8" s="387">
        <v>28200</v>
      </c>
      <c r="H8" s="387">
        <v>32000</v>
      </c>
      <c r="I8" s="387">
        <v>30000</v>
      </c>
      <c r="J8" s="387">
        <v>17094</v>
      </c>
      <c r="K8" s="387">
        <v>12580</v>
      </c>
      <c r="L8" s="387">
        <v>11085</v>
      </c>
      <c r="M8" s="387">
        <v>11000</v>
      </c>
      <c r="N8" s="388">
        <f t="shared" si="0"/>
        <v>212983</v>
      </c>
      <c r="O8" s="380"/>
    </row>
    <row r="9" spans="1:15" s="378" customFormat="1" ht="12.75">
      <c r="A9" s="386" t="s">
        <v>353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88">
        <f t="shared" si="0"/>
        <v>0</v>
      </c>
      <c r="O9" s="380"/>
    </row>
    <row r="10" spans="1:15" s="378" customFormat="1" ht="12.75">
      <c r="A10" s="386" t="s">
        <v>354</v>
      </c>
      <c r="B10" s="391">
        <v>2380</v>
      </c>
      <c r="C10" s="391"/>
      <c r="D10" s="391"/>
      <c r="E10" s="391">
        <v>100000</v>
      </c>
      <c r="F10" s="391"/>
      <c r="G10" s="391"/>
      <c r="H10" s="391">
        <v>1293</v>
      </c>
      <c r="I10" s="391"/>
      <c r="J10" s="391"/>
      <c r="K10" s="391">
        <v>17860</v>
      </c>
      <c r="L10" s="391"/>
      <c r="M10" s="391"/>
      <c r="N10" s="388">
        <f t="shared" si="0"/>
        <v>121533</v>
      </c>
      <c r="O10" s="380"/>
    </row>
    <row r="11" spans="1:15" s="378" customFormat="1" ht="12.75">
      <c r="A11" s="386" t="s">
        <v>355</v>
      </c>
      <c r="B11" s="387"/>
      <c r="C11" s="387">
        <v>4000</v>
      </c>
      <c r="D11" s="387">
        <v>5000</v>
      </c>
      <c r="E11" s="387">
        <v>5000</v>
      </c>
      <c r="F11" s="387"/>
      <c r="G11" s="387">
        <v>7000</v>
      </c>
      <c r="H11" s="387">
        <v>10000</v>
      </c>
      <c r="I11" s="387">
        <v>10000</v>
      </c>
      <c r="J11" s="387">
        <v>26248</v>
      </c>
      <c r="K11" s="387">
        <v>10000</v>
      </c>
      <c r="L11" s="387">
        <v>5000</v>
      </c>
      <c r="M11" s="387">
        <v>5000</v>
      </c>
      <c r="N11" s="388">
        <f t="shared" si="0"/>
        <v>87248</v>
      </c>
      <c r="O11" s="380"/>
    </row>
    <row r="12" spans="1:15" s="378" customFormat="1" ht="25.5">
      <c r="A12" s="390" t="s">
        <v>356</v>
      </c>
      <c r="B12" s="387">
        <v>1113</v>
      </c>
      <c r="C12" s="387">
        <v>1114</v>
      </c>
      <c r="D12" s="387">
        <v>1113</v>
      </c>
      <c r="E12" s="387">
        <v>1113</v>
      </c>
      <c r="F12" s="387">
        <v>1113</v>
      </c>
      <c r="G12" s="387">
        <v>1113</v>
      </c>
      <c r="H12" s="387">
        <v>1113</v>
      </c>
      <c r="I12" s="387">
        <v>1113</v>
      </c>
      <c r="J12" s="387">
        <v>1113</v>
      </c>
      <c r="K12" s="387">
        <v>1113</v>
      </c>
      <c r="L12" s="387">
        <v>1113</v>
      </c>
      <c r="M12" s="387">
        <v>1113</v>
      </c>
      <c r="N12" s="388">
        <f t="shared" si="0"/>
        <v>13357</v>
      </c>
      <c r="O12" s="380"/>
    </row>
    <row r="13" spans="1:15" s="378" customFormat="1" ht="15" customHeight="1">
      <c r="A13" s="392" t="s">
        <v>357</v>
      </c>
      <c r="B13" s="388">
        <f aca="true" t="shared" si="1" ref="B13:M13">B6+B7+B8+B9+B10+B11+B12</f>
        <v>183418</v>
      </c>
      <c r="C13" s="388">
        <f t="shared" si="1"/>
        <v>92257</v>
      </c>
      <c r="D13" s="388">
        <f t="shared" si="1"/>
        <v>297756</v>
      </c>
      <c r="E13" s="388">
        <f t="shared" si="1"/>
        <v>200756</v>
      </c>
      <c r="F13" s="388">
        <f t="shared" si="1"/>
        <v>97375</v>
      </c>
      <c r="G13" s="388">
        <f t="shared" si="1"/>
        <v>115375</v>
      </c>
      <c r="H13" s="388">
        <f t="shared" si="1"/>
        <v>123468</v>
      </c>
      <c r="I13" s="388">
        <f t="shared" si="1"/>
        <v>120175</v>
      </c>
      <c r="J13" s="388">
        <f t="shared" si="1"/>
        <v>323517</v>
      </c>
      <c r="K13" s="388">
        <f t="shared" si="1"/>
        <v>119515</v>
      </c>
      <c r="L13" s="388">
        <f t="shared" si="1"/>
        <v>92631</v>
      </c>
      <c r="M13" s="388">
        <f t="shared" si="1"/>
        <v>105381</v>
      </c>
      <c r="N13" s="388">
        <f t="shared" si="0"/>
        <v>1871624</v>
      </c>
      <c r="O13" s="380"/>
    </row>
    <row r="14" spans="1:15" s="378" customFormat="1" ht="17.25" customHeight="1">
      <c r="A14" s="392" t="s">
        <v>358</v>
      </c>
      <c r="B14" s="388">
        <f aca="true" t="shared" si="2" ref="B14:M14">B13-B28</f>
        <v>51240</v>
      </c>
      <c r="C14" s="388">
        <f t="shared" si="2"/>
        <v>-36910</v>
      </c>
      <c r="D14" s="388">
        <f t="shared" si="2"/>
        <v>116469</v>
      </c>
      <c r="E14" s="388">
        <f t="shared" si="2"/>
        <v>55103</v>
      </c>
      <c r="F14" s="388">
        <f t="shared" si="2"/>
        <v>-56793</v>
      </c>
      <c r="G14" s="388">
        <f t="shared" si="2"/>
        <v>-49948</v>
      </c>
      <c r="H14" s="388">
        <f t="shared" si="2"/>
        <v>-40897</v>
      </c>
      <c r="I14" s="388">
        <f t="shared" si="2"/>
        <v>-33167</v>
      </c>
      <c r="J14" s="388">
        <f t="shared" si="2"/>
        <v>116764</v>
      </c>
      <c r="K14" s="388">
        <f t="shared" si="2"/>
        <v>-44849</v>
      </c>
      <c r="L14" s="388">
        <f t="shared" si="2"/>
        <v>-77631</v>
      </c>
      <c r="M14" s="388">
        <f t="shared" si="2"/>
        <v>-75588</v>
      </c>
      <c r="N14" s="388">
        <f t="shared" si="0"/>
        <v>-76207</v>
      </c>
      <c r="O14" s="380"/>
    </row>
    <row r="15" spans="1:15" s="378" customFormat="1" ht="25.5">
      <c r="A15" s="390" t="s">
        <v>359</v>
      </c>
      <c r="B15" s="387"/>
      <c r="C15" s="387"/>
      <c r="D15" s="387"/>
      <c r="E15" s="387"/>
      <c r="F15" s="387">
        <v>105275</v>
      </c>
      <c r="G15" s="387"/>
      <c r="H15" s="387"/>
      <c r="I15" s="387"/>
      <c r="J15" s="387"/>
      <c r="K15" s="387"/>
      <c r="L15" s="387"/>
      <c r="M15" s="387"/>
      <c r="N15" s="388">
        <f t="shared" si="0"/>
        <v>105275</v>
      </c>
      <c r="O15" s="380"/>
    </row>
    <row r="16" spans="1:15" s="378" customFormat="1" ht="25.5">
      <c r="A16" s="390" t="s">
        <v>360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8">
        <f t="shared" si="0"/>
        <v>0</v>
      </c>
      <c r="O16" s="380"/>
    </row>
    <row r="17" spans="1:15" s="378" customFormat="1" ht="25.5">
      <c r="A17" s="390" t="s">
        <v>361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8">
        <f t="shared" si="0"/>
        <v>0</v>
      </c>
      <c r="O17" s="380"/>
    </row>
    <row r="18" spans="1:15" s="378" customFormat="1" ht="21.75" customHeight="1">
      <c r="A18" s="392" t="s">
        <v>362</v>
      </c>
      <c r="B18" s="388">
        <f aca="true" t="shared" si="3" ref="B18:N18">B13+B15+B17</f>
        <v>183418</v>
      </c>
      <c r="C18" s="388">
        <f t="shared" si="3"/>
        <v>92257</v>
      </c>
      <c r="D18" s="388">
        <f t="shared" si="3"/>
        <v>297756</v>
      </c>
      <c r="E18" s="388">
        <f t="shared" si="3"/>
        <v>200756</v>
      </c>
      <c r="F18" s="388">
        <f t="shared" si="3"/>
        <v>202650</v>
      </c>
      <c r="G18" s="388">
        <f t="shared" si="3"/>
        <v>115375</v>
      </c>
      <c r="H18" s="388">
        <f t="shared" si="3"/>
        <v>123468</v>
      </c>
      <c r="I18" s="388">
        <f t="shared" si="3"/>
        <v>120175</v>
      </c>
      <c r="J18" s="388">
        <f t="shared" si="3"/>
        <v>323517</v>
      </c>
      <c r="K18" s="388">
        <f t="shared" si="3"/>
        <v>119515</v>
      </c>
      <c r="L18" s="388">
        <f t="shared" si="3"/>
        <v>92631</v>
      </c>
      <c r="M18" s="388">
        <f t="shared" si="3"/>
        <v>105381</v>
      </c>
      <c r="N18" s="388">
        <f t="shared" si="3"/>
        <v>1976899</v>
      </c>
      <c r="O18" s="380"/>
    </row>
    <row r="19" spans="1:15" s="378" customFormat="1" ht="12.75">
      <c r="A19" s="393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5"/>
      <c r="O19" s="380"/>
    </row>
    <row r="20" spans="1:16" s="379" customFormat="1" ht="12.75">
      <c r="A20" s="386" t="s">
        <v>363</v>
      </c>
      <c r="B20" s="387">
        <v>35412</v>
      </c>
      <c r="C20" s="387">
        <v>35412</v>
      </c>
      <c r="D20" s="387">
        <f>35412+7748</f>
        <v>43160</v>
      </c>
      <c r="E20" s="387">
        <v>35410</v>
      </c>
      <c r="F20" s="387">
        <v>35411</v>
      </c>
      <c r="G20" s="387">
        <v>35410</v>
      </c>
      <c r="H20" s="387">
        <v>35410</v>
      </c>
      <c r="I20" s="387">
        <f>35412+1513</f>
        <v>36925</v>
      </c>
      <c r="J20" s="387">
        <v>35410</v>
      </c>
      <c r="K20" s="387">
        <v>35410</v>
      </c>
      <c r="L20" s="387">
        <f>35412+803</f>
        <v>36215</v>
      </c>
      <c r="M20" s="387">
        <v>35411</v>
      </c>
      <c r="N20" s="388">
        <f aca="true" t="shared" si="4" ref="N20:N27">SUM(B20:M20)</f>
        <v>434996</v>
      </c>
      <c r="O20" s="396"/>
      <c r="P20" s="396"/>
    </row>
    <row r="21" spans="1:16" s="379" customFormat="1" ht="12.75">
      <c r="A21" s="386" t="s">
        <v>364</v>
      </c>
      <c r="B21" s="387">
        <v>8471</v>
      </c>
      <c r="C21" s="387">
        <v>8471</v>
      </c>
      <c r="D21" s="387">
        <v>10324</v>
      </c>
      <c r="E21" s="387">
        <v>8470</v>
      </c>
      <c r="F21" s="387">
        <v>8471</v>
      </c>
      <c r="G21" s="387">
        <v>8471</v>
      </c>
      <c r="H21" s="387">
        <v>8471</v>
      </c>
      <c r="I21" s="387">
        <v>8833</v>
      </c>
      <c r="J21" s="387">
        <v>8470</v>
      </c>
      <c r="K21" s="387">
        <v>8470</v>
      </c>
      <c r="L21" s="387">
        <v>8663</v>
      </c>
      <c r="M21" s="387">
        <v>8471</v>
      </c>
      <c r="N21" s="388">
        <f t="shared" si="4"/>
        <v>104056</v>
      </c>
      <c r="O21" s="396"/>
      <c r="P21" s="396"/>
    </row>
    <row r="22" spans="1:16" s="379" customFormat="1" ht="12.75">
      <c r="A22" s="386" t="s">
        <v>365</v>
      </c>
      <c r="B22" s="387">
        <v>58000</v>
      </c>
      <c r="C22" s="387">
        <v>58000</v>
      </c>
      <c r="D22" s="387">
        <v>58000</v>
      </c>
      <c r="E22" s="387">
        <v>62000</v>
      </c>
      <c r="F22" s="387">
        <v>63000</v>
      </c>
      <c r="G22" s="387">
        <v>66000</v>
      </c>
      <c r="H22" s="387">
        <v>66000</v>
      </c>
      <c r="I22" s="387">
        <v>66000</v>
      </c>
      <c r="J22" s="387">
        <v>66000</v>
      </c>
      <c r="K22" s="387">
        <v>66000</v>
      </c>
      <c r="L22" s="387">
        <v>58000</v>
      </c>
      <c r="M22" s="387">
        <v>57617</v>
      </c>
      <c r="N22" s="388">
        <f t="shared" si="4"/>
        <v>744617</v>
      </c>
      <c r="O22" s="396"/>
      <c r="P22" s="396"/>
    </row>
    <row r="23" spans="1:15" s="379" customFormat="1" ht="12.75">
      <c r="A23" s="386" t="s">
        <v>366</v>
      </c>
      <c r="B23" s="386">
        <v>2100</v>
      </c>
      <c r="C23" s="386">
        <v>2100</v>
      </c>
      <c r="D23" s="386">
        <v>2000</v>
      </c>
      <c r="E23" s="386">
        <v>2000</v>
      </c>
      <c r="F23" s="386">
        <v>2000</v>
      </c>
      <c r="G23" s="386">
        <v>2000</v>
      </c>
      <c r="H23" s="386">
        <v>2000</v>
      </c>
      <c r="I23" s="386">
        <v>3100</v>
      </c>
      <c r="J23" s="386">
        <v>2000</v>
      </c>
      <c r="K23" s="386">
        <v>2000</v>
      </c>
      <c r="L23" s="386">
        <f>3100+200</f>
        <v>3300</v>
      </c>
      <c r="M23" s="386">
        <v>2200</v>
      </c>
      <c r="N23" s="388">
        <f t="shared" si="4"/>
        <v>26800</v>
      </c>
      <c r="O23" s="396"/>
    </row>
    <row r="24" spans="1:15" s="379" customFormat="1" ht="12.75">
      <c r="A24" s="386" t="s">
        <v>367</v>
      </c>
      <c r="B24" s="387">
        <v>22484</v>
      </c>
      <c r="C24" s="387">
        <f>22484+1200</f>
        <v>23684</v>
      </c>
      <c r="D24" s="387">
        <f>22484+11600+21789</f>
        <v>55873</v>
      </c>
      <c r="E24" s="387">
        <f>22484+299</f>
        <v>22783</v>
      </c>
      <c r="F24" s="387">
        <f>22484+1000</f>
        <v>23484</v>
      </c>
      <c r="G24" s="387">
        <f>22484+11600</f>
        <v>34084</v>
      </c>
      <c r="H24" s="387">
        <v>22484</v>
      </c>
      <c r="I24" s="387">
        <f>22484+1000</f>
        <v>23484</v>
      </c>
      <c r="J24" s="387">
        <f>22484+11600+21789</f>
        <v>55873</v>
      </c>
      <c r="K24" s="387">
        <v>22484</v>
      </c>
      <c r="L24" s="387">
        <f>22484+11600</f>
        <v>34084</v>
      </c>
      <c r="M24" s="387">
        <f>22484+31664</f>
        <v>54148</v>
      </c>
      <c r="N24" s="388">
        <f t="shared" si="4"/>
        <v>394949</v>
      </c>
      <c r="O24" s="396"/>
    </row>
    <row r="25" spans="1:15" s="378" customFormat="1" ht="12.75">
      <c r="A25" s="386" t="s">
        <v>368</v>
      </c>
      <c r="B25" s="391"/>
      <c r="C25" s="391">
        <v>1500</v>
      </c>
      <c r="D25" s="391">
        <v>5000</v>
      </c>
      <c r="E25" s="391">
        <v>6000</v>
      </c>
      <c r="F25" s="391">
        <v>6000</v>
      </c>
      <c r="G25" s="391">
        <v>8000</v>
      </c>
      <c r="H25" s="391">
        <v>25000</v>
      </c>
      <c r="I25" s="391">
        <v>10000</v>
      </c>
      <c r="J25" s="391">
        <v>29000</v>
      </c>
      <c r="K25" s="391">
        <v>25000</v>
      </c>
      <c r="L25" s="391">
        <v>25000</v>
      </c>
      <c r="M25" s="391">
        <v>19680</v>
      </c>
      <c r="N25" s="388">
        <f t="shared" si="4"/>
        <v>160180</v>
      </c>
      <c r="O25" s="380"/>
    </row>
    <row r="26" spans="1:15" s="379" customFormat="1" ht="12.75">
      <c r="A26" s="386" t="s">
        <v>369</v>
      </c>
      <c r="B26" s="387">
        <v>5711</v>
      </c>
      <c r="C26" s="387"/>
      <c r="D26" s="387">
        <v>5300</v>
      </c>
      <c r="E26" s="387">
        <v>8800</v>
      </c>
      <c r="F26" s="387">
        <v>10000</v>
      </c>
      <c r="G26" s="387">
        <v>10000</v>
      </c>
      <c r="H26" s="387">
        <v>5000</v>
      </c>
      <c r="I26" s="387">
        <v>5000</v>
      </c>
      <c r="J26" s="387">
        <v>10000</v>
      </c>
      <c r="K26" s="387">
        <v>5000</v>
      </c>
      <c r="L26" s="387">
        <v>5000</v>
      </c>
      <c r="M26" s="387">
        <v>3442</v>
      </c>
      <c r="N26" s="388">
        <f t="shared" si="4"/>
        <v>73253</v>
      </c>
      <c r="O26" s="396"/>
    </row>
    <row r="27" spans="1:15" s="378" customFormat="1" ht="12.75">
      <c r="A27" s="386" t="s">
        <v>370</v>
      </c>
      <c r="B27" s="386"/>
      <c r="C27" s="386"/>
      <c r="D27" s="386">
        <v>1630</v>
      </c>
      <c r="E27" s="386">
        <v>190</v>
      </c>
      <c r="F27" s="386">
        <v>5802</v>
      </c>
      <c r="G27" s="386">
        <v>1358</v>
      </c>
      <c r="H27" s="386"/>
      <c r="I27" s="386"/>
      <c r="J27" s="386"/>
      <c r="K27" s="386"/>
      <c r="L27" s="386"/>
      <c r="M27" s="386"/>
      <c r="N27" s="388">
        <f t="shared" si="4"/>
        <v>8980</v>
      </c>
      <c r="O27" s="380"/>
    </row>
    <row r="28" spans="1:15" s="378" customFormat="1" ht="12.75">
      <c r="A28" s="392" t="s">
        <v>371</v>
      </c>
      <c r="B28" s="388">
        <f aca="true" t="shared" si="5" ref="B28:N28">B20+B21+B22+B23+B24+B25+B26+B27</f>
        <v>132178</v>
      </c>
      <c r="C28" s="388">
        <f t="shared" si="5"/>
        <v>129167</v>
      </c>
      <c r="D28" s="388">
        <f t="shared" si="5"/>
        <v>181287</v>
      </c>
      <c r="E28" s="388">
        <f t="shared" si="5"/>
        <v>145653</v>
      </c>
      <c r="F28" s="388">
        <f t="shared" si="5"/>
        <v>154168</v>
      </c>
      <c r="G28" s="388">
        <f t="shared" si="5"/>
        <v>165323</v>
      </c>
      <c r="H28" s="388">
        <f t="shared" si="5"/>
        <v>164365</v>
      </c>
      <c r="I28" s="388">
        <f t="shared" si="5"/>
        <v>153342</v>
      </c>
      <c r="J28" s="388">
        <f t="shared" si="5"/>
        <v>206753</v>
      </c>
      <c r="K28" s="388">
        <f t="shared" si="5"/>
        <v>164364</v>
      </c>
      <c r="L28" s="388">
        <f t="shared" si="5"/>
        <v>170262</v>
      </c>
      <c r="M28" s="388">
        <f t="shared" si="5"/>
        <v>180969</v>
      </c>
      <c r="N28" s="388">
        <f t="shared" si="5"/>
        <v>1947831</v>
      </c>
      <c r="O28" s="380"/>
    </row>
    <row r="29" spans="1:15" s="378" customFormat="1" ht="24.75" customHeight="1">
      <c r="A29" s="390" t="s">
        <v>372</v>
      </c>
      <c r="B29" s="387">
        <v>29068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8">
        <f>SUM(B29:M29)</f>
        <v>29068</v>
      </c>
      <c r="O29" s="380"/>
    </row>
    <row r="30" spans="1:15" s="378" customFormat="1" ht="12.75">
      <c r="A30" s="392" t="s">
        <v>373</v>
      </c>
      <c r="B30" s="388">
        <f aca="true" t="shared" si="6" ref="B30:N30">B28+B29</f>
        <v>161246</v>
      </c>
      <c r="C30" s="388">
        <f t="shared" si="6"/>
        <v>129167</v>
      </c>
      <c r="D30" s="388">
        <f t="shared" si="6"/>
        <v>181287</v>
      </c>
      <c r="E30" s="388">
        <f t="shared" si="6"/>
        <v>145653</v>
      </c>
      <c r="F30" s="388">
        <f t="shared" si="6"/>
        <v>154168</v>
      </c>
      <c r="G30" s="388">
        <f t="shared" si="6"/>
        <v>165323</v>
      </c>
      <c r="H30" s="388">
        <f t="shared" si="6"/>
        <v>164365</v>
      </c>
      <c r="I30" s="388">
        <f t="shared" si="6"/>
        <v>153342</v>
      </c>
      <c r="J30" s="388">
        <f t="shared" si="6"/>
        <v>206753</v>
      </c>
      <c r="K30" s="388">
        <f t="shared" si="6"/>
        <v>164364</v>
      </c>
      <c r="L30" s="388">
        <f t="shared" si="6"/>
        <v>170262</v>
      </c>
      <c r="M30" s="388">
        <f t="shared" si="6"/>
        <v>180969</v>
      </c>
      <c r="N30" s="388">
        <f t="shared" si="6"/>
        <v>1976899</v>
      </c>
      <c r="O30" s="380"/>
    </row>
  </sheetData>
  <sheetProtection/>
  <mergeCells count="1">
    <mergeCell ref="A3:N3"/>
  </mergeCells>
  <printOptions/>
  <pageMargins left="0.49" right="0.57" top="0.42" bottom="0.4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2017-02-10T08:11:38Z</cp:lastPrinted>
  <dcterms:created xsi:type="dcterms:W3CDTF">2007-11-15T07:32:30Z</dcterms:created>
  <dcterms:modified xsi:type="dcterms:W3CDTF">2017-03-20T09:49:48Z</dcterms:modified>
  <cp:category/>
  <cp:version/>
  <cp:contentType/>
  <cp:contentStatus/>
</cp:coreProperties>
</file>