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Éva\Desktop\2016.évi jk\2018\2018.03.05\"/>
    </mc:Choice>
  </mc:AlternateContent>
  <xr:revisionPtr revIDLastSave="0" documentId="12_ncr:500000_{1CDC2ADA-E5D3-44BC-9B47-6086F068EDE1}" xr6:coauthVersionLast="31" xr6:coauthVersionMax="31" xr10:uidLastSave="{00000000-0000-0000-0000-000000000000}"/>
  <bookViews>
    <workbookView xWindow="0" yWindow="0" windowWidth="28800" windowHeight="12216" firstSheet="8" activeTab="14" xr2:uid="{00000000-000D-0000-FFFF-FFFF00000000}"/>
  </bookViews>
  <sheets>
    <sheet name="1 . melléklet" sheetId="17" r:id="rId1"/>
    <sheet name="2 melléklet" sheetId="18" r:id="rId2"/>
    <sheet name="3 melléklet" sheetId="1" r:id="rId3"/>
    <sheet name="4 melléklet" sheetId="2" r:id="rId4"/>
    <sheet name="5 melléklet" sheetId="3" r:id="rId5"/>
    <sheet name="6 melléklet" sheetId="5" r:id="rId6"/>
    <sheet name="7 melléklet" sheetId="20" r:id="rId7"/>
    <sheet name="8 melléklet" sheetId="6" r:id="rId8"/>
    <sheet name="9 melléklet" sheetId="9" r:id="rId9"/>
    <sheet name="10 melléklet" sheetId="10" r:id="rId10"/>
    <sheet name="11_ melléklet" sheetId="21" r:id="rId11"/>
    <sheet name="12_melléklet" sheetId="22" r:id="rId12"/>
    <sheet name="13_ melléklet" sheetId="15" r:id="rId13"/>
    <sheet name="14 melléklet" sheetId="16" r:id="rId14"/>
    <sheet name="15 melléklet" sheetId="14" r:id="rId15"/>
  </sheets>
  <definedNames>
    <definedName name="_xlnm.Print_Area" localSheetId="0">'1 . melléklet'!$A$1:$D$55</definedName>
    <definedName name="_xlnm.Print_Area" localSheetId="9">'10 melléklet'!$A$1:$P$27</definedName>
    <definedName name="_xlnm.Print_Area" localSheetId="10">'11_ melléklet'!$A$1:$D$61</definedName>
    <definedName name="_xlnm.Print_Area" localSheetId="14">'15 melléklet'!$A$1:$Q$54</definedName>
    <definedName name="_xlnm.Print_Area" localSheetId="1">'2 melléklet'!$A$1:$D$56</definedName>
    <definedName name="_xlnm.Print_Area" localSheetId="2">'3 melléklet'!$A$1:$D$99</definedName>
    <definedName name="_xlnm.Print_Area" localSheetId="3">'4 melléklet'!$A$1:$D$72</definedName>
    <definedName name="_xlnm.Print_Area" localSheetId="6">'7 melléklet'!$A$1:$D$35</definedName>
    <definedName name="_xlnm.Print_Area" localSheetId="8">'9 melléklet'!$A$1:$D$60</definedName>
  </definedNames>
  <calcPr calcId="162913"/>
</workbook>
</file>

<file path=xl/calcChain.xml><?xml version="1.0" encoding="utf-8"?>
<calcChain xmlns="http://schemas.openxmlformats.org/spreadsheetml/2006/main">
  <c r="E7" i="14" l="1"/>
  <c r="F7" i="14"/>
  <c r="C57" i="2"/>
  <c r="C56" i="2"/>
  <c r="D7" i="14"/>
  <c r="D33" i="14"/>
  <c r="D25" i="14"/>
  <c r="C30" i="14"/>
  <c r="C7" i="14"/>
  <c r="F29" i="14"/>
  <c r="F13" i="14"/>
  <c r="D27" i="14"/>
  <c r="D50" i="14"/>
  <c r="E50" i="14"/>
  <c r="F50" i="14"/>
  <c r="F8" i="14"/>
  <c r="E8" i="14"/>
  <c r="D8" i="14"/>
  <c r="D11" i="14"/>
  <c r="C13" i="14"/>
  <c r="F31" i="14"/>
  <c r="C29" i="14"/>
  <c r="C22" i="14"/>
  <c r="F15" i="14"/>
  <c r="C24" i="14"/>
  <c r="I48" i="14"/>
  <c r="I13" i="14"/>
  <c r="H29" i="14"/>
  <c r="J13" i="14"/>
  <c r="J7" i="14"/>
  <c r="H31" i="14"/>
  <c r="I31" i="14"/>
  <c r="J45" i="14"/>
  <c r="J29" i="14"/>
  <c r="J27" i="14"/>
  <c r="K13" i="14"/>
  <c r="P37" i="14"/>
  <c r="G25" i="14"/>
  <c r="I29" i="14"/>
  <c r="I15" i="14"/>
  <c r="H30" i="14"/>
  <c r="H24" i="14"/>
  <c r="H21" i="14"/>
  <c r="H22" i="14"/>
  <c r="G33" i="14"/>
  <c r="B52" i="16"/>
  <c r="K45" i="16"/>
  <c r="B48" i="16"/>
  <c r="B18" i="16"/>
  <c r="G16" i="16"/>
  <c r="B24" i="16"/>
  <c r="M16" i="16"/>
  <c r="M14" i="16" s="1"/>
  <c r="I22" i="22"/>
  <c r="F22" i="22"/>
  <c r="C22" i="22"/>
  <c r="C25" i="22"/>
  <c r="C49" i="21"/>
  <c r="C48" i="21"/>
  <c r="C47" i="21"/>
  <c r="C26" i="21"/>
  <c r="C22" i="21"/>
  <c r="C21" i="21"/>
  <c r="C19" i="21" s="1"/>
  <c r="L21" i="10"/>
  <c r="L24" i="10" s="1"/>
  <c r="K24" i="10"/>
  <c r="I21" i="10"/>
  <c r="C21" i="10"/>
  <c r="I23" i="10"/>
  <c r="F21" i="10"/>
  <c r="C22" i="10"/>
  <c r="I22" i="10"/>
  <c r="F23" i="10"/>
  <c r="C23" i="10"/>
  <c r="F11" i="6"/>
  <c r="F27" i="6"/>
  <c r="I11" i="6"/>
  <c r="C11" i="6"/>
  <c r="I37" i="6"/>
  <c r="I13" i="6"/>
  <c r="C27" i="6"/>
  <c r="C33" i="20"/>
  <c r="C10" i="20"/>
  <c r="C13" i="5"/>
  <c r="C9" i="20"/>
  <c r="C8" i="20"/>
  <c r="C10" i="5"/>
  <c r="C58" i="5"/>
  <c r="C28" i="20"/>
  <c r="C29" i="20"/>
  <c r="C56" i="5"/>
  <c r="C55" i="5" s="1"/>
  <c r="C32" i="5"/>
  <c r="C41" i="5"/>
  <c r="C61" i="2"/>
  <c r="D55" i="18"/>
  <c r="C49" i="18"/>
  <c r="C46" i="9"/>
  <c r="C47" i="9"/>
  <c r="C48" i="9"/>
  <c r="C50" i="9"/>
  <c r="C25" i="9"/>
  <c r="C22" i="9"/>
  <c r="C23" i="18"/>
  <c r="C23" i="3"/>
  <c r="C13" i="3"/>
  <c r="C16" i="2"/>
  <c r="C55" i="2" l="1"/>
  <c r="F38" i="14"/>
  <c r="F52" i="14" s="1"/>
  <c r="C11" i="2" l="1"/>
  <c r="C12" i="2"/>
  <c r="C13" i="2"/>
  <c r="C35" i="2"/>
  <c r="C15" i="2"/>
  <c r="C29" i="2"/>
  <c r="C49" i="2"/>
  <c r="C48" i="2"/>
  <c r="C62" i="2" l="1"/>
  <c r="C59" i="2"/>
  <c r="C40" i="2"/>
  <c r="C78" i="1"/>
  <c r="C77" i="1" s="1"/>
  <c r="C74" i="1"/>
  <c r="C72" i="1" s="1"/>
  <c r="C69" i="1"/>
  <c r="C68" i="1" s="1"/>
  <c r="C51" i="1"/>
  <c r="C62" i="1"/>
  <c r="C61" i="1" s="1"/>
  <c r="C58" i="1"/>
  <c r="C57" i="1"/>
  <c r="C55" i="1"/>
  <c r="C46" i="1"/>
  <c r="C45" i="1"/>
  <c r="C40" i="1"/>
  <c r="C39" i="1" s="1"/>
  <c r="C38" i="1"/>
  <c r="C37" i="1"/>
  <c r="C36" i="1"/>
  <c r="C35" i="1"/>
  <c r="C29" i="1"/>
  <c r="C26" i="1" s="1"/>
  <c r="C24" i="1"/>
  <c r="C19" i="1"/>
  <c r="C18" i="1"/>
  <c r="C16" i="1"/>
  <c r="C15" i="1"/>
  <c r="C13" i="1"/>
  <c r="C12" i="1"/>
  <c r="Q9" i="14"/>
  <c r="Q10" i="14"/>
  <c r="Q11" i="14"/>
  <c r="Q12" i="14"/>
  <c r="Q14" i="14"/>
  <c r="Q15" i="14"/>
  <c r="Q16" i="14"/>
  <c r="Q17" i="14"/>
  <c r="Q19" i="14"/>
  <c r="Q22" i="14"/>
  <c r="Q23" i="14"/>
  <c r="Q26" i="14"/>
  <c r="Q28" i="14"/>
  <c r="Q29" i="14"/>
  <c r="Q32" i="14"/>
  <c r="Q34" i="14"/>
  <c r="Q35" i="14"/>
  <c r="Q36" i="14"/>
  <c r="Q37" i="14"/>
  <c r="G45" i="14"/>
  <c r="G50" i="14" s="1"/>
  <c r="C45" i="14"/>
  <c r="G27" i="14"/>
  <c r="Q30" i="14"/>
  <c r="D31" i="14"/>
  <c r="G7" i="14"/>
  <c r="C48" i="18"/>
  <c r="D48" i="18" s="1"/>
  <c r="C46" i="18"/>
  <c r="C30" i="18"/>
  <c r="C27" i="18"/>
  <c r="D27" i="18" s="1"/>
  <c r="C24" i="18"/>
  <c r="D24" i="18" s="1"/>
  <c r="D46" i="18"/>
  <c r="C43" i="18"/>
  <c r="C42" i="18"/>
  <c r="I25" i="22"/>
  <c r="L25" i="22" s="1"/>
  <c r="I21" i="22"/>
  <c r="F21" i="22"/>
  <c r="F27" i="22" s="1"/>
  <c r="C25" i="21"/>
  <c r="C29" i="21" s="1"/>
  <c r="F20" i="6"/>
  <c r="C20" i="6"/>
  <c r="C28" i="2"/>
  <c r="C11" i="1"/>
  <c r="C20" i="18"/>
  <c r="B20" i="18"/>
  <c r="K38" i="14"/>
  <c r="K52" i="14" s="1"/>
  <c r="I8" i="14"/>
  <c r="H8" i="14"/>
  <c r="H38" i="14" s="1"/>
  <c r="G24" i="14"/>
  <c r="G8" i="14"/>
  <c r="D21" i="14"/>
  <c r="C27" i="14"/>
  <c r="Q27" i="14" s="1"/>
  <c r="C25" i="14"/>
  <c r="Q24" i="14"/>
  <c r="C20" i="14"/>
  <c r="Q20" i="14" s="1"/>
  <c r="Q13" i="14"/>
  <c r="B16" i="16"/>
  <c r="B14" i="16" s="1"/>
  <c r="B21" i="16"/>
  <c r="N51" i="16"/>
  <c r="B45" i="16"/>
  <c r="B46" i="16"/>
  <c r="B44" i="16"/>
  <c r="C21" i="22"/>
  <c r="C27" i="22" s="1"/>
  <c r="L22" i="22"/>
  <c r="I23" i="22"/>
  <c r="L23" i="22" s="1"/>
  <c r="I24" i="22"/>
  <c r="L24" i="22" s="1"/>
  <c r="I26" i="22"/>
  <c r="L26" i="22" s="1"/>
  <c r="L14" i="6"/>
  <c r="L15" i="6"/>
  <c r="L16" i="6"/>
  <c r="L17" i="6"/>
  <c r="L18" i="6"/>
  <c r="L19" i="6"/>
  <c r="L21" i="6"/>
  <c r="L22" i="6"/>
  <c r="L24" i="6"/>
  <c r="L25" i="6"/>
  <c r="L26" i="6"/>
  <c r="L29" i="6"/>
  <c r="I30" i="6"/>
  <c r="L30" i="6" s="1"/>
  <c r="I28" i="6"/>
  <c r="L28" i="6" s="1"/>
  <c r="I27" i="6"/>
  <c r="I32" i="6" s="1"/>
  <c r="F23" i="6"/>
  <c r="F12" i="6"/>
  <c r="L12" i="6" s="1"/>
  <c r="L39" i="6"/>
  <c r="L37" i="6"/>
  <c r="L13" i="6"/>
  <c r="C23" i="6"/>
  <c r="L23" i="6" s="1"/>
  <c r="C32" i="20"/>
  <c r="C13" i="20"/>
  <c r="C17" i="20" s="1"/>
  <c r="C21" i="20"/>
  <c r="B21" i="5"/>
  <c r="C16" i="5"/>
  <c r="C21" i="5" s="1"/>
  <c r="C15" i="3"/>
  <c r="B15" i="3"/>
  <c r="C36" i="2"/>
  <c r="C33" i="2" s="1"/>
  <c r="C51" i="2"/>
  <c r="D51" i="2"/>
  <c r="C23" i="2"/>
  <c r="C20" i="2" s="1"/>
  <c r="C17" i="2"/>
  <c r="F22" i="10"/>
  <c r="C24" i="10"/>
  <c r="C24" i="9"/>
  <c r="C54" i="1"/>
  <c r="C23" i="1"/>
  <c r="C22" i="1"/>
  <c r="D10" i="18"/>
  <c r="D11" i="18"/>
  <c r="D12" i="18"/>
  <c r="D13" i="18"/>
  <c r="D14" i="18"/>
  <c r="D15" i="18"/>
  <c r="D16" i="18"/>
  <c r="D17" i="18"/>
  <c r="D21" i="18"/>
  <c r="D22" i="18"/>
  <c r="D23" i="18"/>
  <c r="D25" i="18"/>
  <c r="D26" i="18"/>
  <c r="D28" i="18"/>
  <c r="D29" i="18"/>
  <c r="D30" i="18"/>
  <c r="D31" i="18"/>
  <c r="D32" i="18"/>
  <c r="D33" i="18"/>
  <c r="D36" i="18"/>
  <c r="D37" i="18"/>
  <c r="D38" i="18"/>
  <c r="D39" i="18"/>
  <c r="D40" i="18"/>
  <c r="D41" i="18"/>
  <c r="D42" i="18"/>
  <c r="D44" i="18"/>
  <c r="D45" i="18"/>
  <c r="D47" i="18"/>
  <c r="D49" i="18"/>
  <c r="D52" i="18"/>
  <c r="D53" i="18"/>
  <c r="D54" i="18"/>
  <c r="D9" i="18"/>
  <c r="K50" i="14"/>
  <c r="L50" i="14"/>
  <c r="O31" i="14"/>
  <c r="B33" i="2"/>
  <c r="C50" i="14"/>
  <c r="E31" i="14"/>
  <c r="E38" i="14" s="1"/>
  <c r="E52" i="14" s="1"/>
  <c r="B10" i="2"/>
  <c r="B10" i="20"/>
  <c r="B58" i="5"/>
  <c r="B97" i="1"/>
  <c r="K22" i="22"/>
  <c r="K23" i="22"/>
  <c r="K24" i="22"/>
  <c r="K25" i="22"/>
  <c r="K26" i="22"/>
  <c r="K21" i="22"/>
  <c r="M27" i="22"/>
  <c r="D27" i="22"/>
  <c r="E27" i="22"/>
  <c r="G27" i="22"/>
  <c r="H27" i="22"/>
  <c r="J27" i="22"/>
  <c r="B27" i="22"/>
  <c r="D29" i="21"/>
  <c r="B21" i="21"/>
  <c r="B19" i="21" s="1"/>
  <c r="D46" i="21"/>
  <c r="B46" i="21"/>
  <c r="B55" i="21" s="1"/>
  <c r="B25" i="21"/>
  <c r="D21" i="21"/>
  <c r="P24" i="10"/>
  <c r="J24" i="10"/>
  <c r="I24" i="10"/>
  <c r="G24" i="10"/>
  <c r="E24" i="10"/>
  <c r="D24" i="10"/>
  <c r="B24" i="10"/>
  <c r="N23" i="10"/>
  <c r="N22" i="10"/>
  <c r="H21" i="10"/>
  <c r="H24" i="10" s="1"/>
  <c r="D45" i="9"/>
  <c r="B45" i="9"/>
  <c r="B54" i="9" s="1"/>
  <c r="B24" i="9"/>
  <c r="B22" i="9"/>
  <c r="D19" i="9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D32" i="6"/>
  <c r="E32" i="6"/>
  <c r="G32" i="6"/>
  <c r="H32" i="6"/>
  <c r="J32" i="6"/>
  <c r="B32" i="6"/>
  <c r="B58" i="2"/>
  <c r="D11" i="3"/>
  <c r="C11" i="3"/>
  <c r="B11" i="3"/>
  <c r="B26" i="2"/>
  <c r="B25" i="2" s="1"/>
  <c r="B14" i="1"/>
  <c r="C14" i="1" s="1"/>
  <c r="B47" i="2"/>
  <c r="Q46" i="14"/>
  <c r="Q47" i="14"/>
  <c r="Q48" i="14"/>
  <c r="Q49" i="14"/>
  <c r="D46" i="1"/>
  <c r="B46" i="1"/>
  <c r="G18" i="14"/>
  <c r="Q18" i="14" s="1"/>
  <c r="I38" i="14"/>
  <c r="J38" i="14"/>
  <c r="L38" i="14"/>
  <c r="L52" i="14" s="1"/>
  <c r="M38" i="14"/>
  <c r="N38" i="14"/>
  <c r="O38" i="14"/>
  <c r="P38" i="14"/>
  <c r="H50" i="14"/>
  <c r="I50" i="14"/>
  <c r="J50" i="14"/>
  <c r="M50" i="14"/>
  <c r="N50" i="14"/>
  <c r="O50" i="14"/>
  <c r="P50" i="14"/>
  <c r="M52" i="14"/>
  <c r="B11" i="16"/>
  <c r="C12" i="16"/>
  <c r="D12" i="16"/>
  <c r="E12" i="16"/>
  <c r="F12" i="16"/>
  <c r="G12" i="16"/>
  <c r="J12" i="16"/>
  <c r="K12" i="16"/>
  <c r="L12" i="16"/>
  <c r="M12" i="16"/>
  <c r="N12" i="16"/>
  <c r="C13" i="16"/>
  <c r="D13" i="16"/>
  <c r="D11" i="16" s="1"/>
  <c r="E13" i="16"/>
  <c r="E11" i="16" s="1"/>
  <c r="F13" i="16"/>
  <c r="F11" i="16" s="1"/>
  <c r="G13" i="16"/>
  <c r="H13" i="16"/>
  <c r="H11" i="16" s="1"/>
  <c r="I13" i="16"/>
  <c r="I11" i="16" s="1"/>
  <c r="J13" i="16"/>
  <c r="K13" i="16"/>
  <c r="L13" i="16"/>
  <c r="M13" i="16"/>
  <c r="M11" i="16" s="1"/>
  <c r="N13" i="16"/>
  <c r="B10" i="16"/>
  <c r="C14" i="16"/>
  <c r="E14" i="16"/>
  <c r="G14" i="16"/>
  <c r="H14" i="16"/>
  <c r="J14" i="16"/>
  <c r="K14" i="16"/>
  <c r="N14" i="16"/>
  <c r="D15" i="16"/>
  <c r="D14" i="16" s="1"/>
  <c r="F15" i="16"/>
  <c r="F14" i="16" s="1"/>
  <c r="I15" i="16"/>
  <c r="I14" i="16" s="1"/>
  <c r="L15" i="16"/>
  <c r="L14" i="16" s="1"/>
  <c r="C19" i="16"/>
  <c r="C18" i="16" s="1"/>
  <c r="D19" i="16"/>
  <c r="D18" i="16" s="1"/>
  <c r="E19" i="16"/>
  <c r="E18" i="16" s="1"/>
  <c r="F19" i="16"/>
  <c r="F18" i="16" s="1"/>
  <c r="G19" i="16"/>
  <c r="G18" i="16" s="1"/>
  <c r="H19" i="16"/>
  <c r="H18" i="16" s="1"/>
  <c r="I19" i="16"/>
  <c r="I18" i="16" s="1"/>
  <c r="J19" i="16"/>
  <c r="J18" i="16" s="1"/>
  <c r="K19" i="16"/>
  <c r="K18" i="16" s="1"/>
  <c r="L19" i="16"/>
  <c r="L18" i="16" s="1"/>
  <c r="M19" i="16"/>
  <c r="M18" i="16" s="1"/>
  <c r="N19" i="16"/>
  <c r="N18" i="16" s="1"/>
  <c r="C22" i="16"/>
  <c r="C21" i="16" s="1"/>
  <c r="D22" i="16"/>
  <c r="D21" i="16" s="1"/>
  <c r="E22" i="16"/>
  <c r="E21" i="16" s="1"/>
  <c r="F22" i="16"/>
  <c r="F21" i="16" s="1"/>
  <c r="G22" i="16"/>
  <c r="G21" i="16" s="1"/>
  <c r="H22" i="16"/>
  <c r="H21" i="16" s="1"/>
  <c r="I22" i="16"/>
  <c r="I21" i="16" s="1"/>
  <c r="J22" i="16"/>
  <c r="J21" i="16" s="1"/>
  <c r="K22" i="16"/>
  <c r="K21" i="16" s="1"/>
  <c r="L22" i="16"/>
  <c r="L21" i="16" s="1"/>
  <c r="M22" i="16"/>
  <c r="M21" i="16" s="1"/>
  <c r="N22" i="16"/>
  <c r="N21" i="16" s="1"/>
  <c r="C24" i="16"/>
  <c r="D24" i="16"/>
  <c r="E24" i="16"/>
  <c r="F24" i="16"/>
  <c r="G24" i="16"/>
  <c r="H24" i="16"/>
  <c r="I24" i="16"/>
  <c r="J24" i="16"/>
  <c r="K24" i="16"/>
  <c r="L24" i="16"/>
  <c r="M24" i="16"/>
  <c r="N24" i="16"/>
  <c r="C28" i="16"/>
  <c r="D28" i="16"/>
  <c r="E28" i="16"/>
  <c r="F28" i="16"/>
  <c r="G28" i="16"/>
  <c r="H28" i="16"/>
  <c r="I28" i="16"/>
  <c r="J28" i="16"/>
  <c r="K28" i="16"/>
  <c r="M28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C42" i="16"/>
  <c r="D42" i="16"/>
  <c r="E42" i="16"/>
  <c r="F42" i="16"/>
  <c r="G42" i="16"/>
  <c r="H42" i="16"/>
  <c r="I42" i="16"/>
  <c r="J42" i="16"/>
  <c r="K42" i="16"/>
  <c r="L42" i="16"/>
  <c r="M42" i="16"/>
  <c r="N42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C49" i="16"/>
  <c r="D49" i="16"/>
  <c r="E49" i="16"/>
  <c r="F49" i="16"/>
  <c r="G49" i="16"/>
  <c r="H49" i="16"/>
  <c r="I49" i="16"/>
  <c r="J49" i="16"/>
  <c r="K49" i="16"/>
  <c r="L49" i="16"/>
  <c r="M49" i="16"/>
  <c r="N49" i="16"/>
  <c r="C51" i="16"/>
  <c r="D51" i="16"/>
  <c r="E51" i="16"/>
  <c r="F51" i="16"/>
  <c r="G51" i="16"/>
  <c r="H51" i="16"/>
  <c r="I51" i="16"/>
  <c r="J51" i="16"/>
  <c r="K51" i="16"/>
  <c r="L51" i="16"/>
  <c r="M51" i="16"/>
  <c r="B53" i="16"/>
  <c r="E25" i="15"/>
  <c r="E32" i="15" s="1"/>
  <c r="F25" i="15"/>
  <c r="F32" i="15" s="1"/>
  <c r="K11" i="6"/>
  <c r="K32" i="6" s="1"/>
  <c r="M11" i="6"/>
  <c r="M12" i="6"/>
  <c r="M13" i="6"/>
  <c r="M14" i="6"/>
  <c r="M15" i="6"/>
  <c r="M16" i="6"/>
  <c r="M18" i="6"/>
  <c r="M19" i="6"/>
  <c r="M20" i="6"/>
  <c r="M21" i="6"/>
  <c r="M23" i="6"/>
  <c r="M25" i="6"/>
  <c r="M26" i="6"/>
  <c r="M27" i="6"/>
  <c r="M28" i="6"/>
  <c r="M29" i="6"/>
  <c r="K33" i="6"/>
  <c r="L33" i="6"/>
  <c r="M33" i="6"/>
  <c r="K34" i="6"/>
  <c r="L34" i="6"/>
  <c r="M34" i="6"/>
  <c r="K35" i="6"/>
  <c r="L35" i="6"/>
  <c r="M35" i="6"/>
  <c r="K36" i="6"/>
  <c r="L36" i="6"/>
  <c r="M36" i="6"/>
  <c r="K38" i="6"/>
  <c r="L38" i="6"/>
  <c r="K39" i="6"/>
  <c r="B40" i="6"/>
  <c r="B42" i="6" s="1"/>
  <c r="C40" i="6"/>
  <c r="D40" i="6"/>
  <c r="E40" i="6"/>
  <c r="F40" i="6"/>
  <c r="G40" i="6"/>
  <c r="H40" i="6"/>
  <c r="I40" i="6"/>
  <c r="J40" i="6"/>
  <c r="B13" i="20"/>
  <c r="D17" i="20"/>
  <c r="B21" i="20"/>
  <c r="D21" i="20"/>
  <c r="B32" i="20"/>
  <c r="D32" i="20"/>
  <c r="D35" i="20" s="1"/>
  <c r="D21" i="5"/>
  <c r="C25" i="5"/>
  <c r="C64" i="5" s="1"/>
  <c r="D25" i="5"/>
  <c r="B27" i="5"/>
  <c r="C27" i="5"/>
  <c r="B32" i="5"/>
  <c r="B41" i="5"/>
  <c r="B55" i="5"/>
  <c r="D15" i="3"/>
  <c r="B22" i="3"/>
  <c r="C22" i="3"/>
  <c r="D22" i="3"/>
  <c r="D10" i="2"/>
  <c r="B20" i="2"/>
  <c r="D20" i="2"/>
  <c r="D25" i="2"/>
  <c r="D33" i="2"/>
  <c r="B40" i="2"/>
  <c r="D41" i="2"/>
  <c r="D32" i="2" s="1"/>
  <c r="D47" i="2"/>
  <c r="B51" i="2"/>
  <c r="B55" i="2"/>
  <c r="D10" i="1"/>
  <c r="B17" i="1"/>
  <c r="D17" i="1"/>
  <c r="B34" i="1"/>
  <c r="B33" i="1" s="1"/>
  <c r="D34" i="1"/>
  <c r="D39" i="1"/>
  <c r="B53" i="1"/>
  <c r="B56" i="1"/>
  <c r="D56" i="1"/>
  <c r="B59" i="1"/>
  <c r="C59" i="1"/>
  <c r="D59" i="1"/>
  <c r="B61" i="1"/>
  <c r="D61" i="1"/>
  <c r="B68" i="1"/>
  <c r="D68" i="1"/>
  <c r="B77" i="1"/>
  <c r="D77" i="1"/>
  <c r="B87" i="1"/>
  <c r="C87" i="1"/>
  <c r="D87" i="1"/>
  <c r="B35" i="18"/>
  <c r="B51" i="18"/>
  <c r="E47" i="16"/>
  <c r="N21" i="10"/>
  <c r="M40" i="6"/>
  <c r="B17" i="20" l="1"/>
  <c r="D38" i="16"/>
  <c r="H42" i="6"/>
  <c r="E42" i="6"/>
  <c r="B28" i="9"/>
  <c r="K27" i="22"/>
  <c r="C35" i="20"/>
  <c r="Q21" i="14"/>
  <c r="D38" i="14"/>
  <c r="D52" i="14" s="1"/>
  <c r="C51" i="18"/>
  <c r="J47" i="16"/>
  <c r="D47" i="16"/>
  <c r="J38" i="16"/>
  <c r="M38" i="16"/>
  <c r="G38" i="16"/>
  <c r="G11" i="16"/>
  <c r="G10" i="16" s="1"/>
  <c r="G30" i="16" s="1"/>
  <c r="C47" i="16"/>
  <c r="B29" i="21"/>
  <c r="B43" i="16"/>
  <c r="N24" i="10"/>
  <c r="F38" i="16"/>
  <c r="H10" i="16"/>
  <c r="H30" i="16" s="1"/>
  <c r="N52" i="14"/>
  <c r="C38" i="14"/>
  <c r="C52" i="14" s="1"/>
  <c r="J42" i="6"/>
  <c r="L11" i="6"/>
  <c r="Q8" i="14"/>
  <c r="Q31" i="14"/>
  <c r="Q33" i="14"/>
  <c r="Q25" i="14"/>
  <c r="Q45" i="14"/>
  <c r="K40" i="6"/>
  <c r="K42" i="6" s="1"/>
  <c r="G42" i="6"/>
  <c r="C28" i="9"/>
  <c r="L27" i="6"/>
  <c r="C35" i="18"/>
  <c r="D35" i="18" s="1"/>
  <c r="B32" i="2"/>
  <c r="B19" i="2"/>
  <c r="D14" i="3"/>
  <c r="D29" i="3" s="1"/>
  <c r="B14" i="3"/>
  <c r="B29" i="3" s="1"/>
  <c r="B35" i="20"/>
  <c r="D42" i="6"/>
  <c r="M32" i="6"/>
  <c r="M42" i="6" s="1"/>
  <c r="I38" i="16"/>
  <c r="E38" i="16"/>
  <c r="E54" i="16" s="1"/>
  <c r="N11" i="16"/>
  <c r="N10" i="16" s="1"/>
  <c r="N30" i="16" s="1"/>
  <c r="L11" i="16"/>
  <c r="L10" i="16" s="1"/>
  <c r="L30" i="16" s="1"/>
  <c r="J11" i="16"/>
  <c r="E10" i="16"/>
  <c r="E30" i="16" s="1"/>
  <c r="C11" i="16"/>
  <c r="C45" i="9"/>
  <c r="C54" i="9" s="1"/>
  <c r="O21" i="10"/>
  <c r="F24" i="10"/>
  <c r="C32" i="2"/>
  <c r="C10" i="2"/>
  <c r="G38" i="14"/>
  <c r="Q50" i="14"/>
  <c r="Q7" i="14"/>
  <c r="B10" i="1"/>
  <c r="B9" i="1" s="1"/>
  <c r="C34" i="1"/>
  <c r="C33" i="1" s="1"/>
  <c r="C56" i="1"/>
  <c r="C17" i="1"/>
  <c r="N47" i="16"/>
  <c r="F47" i="16"/>
  <c r="O52" i="14"/>
  <c r="J52" i="14"/>
  <c r="I42" i="6"/>
  <c r="B44" i="1"/>
  <c r="K47" i="16"/>
  <c r="G47" i="16"/>
  <c r="K11" i="16"/>
  <c r="K10" i="16" s="1"/>
  <c r="K30" i="16" s="1"/>
  <c r="P52" i="14"/>
  <c r="I52" i="14"/>
  <c r="F32" i="6"/>
  <c r="F42" i="6" s="1"/>
  <c r="O22" i="10"/>
  <c r="O23" i="10"/>
  <c r="C32" i="6"/>
  <c r="C42" i="6" s="1"/>
  <c r="C46" i="21"/>
  <c r="C55" i="21" s="1"/>
  <c r="I47" i="16"/>
  <c r="M47" i="16"/>
  <c r="K38" i="16"/>
  <c r="C38" i="16"/>
  <c r="H38" i="16"/>
  <c r="L38" i="16"/>
  <c r="D20" i="18"/>
  <c r="D43" i="18"/>
  <c r="I27" i="22"/>
  <c r="L21" i="22"/>
  <c r="L27" i="22" s="1"/>
  <c r="L20" i="6"/>
  <c r="C26" i="2"/>
  <c r="C25" i="2" s="1"/>
  <c r="C19" i="2" s="1"/>
  <c r="C58" i="2"/>
  <c r="B54" i="2"/>
  <c r="D19" i="2"/>
  <c r="D64" i="2" s="1"/>
  <c r="D71" i="2" s="1"/>
  <c r="C47" i="2"/>
  <c r="D44" i="1"/>
  <c r="D33" i="1"/>
  <c r="C53" i="1"/>
  <c r="C10" i="1"/>
  <c r="H52" i="14"/>
  <c r="D10" i="16"/>
  <c r="D30" i="16" s="1"/>
  <c r="M10" i="16"/>
  <c r="M30" i="16" s="1"/>
  <c r="J10" i="16"/>
  <c r="J30" i="16" s="1"/>
  <c r="B26" i="16"/>
  <c r="B30" i="16" s="1"/>
  <c r="C10" i="16"/>
  <c r="C30" i="16" s="1"/>
  <c r="D54" i="16"/>
  <c r="L47" i="16"/>
  <c r="H47" i="16"/>
  <c r="N38" i="16"/>
  <c r="L40" i="6"/>
  <c r="B64" i="5"/>
  <c r="C14" i="3"/>
  <c r="C29" i="3" s="1"/>
  <c r="I10" i="16"/>
  <c r="I30" i="16" s="1"/>
  <c r="F10" i="16"/>
  <c r="F30" i="16" s="1"/>
  <c r="B56" i="18"/>
  <c r="B85" i="1" l="1"/>
  <c r="B92" i="1" s="1"/>
  <c r="B99" i="1" s="1"/>
  <c r="L32" i="6"/>
  <c r="C56" i="18"/>
  <c r="B64" i="2"/>
  <c r="B71" i="2" s="1"/>
  <c r="J40" i="14"/>
  <c r="G52" i="14"/>
  <c r="J54" i="14" s="1"/>
  <c r="C54" i="16"/>
  <c r="C57" i="16" s="1"/>
  <c r="J54" i="16"/>
  <c r="J57" i="16" s="1"/>
  <c r="G54" i="16"/>
  <c r="G57" i="16" s="1"/>
  <c r="I54" i="16"/>
  <c r="I57" i="16" s="1"/>
  <c r="F54" i="16"/>
  <c r="F57" i="16" s="1"/>
  <c r="M54" i="16"/>
  <c r="M57" i="16" s="1"/>
  <c r="K54" i="16"/>
  <c r="K57" i="16" s="1"/>
  <c r="O24" i="10"/>
  <c r="C44" i="1"/>
  <c r="C85" i="1" s="1"/>
  <c r="C92" i="1" s="1"/>
  <c r="C99" i="1" s="1"/>
  <c r="L42" i="6"/>
  <c r="C9" i="1"/>
  <c r="H54" i="16"/>
  <c r="H57" i="16" s="1"/>
  <c r="B38" i="16"/>
  <c r="L54" i="16"/>
  <c r="L57" i="16" s="1"/>
  <c r="E57" i="16"/>
  <c r="D57" i="16"/>
  <c r="N54" i="16"/>
  <c r="N57" i="16" s="1"/>
  <c r="E54" i="14"/>
  <c r="Q38" i="14"/>
  <c r="Q52" i="14" s="1"/>
  <c r="E40" i="14"/>
  <c r="D51" i="18"/>
  <c r="D56" i="18"/>
  <c r="C54" i="2"/>
  <c r="D85" i="1"/>
  <c r="D92" i="1" s="1"/>
  <c r="D99" i="1" s="1"/>
  <c r="B47" i="16"/>
  <c r="B54" i="16" l="1"/>
  <c r="B57" i="16" s="1"/>
  <c r="C64" i="2"/>
  <c r="C71" i="2" l="1"/>
</calcChain>
</file>

<file path=xl/sharedStrings.xml><?xml version="1.0" encoding="utf-8"?>
<sst xmlns="http://schemas.openxmlformats.org/spreadsheetml/2006/main" count="891" uniqueCount="687">
  <si>
    <t>5. Gyermekétkeztetés támogatása</t>
  </si>
  <si>
    <t xml:space="preserve">Összesen                                                           </t>
  </si>
  <si>
    <t>Bejáró gyerekek utaztatásának támogatása</t>
  </si>
  <si>
    <t>1/c. Egyéb kötelező önkormányzati feladatok támogatása</t>
  </si>
  <si>
    <t>III. Települési önk. szociális és gyermekjóléti feladatainak támogatása</t>
  </si>
  <si>
    <t>Igazgatás</t>
  </si>
  <si>
    <t>Temetőfenntartás</t>
  </si>
  <si>
    <t>vagyon gazdálkodás</t>
  </si>
  <si>
    <t>állategészségügyi ellátás</t>
  </si>
  <si>
    <t>Közutak fenntartása</t>
  </si>
  <si>
    <t>Hulladékgazdálkodás</t>
  </si>
  <si>
    <t>Zöldterületgazdálkodás</t>
  </si>
  <si>
    <t>Mezőőri őrszolgálat</t>
  </si>
  <si>
    <t>védőnői szolgálat</t>
  </si>
  <si>
    <t>Sport támogatása</t>
  </si>
  <si>
    <t>Könyváti állomány gyarapítása</t>
  </si>
  <si>
    <t>Óvoda</t>
  </si>
  <si>
    <t>Általános iskola</t>
  </si>
  <si>
    <t>III. Irányitó (felügyeleti) szervtől kapott támogatás</t>
  </si>
  <si>
    <t>Önkormányzat igazgatás Türje</t>
  </si>
  <si>
    <t>Önkormányzati igazgatás Batyk</t>
  </si>
  <si>
    <t>Önkormányzati igazgatás Zlaszló</t>
  </si>
  <si>
    <t>3. Elvonások, befizetések</t>
  </si>
  <si>
    <t>4. Pénzeszközátadás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</si>
  <si>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</si>
  <si>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</si>
  <si>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</si>
  <si>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</si>
  <si>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</si>
  <si>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</si>
  <si>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</si>
  <si>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</si>
  <si>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</si>
  <si>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</si>
  <si>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</si>
  <si>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 xml:space="preserve">  - lakosságnak az önk. Lakásrend.sz. lakásvás, -építési kölcs.</t>
  </si>
  <si>
    <t>1./ Működési tartalék</t>
  </si>
  <si>
    <t xml:space="preserve">     - Általános</t>
  </si>
  <si>
    <t>2./ Fejlesztési</t>
  </si>
  <si>
    <t xml:space="preserve">     Jogcímek</t>
  </si>
  <si>
    <t xml:space="preserve"> Fejlesztési  bevételek</t>
  </si>
  <si>
    <t>Módosított ei.</t>
  </si>
  <si>
    <t xml:space="preserve"> Adatok ezer Ft-ban!</t>
  </si>
  <si>
    <t xml:space="preserve"> Fejlesztési  kiadások</t>
  </si>
  <si>
    <t>2./ Felhalmozási célú pénzátadás lakosságnak</t>
  </si>
  <si>
    <t>Ebből: - lakásépítés, -vásárlás kölcs. Nyújtása</t>
  </si>
  <si>
    <t xml:space="preserve">            - közmű 15 %</t>
  </si>
  <si>
    <t>5./ Felújítások</t>
  </si>
  <si>
    <t>6./ Beruházások</t>
  </si>
  <si>
    <t xml:space="preserve">    - szabadon felhasználható</t>
  </si>
  <si>
    <t xml:space="preserve">   Juttatások,  segélyek  összesen ( I + II )</t>
  </si>
  <si>
    <t>IV. Működési célú támogatásértékű pénzátadás</t>
  </si>
  <si>
    <t>1./ Önkormányzatoknak és költságvetési szerveinek</t>
  </si>
  <si>
    <t>V. Működési pénzátadás ÁHT. Kívülre</t>
  </si>
  <si>
    <t>I. Rászorultságtól függő pénzbeni szociális ellátások</t>
  </si>
  <si>
    <t>7./ Tárgyi eszköz vásárlás</t>
  </si>
  <si>
    <t>TÜRJE   KÖZSÉG  ÖNKORMÁNYZATA</t>
  </si>
  <si>
    <t>Juttatások, segélyek</t>
  </si>
  <si>
    <t>Fejlesztési    pénzeszközök</t>
  </si>
  <si>
    <t>1. Hitel visszafizetés + kamat</t>
  </si>
  <si>
    <t>TÜRJE   KÖZSÉG    ÖNKORMÁNYZATA</t>
  </si>
  <si>
    <t>VII. Felhalmozási pénzátadás</t>
  </si>
  <si>
    <t>XII. Türje Község Önkormányzata  összesen ( I+….+XI)</t>
  </si>
  <si>
    <t xml:space="preserve">                                                             </t>
  </si>
  <si>
    <t xml:space="preserve">              Ebből:           - Sportegyesület</t>
  </si>
  <si>
    <t xml:space="preserve">                                  - Közelebb Európához Alapítvány</t>
  </si>
  <si>
    <t xml:space="preserve">                                  - Polgárőrség</t>
  </si>
  <si>
    <t xml:space="preserve">Ebből: 1.) Vállalkozások részére  </t>
  </si>
  <si>
    <t xml:space="preserve">3./ Felhalmozási célú pénzátadás: </t>
  </si>
  <si>
    <t>Ebből:  - Vizmű hálózat, karbantartás, felújítás</t>
  </si>
  <si>
    <t>Eredeti</t>
  </si>
  <si>
    <t>Eredeti ei.</t>
  </si>
  <si>
    <t>8./  Tartalékok</t>
  </si>
  <si>
    <t>Fejlesztési   kiadások összesen (1+…+8) :</t>
  </si>
  <si>
    <t>VI. Felügyelet alá tartozó ktgv.szerv támogatása</t>
  </si>
  <si>
    <t>XIII. Levonás az intézmények finanszírozási összege:</t>
  </si>
  <si>
    <t>XIV. Türje község Önkormányzatának összevont kiadásai</t>
  </si>
  <si>
    <t>….sz. melléklet</t>
  </si>
  <si>
    <t xml:space="preserve">    - Türjei Közös Önkormányzati hivatal</t>
  </si>
  <si>
    <t xml:space="preserve">           - Óvodai Társulás részére állami tám. Átadás</t>
  </si>
  <si>
    <t xml:space="preserve">           - Szociélis társulás részére állami tám.átadás</t>
  </si>
  <si>
    <t xml:space="preserve">           - Szoc.társ.részére feladat ell.tám. Türje önk.</t>
  </si>
  <si>
    <t>II. Önkormányzati segélyek</t>
  </si>
  <si>
    <t xml:space="preserve">    - szociális tüzifa támogatás</t>
  </si>
  <si>
    <t>1./ Különféle pénzbeli ellátások</t>
  </si>
  <si>
    <t xml:space="preserve">    - természetbeni átmeneti Pl. étkezés</t>
  </si>
  <si>
    <t xml:space="preserve">    - köztemetés</t>
  </si>
  <si>
    <t xml:space="preserve">           - Csatorna hálózat felújítás</t>
  </si>
  <si>
    <t xml:space="preserve">            - Háziorvos(készenlét, ügyelet)</t>
  </si>
  <si>
    <t xml:space="preserve">            - Fogorvosi ügyeletre</t>
  </si>
  <si>
    <t xml:space="preserve">            - iskola eü. ellátás</t>
  </si>
  <si>
    <t xml:space="preserve"> Ebből: - </t>
  </si>
  <si>
    <t xml:space="preserve">    - célhoz kötött ( Környezetvédelmi alap számlán lévő)</t>
  </si>
  <si>
    <t>Szakfeladat</t>
  </si>
  <si>
    <t>Bér</t>
  </si>
  <si>
    <t>Munkaadót terhelő járulékok</t>
  </si>
  <si>
    <t xml:space="preserve">   Egyéb müködési kiadás</t>
  </si>
  <si>
    <t>Összesen</t>
  </si>
  <si>
    <t xml:space="preserve">               megnevezése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</si>
  <si>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</si>
  <si>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</si>
  <si>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</si>
  <si>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</si>
  <si>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</si>
  <si>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Mezőőr</t>
  </si>
  <si>
    <t>Háziorvosi szolgálat</t>
  </si>
  <si>
    <t xml:space="preserve">   ÖSSZESEN:</t>
  </si>
  <si>
    <t xml:space="preserve">    Összesen:</t>
  </si>
  <si>
    <t>Türjei Közös Önkormányzati Hivatal</t>
  </si>
  <si>
    <t>I. Intézményi működési bevételek összesen:</t>
  </si>
  <si>
    <t>III. Előző évi pénzmaradvány</t>
  </si>
  <si>
    <t>III. Intézményi bevételek összesen: (I+II+III)</t>
  </si>
  <si>
    <t xml:space="preserve">   - 1.) 51-52.Személyi juttatások</t>
  </si>
  <si>
    <t xml:space="preserve">   - 2.) 53. Munkaadókat terhelő járulékok</t>
  </si>
  <si>
    <t xml:space="preserve">   - 3.) 54-56.Dologi kiadások </t>
  </si>
  <si>
    <t>III. Kiegyenlítő, függő, átfutó kiadások</t>
  </si>
  <si>
    <t>III.Intézményi kiadások összesen: (I+II.)</t>
  </si>
  <si>
    <t>II. ÁHT belülről műk pénzátvétel kp-i ktgvetési előirányzat</t>
  </si>
  <si>
    <t xml:space="preserve">           - Belső Ellenőrzési Társulás</t>
  </si>
  <si>
    <t>Közfoglalkoztatás kertészet</t>
  </si>
  <si>
    <t>Kisértékű eszköz beszerzés</t>
  </si>
  <si>
    <t>Előirányzat</t>
  </si>
  <si>
    <t>Kamatbevételek</t>
  </si>
  <si>
    <t>1.7.1.Költségvetési és adószámlák kamata</t>
  </si>
  <si>
    <t>III. Felhalmozási és tőke jellegű bevételek</t>
  </si>
  <si>
    <t>1.2. Helyi adók</t>
  </si>
  <si>
    <t>1.2.1. Építmény adó</t>
  </si>
  <si>
    <t>1.2.2. Magánszemélyek kommunális adója</t>
  </si>
  <si>
    <t>1.2.3. Iparűzési adó</t>
  </si>
  <si>
    <t>1.2.4. Pótlékok, bírságok</t>
  </si>
  <si>
    <t>1.3. Átengedett központi adók</t>
  </si>
  <si>
    <t>1.4. Különféle bírságok</t>
  </si>
  <si>
    <t xml:space="preserve">1.2.Csatornahálózat bérleti díja </t>
  </si>
  <si>
    <t>1.3.Vízműhálózat bérleti díj ( koncessziós)</t>
  </si>
  <si>
    <t>1.2. Működés általános támogatása</t>
  </si>
  <si>
    <t>1.3. Köznevelési feladatok támogatása</t>
  </si>
  <si>
    <t>1.4. Szociális és gyermekjóléti feladatok támogatása</t>
  </si>
  <si>
    <t>1.5. Kulturális feladatok támogatása</t>
  </si>
  <si>
    <t>VIII. Felhalmozásra átvett pénz</t>
  </si>
  <si>
    <t>X. Bevételek Összesen ( I+…..+XV)</t>
  </si>
  <si>
    <t>XI. Előző évi korrigált pénzmaradvány</t>
  </si>
  <si>
    <t>XIII. Türje Község Önkormányzata összesen ( XVI +….+XIX.)</t>
  </si>
  <si>
    <t>1.2. Lakásépítési, -vásárlási kölcsön visszatérülése</t>
  </si>
  <si>
    <t>2./ Társulások és költségvetési szerveik</t>
  </si>
  <si>
    <t>1.1. Személyi juttatások</t>
  </si>
  <si>
    <t>1.2. Munkaadókat terhelő járulékok</t>
  </si>
  <si>
    <t xml:space="preserve">1.3. Dologi kiadások </t>
  </si>
  <si>
    <t xml:space="preserve">           - Óvodai társ. Részére Feladat ellátás tám.a Türje önk. </t>
  </si>
  <si>
    <t>3./ Fejezeti kezelésű előirányzat részére BURSA</t>
  </si>
  <si>
    <t>Teljesítés %</t>
  </si>
  <si>
    <t xml:space="preserve">    - vetőburgonya vásárlás</t>
  </si>
  <si>
    <t>2./Önkormányzat által nyújtott természetbeni ellátások</t>
  </si>
  <si>
    <t>Igazgatási szolgáltatási díj</t>
  </si>
  <si>
    <t>II.Beruházási kiadások (kisértékű eszközbeszerzés</t>
  </si>
  <si>
    <t>Összesn közfoglalkoztatás</t>
  </si>
  <si>
    <t xml:space="preserve">     - szabad </t>
  </si>
  <si>
    <t>KIADÁSOK</t>
  </si>
  <si>
    <t>IV. Elvonások, befizetések</t>
  </si>
  <si>
    <t>Teljesítés               %</t>
  </si>
  <si>
    <t>VIII. Tartalékok</t>
  </si>
  <si>
    <t xml:space="preserve">Módosított ei  </t>
  </si>
  <si>
    <t>Közművelődés</t>
  </si>
  <si>
    <t>14.sz. melléklet</t>
  </si>
  <si>
    <t>Létszámkeret, személyi juttatás és munkáltató által fizetendő járulékok</t>
  </si>
  <si>
    <t xml:space="preserve">    Szakfeladatok</t>
  </si>
  <si>
    <t>Járulékok</t>
  </si>
  <si>
    <t>1.CÍM Türje Község Önkormányzata</t>
  </si>
  <si>
    <t>Önkorm.Igazg. tev.(polgármester,képviselők)</t>
  </si>
  <si>
    <t>Védőnői szolgálat</t>
  </si>
  <si>
    <t>Művelődési Ház</t>
  </si>
  <si>
    <t>Közműv. Könyvtár (megbizási jogviszony)</t>
  </si>
  <si>
    <t>Háziorvosi ell.</t>
  </si>
  <si>
    <t>1. CIM összesen:</t>
  </si>
  <si>
    <t>COFOG száma</t>
  </si>
  <si>
    <t>COFOG elnevezése</t>
  </si>
  <si>
    <t>Türje Község Önkormányzata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</si>
  <si>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</si>
  <si>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</si>
  <si>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</si>
  <si>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</si>
  <si>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</si>
  <si>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</si>
  <si>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</si>
  <si>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</si>
  <si>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016010</t>
  </si>
  <si>
    <t>Országgyűlési, önkormányzati és európai parlamenti  képviselőválasztásokhoz kapcsolódó tevékenységek</t>
  </si>
  <si>
    <t>011140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</si>
  <si>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</si>
  <si>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</si>
  <si>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</si>
  <si>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</si>
  <si>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</si>
  <si>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</si>
  <si>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Támogatási célú finanszírozási múveletek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</si>
  <si>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</si>
  <si>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</si>
  <si>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</si>
  <si>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</si>
  <si>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</si>
  <si>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</si>
  <si>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</si>
  <si>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074032</t>
  </si>
  <si>
    <t>Ifjúság-egészségügyi gondozás</t>
  </si>
  <si>
    <t>Lakásfenntartással, lakhatással összefüggő ellátások</t>
  </si>
  <si>
    <t>Gyermekvédelmi pénzbeli és természetbeli ellátások</t>
  </si>
  <si>
    <t>Elhunyt személyek hátramaradottainak pénzbeli ellátása</t>
  </si>
  <si>
    <t>Betegséggel kapcsolatos pénzbeli ellátások</t>
  </si>
  <si>
    <t>Szociális étkeztetés</t>
  </si>
  <si>
    <t>041233</t>
  </si>
  <si>
    <t>Hosszabb időtartamú közfoglalkoztatás</t>
  </si>
  <si>
    <t>041237</t>
  </si>
  <si>
    <t>082042</t>
  </si>
  <si>
    <t>082092</t>
  </si>
  <si>
    <t>081030</t>
  </si>
  <si>
    <t>Köztemető-fenntartás és működtetés</t>
  </si>
  <si>
    <t>011130</t>
  </si>
  <si>
    <t>Önkormányzatok és önkormányzati hivatalok jogalkotó és általános igazgatási tevékenysége</t>
  </si>
  <si>
    <t>016020</t>
  </si>
  <si>
    <t>Országos és helyi népszavazáshoz kapcsolódó tevékenységek</t>
  </si>
  <si>
    <t>Országos és helyi nemzetiségi önkormányzatok igazgatási tevékenysége</t>
  </si>
  <si>
    <t>011220</t>
  </si>
  <si>
    <t>Adó, vám és jövedéki igazgatás</t>
  </si>
  <si>
    <t>013210</t>
  </si>
  <si>
    <t>Statisztikai tevékenység</t>
  </si>
  <si>
    <t>ÁLLAMI TÁMOGATÁS</t>
  </si>
  <si>
    <t>I. Helyi önkormányzatok működésének általános támogatása</t>
  </si>
  <si>
    <t>1./ A települési önkormányzatok működésének támogatása</t>
  </si>
  <si>
    <t>1/a. Önkormányzati hivatal működésének támogatása</t>
  </si>
  <si>
    <t>1/b. Település üzemeltetéshez kapcsolódó feladatok</t>
  </si>
  <si>
    <t>II. A települési önkormányzatok egyes köznevelési feladatainak támogatása               (kötött támogatás)</t>
  </si>
  <si>
    <t>1. Óvoda pedagógusok és segítők bértámogatása</t>
  </si>
  <si>
    <t xml:space="preserve">           c. Szociális étkezés társulási formában</t>
  </si>
  <si>
    <t xml:space="preserve">           d. Házi segítségnyújtás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</si>
  <si>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</si>
  <si>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</si>
  <si>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ELŐIRÁNYZAT   FELHASZNÁLÁSI  és FINANSZÍROZÁSI  ÜTEMTERV</t>
  </si>
  <si>
    <t xml:space="preserve">  ÉV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</si>
  <si>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</si>
  <si>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</si>
  <si>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</si>
  <si>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</si>
  <si>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</si>
  <si>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</si>
  <si>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</si>
  <si>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</si>
  <si>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</si>
  <si>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</si>
  <si>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</si>
  <si>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</si>
  <si>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</si>
  <si>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</si>
  <si>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</si>
  <si>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</si>
  <si>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 xml:space="preserve">          -intézményi mük. bevét.</t>
  </si>
  <si>
    <t>b/ Felhalmozási és tőkejell. bev</t>
  </si>
  <si>
    <t>2. Központilag szabály. bev.</t>
  </si>
  <si>
    <t>3. Átvett pénzeszközök</t>
  </si>
  <si>
    <t>Ebből:  - müködési célú</t>
  </si>
  <si>
    <t>4. Nyújtott kölcsön visszatér.</t>
  </si>
  <si>
    <t>Tárgyévi pénzforgalmi bev.össz.</t>
  </si>
  <si>
    <t>( 1+2+3+4)</t>
  </si>
  <si>
    <t>5. Pénzmaradvány, váll. eredm.</t>
  </si>
  <si>
    <t>igénybevétele</t>
  </si>
  <si>
    <t>I.GAZDÁLKODÁSI BEVÉTELEK</t>
  </si>
  <si>
    <t>ÖSSZESEN ( 1+2+3+4+5)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</si>
  <si>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</si>
  <si>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</si>
  <si>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</si>
  <si>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</si>
  <si>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</si>
  <si>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</si>
  <si>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 xml:space="preserve">         -pénzbeni juttatás, tám.</t>
  </si>
  <si>
    <t>2. Felhalmozási kiadások</t>
  </si>
  <si>
    <t>Ebből: - felújítások</t>
  </si>
  <si>
    <t xml:space="preserve">          - beruházások</t>
  </si>
  <si>
    <t xml:space="preserve">Ebből: - müködési célú </t>
  </si>
  <si>
    <t>4. Kölcsönnyújtás</t>
  </si>
  <si>
    <t>II. Gazdálkodási kiadás össz.</t>
  </si>
  <si>
    <t>( 1+2+3+4+5)</t>
  </si>
  <si>
    <t>III. Tárgyévi gazdálkodási</t>
  </si>
  <si>
    <t>egyenleg ( I.- II.)</t>
  </si>
  <si>
    <t xml:space="preserve">  Értékpapír eladás ( + )</t>
  </si>
  <si>
    <t xml:space="preserve">  Értékpapír vásárlás ( - )</t>
  </si>
  <si>
    <t>IV. Értékpapír müveletek</t>
  </si>
  <si>
    <t xml:space="preserve">     egyenlege</t>
  </si>
  <si>
    <t xml:space="preserve">  Hitelfelvétel ( +)</t>
  </si>
  <si>
    <t xml:space="preserve">  Hiteltörlesztés ( - )</t>
  </si>
  <si>
    <t>V.Hitelmüveletek egyenlege</t>
  </si>
  <si>
    <t>VI. Tárgyévi egyenleg finan-</t>
  </si>
  <si>
    <t xml:space="preserve">     szírozási müveletek után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</si>
  <si>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</si>
  <si>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Önkormányzati kötelező feladatok</t>
  </si>
  <si>
    <t>Kiadások</t>
  </si>
  <si>
    <t>Bevételek</t>
  </si>
  <si>
    <t>fejlesztési célú kiadás</t>
  </si>
  <si>
    <t>Állami támogatás</t>
  </si>
  <si>
    <t>Átvett pénz</t>
  </si>
  <si>
    <t>Önkormányzati saját bevétel</t>
  </si>
  <si>
    <t>Feladat finanszírozás</t>
  </si>
  <si>
    <t xml:space="preserve">Működési </t>
  </si>
  <si>
    <t>Fejlesztési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</si>
  <si>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</si>
  <si>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</si>
  <si>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</si>
  <si>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</si>
  <si>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</si>
  <si>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</si>
  <si>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</si>
  <si>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</si>
  <si>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</si>
  <si>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</si>
  <si>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</si>
  <si>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</si>
  <si>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</si>
  <si>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</si>
  <si>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szociális étkezés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</si>
  <si>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</si>
  <si>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</si>
  <si>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</si>
  <si>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</si>
  <si>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</si>
  <si>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</si>
  <si>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</si>
  <si>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</si>
  <si>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</si>
  <si>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</si>
  <si>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</si>
  <si>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mezőőri tevékenység</t>
  </si>
  <si>
    <t>6. Tervezett tartalék</t>
  </si>
  <si>
    <t xml:space="preserve"> Ebből   - Szociális és Gyermekjóléti Alapszolg. Központ</t>
  </si>
  <si>
    <t>igazgatás</t>
  </si>
  <si>
    <t>temető</t>
  </si>
  <si>
    <t>vagyon</t>
  </si>
  <si>
    <t>állateü</t>
  </si>
  <si>
    <t>közutak</t>
  </si>
  <si>
    <t>hulladék</t>
  </si>
  <si>
    <t>közvilágítás</t>
  </si>
  <si>
    <t>zöldterület gazdálkodás</t>
  </si>
  <si>
    <t>háziorvos</t>
  </si>
  <si>
    <t>védőnő</t>
  </si>
  <si>
    <t>sport</t>
  </si>
  <si>
    <t>könyvtár</t>
  </si>
  <si>
    <t>művház</t>
  </si>
  <si>
    <t>óvoda</t>
  </si>
  <si>
    <t>iskola</t>
  </si>
  <si>
    <t>közfoglalkoztatás</t>
  </si>
  <si>
    <t>közös önkormányzati hivatal</t>
  </si>
  <si>
    <t>működési  kiadás</t>
  </si>
  <si>
    <t>juttatások segélyek</t>
  </si>
  <si>
    <t>szennyvíz</t>
  </si>
  <si>
    <t>víz</t>
  </si>
  <si>
    <t>háziorvosi ügyeleti ellátás</t>
  </si>
  <si>
    <t>pénzeszközátadás lakosságnak</t>
  </si>
  <si>
    <t>TARTALÉK</t>
  </si>
  <si>
    <t>pénzeszközátadás, befizetések, finanszírozás</t>
  </si>
  <si>
    <t>kamatbevételek</t>
  </si>
  <si>
    <t>továbbszámlázott szolgáltatás</t>
  </si>
  <si>
    <t>áfa bevétel</t>
  </si>
  <si>
    <t>Térítési díj és egyéb bevétel</t>
  </si>
  <si>
    <t xml:space="preserve">       -Kisértékű tárgyi eszközvásárlás </t>
  </si>
  <si>
    <t xml:space="preserve">Összesen:  (a + b + c )                             =                    </t>
  </si>
  <si>
    <t xml:space="preserve">1/d. Lakott külterületekkel kapcsolatos feladatok       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</si>
  <si>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</si>
  <si>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</si>
  <si>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ba. Zöldterület- gazdálkodás:                                 </t>
  </si>
  <si>
    <t xml:space="preserve">        bb. Közvilágítás fenntartási támogatás                     </t>
  </si>
  <si>
    <t>2. Települési önkormányzatok szociális feladatainak támogatása</t>
  </si>
  <si>
    <t xml:space="preserve">     3. Egyes szociális és gyermekjóléti feladatok támogatása</t>
  </si>
  <si>
    <t>I. Műkködési célú támogatások államháztartáson belülről</t>
  </si>
  <si>
    <t>1. Központi költségvetésből kapott ktgvetési tám.</t>
  </si>
  <si>
    <t>2. Működési célra átvett pénz ÁHT belülről</t>
  </si>
  <si>
    <t>2.2. Működési célra átvett pénz a TB. Alapoktól</t>
  </si>
  <si>
    <t>2.3. Műk. Célú pénzátvétel az elkül. Állami pénzalapoktól</t>
  </si>
  <si>
    <t>1.3.1. Gépjárműadó helyi önkormányzatot megillető része</t>
  </si>
  <si>
    <t>II. Felhalmozási célú támogatások államháztartáson belülről</t>
  </si>
  <si>
    <t>III. Közhatalmi bevételek</t>
  </si>
  <si>
    <t>2.4. Támogatásértékű mük. bevétel központi ktgv.szervtől</t>
  </si>
  <si>
    <t>2.5. Támogatásért.bev. fejezeti előirányzatból</t>
  </si>
  <si>
    <t>2.6. Támogatásértékű bevétel önkormányzatoktól</t>
  </si>
  <si>
    <t>1.1. Készletértékesítés (kertészet)</t>
  </si>
  <si>
    <t>IV. Intézményi működési bevételek</t>
  </si>
  <si>
    <t>1.2. Szolgáltatások ellenértéke</t>
  </si>
  <si>
    <t>1.2.2. Szociális ebéd kiszállítási díja</t>
  </si>
  <si>
    <t xml:space="preserve">1.3.Továbbszámlázott szolgáltatások </t>
  </si>
  <si>
    <t>1.4. Tulajdonosi bevételek</t>
  </si>
  <si>
    <t>1.4.1.1. Művelődési Ház, raktárak</t>
  </si>
  <si>
    <t>1.4.1.2. Lakbérbevétel</t>
  </si>
  <si>
    <t>1.6. ÁFA bevételek, visszatérülések</t>
  </si>
  <si>
    <t>1.6.1.kiszámlázott Áfa bevétel</t>
  </si>
  <si>
    <t>1.7. Kamatbevételek</t>
  </si>
  <si>
    <t>1.8. Egyéb bevételek</t>
  </si>
  <si>
    <t>1.8.2 Közterülethasználat</t>
  </si>
  <si>
    <t>1.8.3. Egyéb sajátos bevételek</t>
  </si>
  <si>
    <t>1.8.1. Mezőőri járulék</t>
  </si>
  <si>
    <t>1.9. Biztosító Által fizetett kártérítés</t>
  </si>
  <si>
    <t>saját bevételek</t>
  </si>
  <si>
    <t xml:space="preserve"> feladattal terheltsaját bevételek</t>
  </si>
  <si>
    <t>011320</t>
  </si>
  <si>
    <t>Önkormányzatok elszámolásai a központi költségvetéssel</t>
  </si>
  <si>
    <t>Közfoglalkoztatási mintaprogram</t>
  </si>
  <si>
    <t>015030</t>
  </si>
  <si>
    <t>Nem veszélyes hulladék begyűjtése, szállítása, átrakása</t>
  </si>
  <si>
    <t>061030</t>
  </si>
  <si>
    <t>Lakáshoz jutást segítő támogatások</t>
  </si>
  <si>
    <t>Önkormányzati önként feladatok</t>
  </si>
  <si>
    <t>MINDÖSSZESEN</t>
  </si>
  <si>
    <t xml:space="preserve">          - bérleti díj</t>
  </si>
  <si>
    <t xml:space="preserve">          -  állami tám.</t>
  </si>
  <si>
    <t xml:space="preserve">           - Működési célú áht kívülől</t>
  </si>
  <si>
    <t>066010</t>
  </si>
  <si>
    <t>Zöldterületkezelés</t>
  </si>
  <si>
    <t>072311</t>
  </si>
  <si>
    <t>Fogorvosi alapellátás</t>
  </si>
  <si>
    <t>072312</t>
  </si>
  <si>
    <t>Fogorvosi ügyeleti ellátás</t>
  </si>
  <si>
    <t>család és nővédelmi egészségügyi gondozás</t>
  </si>
  <si>
    <t>081021</t>
  </si>
  <si>
    <t>Sportszövetségek és szabályozó testületek működésének támogatása</t>
  </si>
  <si>
    <t>Sportlétesítmények, edzőtáborok működtetése és fejlesztése</t>
  </si>
  <si>
    <t>Könyvtári állomány gyarapítása</t>
  </si>
  <si>
    <t>Közművelődés- hagyományos közösségi kulturális értékek gondozása</t>
  </si>
  <si>
    <t>Óvodai nevelés , ellátás működési feladatai</t>
  </si>
  <si>
    <t>091220</t>
  </si>
  <si>
    <t>Köznevelési intézmény 1-4. évfolyamán tanulók nevelésével, oktatásával összefüggő működtetési feladatok</t>
  </si>
  <si>
    <t>101150</t>
  </si>
  <si>
    <t>103010</t>
  </si>
  <si>
    <t>104051</t>
  </si>
  <si>
    <t>106020</t>
  </si>
  <si>
    <t>107051</t>
  </si>
  <si>
    <t>107052</t>
  </si>
  <si>
    <t>házisegítségnyújtás</t>
  </si>
  <si>
    <t>107060</t>
  </si>
  <si>
    <t>Egyéb szociális pénzbeli és természetbeni ellátások, támogatások</t>
  </si>
  <si>
    <t>900020</t>
  </si>
  <si>
    <t>Önkormányzatok funkcióra nem sorolható bevételei államháztartáson kívülról</t>
  </si>
  <si>
    <t xml:space="preserve">       Ágazati pótlék</t>
  </si>
  <si>
    <t xml:space="preserve">         2.) Társadalmi szervezetek,  alapítványok összesen</t>
  </si>
  <si>
    <t>052020</t>
  </si>
  <si>
    <t>Szennyvíz ellátás</t>
  </si>
  <si>
    <t>091140</t>
  </si>
  <si>
    <t>096015</t>
  </si>
  <si>
    <t>Gyerekétkeztetés</t>
  </si>
  <si>
    <t>096025</t>
  </si>
  <si>
    <t>Munkahelyi vendéglátás</t>
  </si>
  <si>
    <t xml:space="preserve">Fajlagos összeg: 1.140 Ft x 1655 fő   =            </t>
  </si>
  <si>
    <t>3. melléklete</t>
  </si>
  <si>
    <t>2. melléklete</t>
  </si>
  <si>
    <t xml:space="preserve"> 4. melléklete</t>
  </si>
  <si>
    <t>e Ft-ban</t>
  </si>
  <si>
    <t>1.  melléklete</t>
  </si>
  <si>
    <t xml:space="preserve"> e Ft-ban</t>
  </si>
  <si>
    <t>6. melléklete</t>
  </si>
  <si>
    <t xml:space="preserve">    - gyermek étkeztetés támogatása (20, 30 %)</t>
  </si>
  <si>
    <t>5. melléklete</t>
  </si>
  <si>
    <t xml:space="preserve">     Ebből: - Önkormányzati lakhatási támogatás    </t>
  </si>
  <si>
    <t xml:space="preserve">               - Beiskolázási támogatás   </t>
  </si>
  <si>
    <t xml:space="preserve">              -  Temetési támogatás     </t>
  </si>
  <si>
    <t xml:space="preserve">             - egyszeri támogatás</t>
  </si>
  <si>
    <t>7. melléklete</t>
  </si>
  <si>
    <t>1./ Csatorna hálózat bérleti díja</t>
  </si>
  <si>
    <t xml:space="preserve">2./ Vízműhálózat :   - bérleti díj, koncessziós díj </t>
  </si>
  <si>
    <t xml:space="preserve">  Fejlesztési bevételek összesen: ( 1+….+7)</t>
  </si>
  <si>
    <t>5./ Pénzmaradvány    (Környezetvédelmi alap szla.)</t>
  </si>
  <si>
    <t xml:space="preserve">           - Hivatal felújítás</t>
  </si>
  <si>
    <t xml:space="preserve">            - közvilágítás fejlesztés</t>
  </si>
  <si>
    <t xml:space="preserve">            - út felújítás</t>
  </si>
  <si>
    <t>Működési    pénzeszközök</t>
  </si>
  <si>
    <t>1./ Központi költségvetésből kapott támogatások</t>
  </si>
  <si>
    <t>2./ Működési célra átvett pénz ÁHT belülről</t>
  </si>
  <si>
    <t>3./Közhatalmi bevételek</t>
  </si>
  <si>
    <t>4./ Intézményi működési bevételek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</si>
  <si>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</si>
  <si>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</si>
  <si>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</si>
  <si>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</si>
  <si>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</si>
  <si>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3./ Elvonások, befizetések</t>
  </si>
  <si>
    <t>4./ Működési pénzátadás áht-n belül</t>
  </si>
  <si>
    <t>5l./ Működési pénzátadás áht-n kívül</t>
  </si>
  <si>
    <t>6./ Felügyelet alá tartozó  költségvetési szervek támogatása</t>
  </si>
  <si>
    <t>8. mellékelete</t>
  </si>
  <si>
    <t>Szünidei étkeztetés</t>
  </si>
  <si>
    <t>Közfoglalkoztatás utas</t>
  </si>
  <si>
    <t>9. melléklete</t>
  </si>
  <si>
    <t>10. melléklete</t>
  </si>
  <si>
    <t>Irányító(felügyeleti) szervtől kapott támogatás - állami támogatás címén</t>
  </si>
  <si>
    <t>Fenntartó települések hozzájárulása</t>
  </si>
  <si>
    <t>11. melléklete</t>
  </si>
  <si>
    <t>átlagos statisztikai létszám</t>
  </si>
  <si>
    <t>főfoglalkozású</t>
  </si>
  <si>
    <t>Részfoglalkozású</t>
  </si>
  <si>
    <t>Önkormányzati ig. tev(Türje,Batyk,Zalaszentlászló)</t>
  </si>
  <si>
    <t>12. melléklete</t>
  </si>
  <si>
    <t>e Ft</t>
  </si>
  <si>
    <t>felhalmozási célú kiadás</t>
  </si>
  <si>
    <t>egyéb pl adóbev</t>
  </si>
  <si>
    <t>IX. Megelőlegezés visszafizetése</t>
  </si>
  <si>
    <t xml:space="preserve">  Működési bevételek összesen: ( 1+….+7)</t>
  </si>
  <si>
    <t>Működési   kiadások összesen (1+…+8) :</t>
  </si>
  <si>
    <t>7/ Megelőlegezés visszafizetése</t>
  </si>
  <si>
    <t>7. Megelőlegezés visszafizetés</t>
  </si>
  <si>
    <t>18.</t>
  </si>
  <si>
    <t xml:space="preserve">              - gyógyszer támogatás</t>
  </si>
  <si>
    <t>XIII. Türjei Közös Önkormányzati Hivatal 8. melléklet sz.</t>
  </si>
  <si>
    <t>Türje Község Önkormányzata  feladatainak bemutatása 2017. évre vonatkozóan</t>
  </si>
  <si>
    <t>Szociális társulás</t>
  </si>
  <si>
    <t>konyha</t>
  </si>
  <si>
    <t>fogorvos</t>
  </si>
  <si>
    <t>ifjúság eü ellátás</t>
  </si>
  <si>
    <t>egyéb civil szervezetek támogatása</t>
  </si>
  <si>
    <t xml:space="preserve">            - gyerekorvos</t>
  </si>
  <si>
    <t>gyerekorvos</t>
  </si>
  <si>
    <t>belső ellenőrzés</t>
  </si>
  <si>
    <t>gyerekjólét</t>
  </si>
  <si>
    <t>BURSA</t>
  </si>
  <si>
    <t>állami megelőlegezés</t>
  </si>
  <si>
    <t>Bérelti díj</t>
  </si>
  <si>
    <t xml:space="preserve">    - Türje Község Önkormányzat Főzőkonyhája</t>
  </si>
  <si>
    <t>1.2.3. Egyéb szolgáltatások bevételei (MAZSIHISZ)</t>
  </si>
  <si>
    <t xml:space="preserve">1.2. Fejlesztési: környezetvédel: 11000 + 839 + 1628) </t>
  </si>
  <si>
    <t>1.1. Működési (közf. 14274   + tüzifa 2863 +  talajterhelés: 1292 + állami támogatás megelőlegezése 6243, gépjárműadó 60 % 26, idegenadó: 71)</t>
  </si>
  <si>
    <t>Jogcímek és fajlagos összegek a 2016. éviX C számú Magyarország 2017. évi költségvetéséről szóló törvény  2. sz. melléklete alapján</t>
  </si>
  <si>
    <t xml:space="preserve">       4.580.000 Ft x 8,68 fő          =                               </t>
  </si>
  <si>
    <t xml:space="preserve">beszámítás után         6.000.000.- - 904 769.-                                                </t>
  </si>
  <si>
    <t xml:space="preserve">    - 2017. 8 hónapra óvoda pedagógusok elismert létszáma (8,2 fő)  </t>
  </si>
  <si>
    <t xml:space="preserve">    - 2017. 4 hónapra óvoda pedagógusok elismert létszáma (7,1 fő)  </t>
  </si>
  <si>
    <t xml:space="preserve">    - 2017. 8 hónapra óvoda ped. munkáját segítők létszáma 6 fő</t>
  </si>
  <si>
    <t xml:space="preserve">    - 2017. 4 hónapra óvoda ped. munkáját segítők létszáma 6 fő</t>
  </si>
  <si>
    <t xml:space="preserve">    - Pedagógusi bérfejlesztés pótlólagos összeg: 7,1 fő                               </t>
  </si>
  <si>
    <t>2. Óvodaműködési támogatás 81.700 Ft/ fő / év</t>
  </si>
  <si>
    <t xml:space="preserve"> 8 hónapra    81.700,- x 76 fő x 8/12       =                                  </t>
  </si>
  <si>
    <t xml:space="preserve"> 4 hónapra    81.700,- x 69 fő x 4/12       =                                    </t>
  </si>
  <si>
    <t xml:space="preserve">8 hónapra 11 fő után                                   =                 </t>
  </si>
  <si>
    <t xml:space="preserve">4 hónapra 10 fő után                                   =                 </t>
  </si>
  <si>
    <t xml:space="preserve">               fajlagos összeg: 55.360,-X110% x 84 fő       </t>
  </si>
  <si>
    <t xml:space="preserve">                szociális segítés 33 x 25 000 Ft</t>
  </si>
  <si>
    <t xml:space="preserve">               személyi gondozás: 273.000,- x 34 fő    </t>
  </si>
  <si>
    <t>3. Minibölcsőde támogatás 4 hónapra</t>
  </si>
  <si>
    <t xml:space="preserve">     - célhoz kötött (szennyvíz hálózat bérleti díja)</t>
  </si>
  <si>
    <t>XV. Türje Község Önkormányzat Főzőkonyhája</t>
  </si>
  <si>
    <t>XVI. Levonva az intézmények Finanszírozása</t>
  </si>
  <si>
    <t>XVII. Türje Község Önkormányzatának összevont bevételei</t>
  </si>
  <si>
    <t>1./ Óvodáztatási támogatás</t>
  </si>
  <si>
    <t>2./ gyeremekvédelmi támogatás</t>
  </si>
  <si>
    <t xml:space="preserve">             - újszülöttek támogatása</t>
  </si>
  <si>
    <t>6./  Iparüzési adó bevételből (30%)</t>
  </si>
  <si>
    <t>Fogorvosi szolgálat</t>
  </si>
  <si>
    <t>Ifjúság eü</t>
  </si>
  <si>
    <t>közfoglalkoztatás hosszú távú</t>
  </si>
  <si>
    <t>Közfoglalkoztatás térkő</t>
  </si>
  <si>
    <t>2017. évi  Működési kiadások részletezése kormányzati funkciónként és kiemelt előirányzatonként</t>
  </si>
  <si>
    <t>2017. évi költségvetés</t>
  </si>
  <si>
    <t>Továbbszámlázott szolgáltatások bevétele</t>
  </si>
  <si>
    <t>2017. évi költségvetése</t>
  </si>
  <si>
    <t xml:space="preserve">     4.) Közvetített szolgáltatások</t>
  </si>
  <si>
    <t>2017. évi  Működési kiadások részletezése szakfeladatonként és kiemelt előirányzatonként</t>
  </si>
  <si>
    <t>Türje Község Önkormányzat konyhája</t>
  </si>
  <si>
    <t>Felügyelet alá tartozó költségvetési szervek összesen</t>
  </si>
  <si>
    <t>Türje Község Önkormányzata Főzőkonyhája</t>
  </si>
  <si>
    <t>Intézményen kívüli gyermekétkeztetés</t>
  </si>
  <si>
    <t>Türje Község Önkormányzat Főzőkonyhája</t>
  </si>
  <si>
    <t>13. melléklet</t>
  </si>
  <si>
    <t xml:space="preserve">       2017. évi</t>
  </si>
  <si>
    <t>14. melléklete</t>
  </si>
  <si>
    <t>Szolgáltatás ellenértéke</t>
  </si>
  <si>
    <t>Ellátási díj bevétel</t>
  </si>
  <si>
    <t>Óvodai gyerekétkzetetés</t>
  </si>
  <si>
    <t>Iskolai gyerekétkeztetés</t>
  </si>
  <si>
    <t>Szociális étkzetetés</t>
  </si>
  <si>
    <t>egyéb étkeztetés</t>
  </si>
  <si>
    <t>Bölcsődei étkeztetés</t>
  </si>
  <si>
    <t xml:space="preserve">5./ Pénzmaradvány   </t>
  </si>
  <si>
    <t>XIV. Türje Község Önkormányzat Főzőkonyhája</t>
  </si>
  <si>
    <t xml:space="preserve">          -  finanszírozása</t>
  </si>
  <si>
    <t>2016 évi  Pénzmaradv.</t>
  </si>
  <si>
    <t>módosítás</t>
  </si>
  <si>
    <t>Alapfelmérés</t>
  </si>
  <si>
    <t>összesen</t>
  </si>
  <si>
    <t xml:space="preserve">2.7 Támogatás értékű bevétel EU_S </t>
  </si>
  <si>
    <t>EU-s ASP rendszer kiépítése</t>
  </si>
  <si>
    <t>Hivatal felújítás</t>
  </si>
  <si>
    <t>Közfoglalkoztatási programok</t>
  </si>
  <si>
    <t>1.2.4. 2016. évi étkezési díjak</t>
  </si>
  <si>
    <t>1.6.2 Áfavisszatérítés</t>
  </si>
  <si>
    <t>IV. Működésre átvett pénz ÁHT kívülről</t>
  </si>
  <si>
    <t>Vállalkozásoktól</t>
  </si>
  <si>
    <t>Egyéb szervezetektől</t>
  </si>
  <si>
    <t>1.3. Alapítványtól (56-os emlékmű)</t>
  </si>
  <si>
    <t>Kiszámlázott áfa, áfa visszatérítések</t>
  </si>
  <si>
    <t xml:space="preserve">            - Batyk 2016. évi elszámolás, zalabér rendelő fenntartás</t>
  </si>
  <si>
    <t xml:space="preserve">            - Fogorvos részére OEP. finansz. 3 kiegészítés</t>
  </si>
  <si>
    <t>3./ Közfoglalkoztatás programok</t>
  </si>
  <si>
    <t>8/ EU-s támogatások fejlesztési része</t>
  </si>
  <si>
    <t>4/ lakásvásárlási, -építési kölcsön visszafiz.</t>
  </si>
  <si>
    <t xml:space="preserve">           - Hivatal energetika</t>
  </si>
  <si>
    <t>Ebből:  - 56-os emlékmű</t>
  </si>
  <si>
    <t xml:space="preserve">          - start kertészet</t>
  </si>
  <si>
    <t xml:space="preserve">         - start helyi sajátos</t>
  </si>
  <si>
    <t xml:space="preserve">          - start utas</t>
  </si>
  <si>
    <t xml:space="preserve">          - ASP eszközbeszerzés</t>
  </si>
  <si>
    <t xml:space="preserve"> Működésre átvett pénz AHT kívülről</t>
  </si>
  <si>
    <t>közfolglalkoztatás kertészet 2018</t>
  </si>
  <si>
    <t>Közfoglalkoztatás helyi sajátos 18</t>
  </si>
  <si>
    <t>Közfoglalkoztatás utas 2018</t>
  </si>
  <si>
    <t>Közfoglalkoztatás           (79 fő 3 hónap) ( 9 hónap 74)</t>
  </si>
  <si>
    <t>2017. év</t>
  </si>
  <si>
    <t xml:space="preserve">          - támogatások</t>
  </si>
  <si>
    <t>fogászati ügyeleti ellátás</t>
  </si>
  <si>
    <t>1/e./ 2016. évi bérkompenzáció támogatása</t>
  </si>
  <si>
    <t>1/f Településaruculati kézikönyv készítése</t>
  </si>
  <si>
    <t>1.6. Helyi önkormányzatok kiegészítő támogatásai</t>
  </si>
  <si>
    <t>Minisztériumi támogatás - útfelújítás</t>
  </si>
  <si>
    <t>2.8. Támogatás értékű bevétel fejezettől (erzsébet utalvány)</t>
  </si>
  <si>
    <t xml:space="preserve">            - zalavíz</t>
  </si>
  <si>
    <t xml:space="preserve">            - Roma önkormányzat részére</t>
  </si>
  <si>
    <t xml:space="preserve">        3) lakosságnak</t>
  </si>
  <si>
    <t>9/ Útfelújítás támoagása</t>
  </si>
  <si>
    <t xml:space="preserve">           - gyógyszertár ablakcsere</t>
  </si>
  <si>
    <t xml:space="preserve">    - hivatal energetika </t>
  </si>
  <si>
    <t xml:space="preserve">    - útfelújítás</t>
  </si>
  <si>
    <t>2017. évben állami ktgv.-ből származó bevételek összesen:</t>
  </si>
  <si>
    <t>Összesen:</t>
  </si>
  <si>
    <t>27.</t>
  </si>
  <si>
    <t>28.</t>
  </si>
  <si>
    <t>29.</t>
  </si>
  <si>
    <t>30.</t>
  </si>
  <si>
    <t>31.</t>
  </si>
  <si>
    <t xml:space="preserve">         - start egyéb beszerzés</t>
  </si>
  <si>
    <t>Vis maior támogatás</t>
  </si>
  <si>
    <t>1.5. Egyéb közhatalmi bevételek</t>
  </si>
  <si>
    <t>1.3./A Ellátási díjak (2016. évi tartozások)</t>
  </si>
  <si>
    <t>1.10 Költségek visszatérítései</t>
  </si>
  <si>
    <t>Háztartásoktól</t>
  </si>
  <si>
    <t>IX. Államháztartáson belüli megelőlegezések</t>
  </si>
  <si>
    <t>Óvodai munkát segítők bértámogatása</t>
  </si>
  <si>
    <t xml:space="preserve">    a) Elismert dolgozók bértámogatása: 6,38 fő        </t>
  </si>
  <si>
    <t xml:space="preserve">    b) Gyerm. Étk. Üzemeltetésének támogatása </t>
  </si>
  <si>
    <t xml:space="preserve">    c) Gyermek étkeztetés szünidei támogatása  </t>
  </si>
  <si>
    <t>1.2.5. egyéb szolgáltatások (fuvarozás, stb)</t>
  </si>
  <si>
    <t>1.4 Területalapú támogatás</t>
  </si>
  <si>
    <t>1.5. Ingatlan értékesítés</t>
  </si>
  <si>
    <t xml:space="preserve">                                  - Fúvószenekar</t>
  </si>
  <si>
    <t xml:space="preserve">           - vértes attila dombormű</t>
  </si>
  <si>
    <t xml:space="preserve">          gyümölcsfeldolgozü</t>
  </si>
  <si>
    <t xml:space="preserve">           - tasaktöltó, géepk</t>
  </si>
  <si>
    <t>játszótér</t>
  </si>
  <si>
    <t xml:space="preserve">            - vis maior</t>
  </si>
  <si>
    <t>előirányzat</t>
  </si>
  <si>
    <t>4/ Immateriális javak - TAK készítés</t>
  </si>
  <si>
    <t xml:space="preserve">         - ingatlan vásárlás</t>
  </si>
  <si>
    <t xml:space="preserve">            zalakar 3 fázis</t>
  </si>
  <si>
    <t xml:space="preserve">            lelátó</t>
  </si>
  <si>
    <t>Költségek visszatérítései áfával</t>
  </si>
  <si>
    <t xml:space="preserve">Türje Község Önkormányzat …./2018. (III....) rendelete a 2017. évi költségvetésről szóló többször módosított  6/2017. (III.01.) rendelet módosításáról   </t>
  </si>
  <si>
    <t>10/ kiegészítő támogatás TAK</t>
  </si>
  <si>
    <t>Ágazati pótlék</t>
  </si>
  <si>
    <t>Bölcsődei pótlék</t>
  </si>
  <si>
    <t xml:space="preserve">   Kulturális pótlék</t>
  </si>
  <si>
    <t>XIV. Türjei Közös Önkormányzati Hivatal</t>
  </si>
  <si>
    <t xml:space="preserve">     - hivatal energetika: 37367-17465, útfelújítás - 14992, Lakásvásárlási kölcsön fennálló követelésre: 1537,0</t>
  </si>
  <si>
    <t>7./ Kötött felhasználású támogatás - vis maior</t>
  </si>
  <si>
    <t>Kötött felhasználású támogás - alapítvány</t>
  </si>
  <si>
    <t>11/ Területalapú támogatás</t>
  </si>
  <si>
    <t>művház, mezőőr, könyvtár, hivatal, fogorvos, zöldterület</t>
  </si>
  <si>
    <t>12/ Ingatlanértékesítés</t>
  </si>
  <si>
    <t>6/ megelőlegezés</t>
  </si>
  <si>
    <t xml:space="preserve">    - célhoz kötött</t>
  </si>
  <si>
    <t xml:space="preserve">       - lakásvásárlási kölcsön tartalék</t>
  </si>
  <si>
    <t>Segélyezés (tüzifa)</t>
  </si>
  <si>
    <t>Költségek visszatérítései</t>
  </si>
  <si>
    <t>I. Munkaügyi bértámogatás</t>
  </si>
  <si>
    <t>II. Intézményi működési bevételek összesen:</t>
  </si>
  <si>
    <t>IV. Előző évi pénzmaradvány</t>
  </si>
  <si>
    <t>Intézményi bevételek összesen</t>
  </si>
  <si>
    <t xml:space="preserve">         - ingatlan értékesítés</t>
  </si>
  <si>
    <t xml:space="preserve">          -  megelőlegezés</t>
  </si>
  <si>
    <t xml:space="preserve"> </t>
  </si>
  <si>
    <r>
      <t xml:space="preserve">     - Cél 1292+26+71 + közfoglalkoztatás 2018. évi bérelőleg + ASP projekt 2018. évikifizetése 2700 + hivatal energetika 2018. évi kif: 906,0; </t>
    </r>
    <r>
      <rPr>
        <strike/>
        <sz val="10"/>
        <rFont val="Arial CE"/>
        <charset val="238"/>
      </rPr>
      <t>tüzifa 3787</t>
    </r>
    <r>
      <rPr>
        <sz val="10"/>
        <rFont val="Arial CE"/>
        <family val="2"/>
        <charset val="238"/>
      </rPr>
      <t xml:space="preserve">; céltartalék közbiztonsági támogatás kifizetésére: 250,0 be nem folyt adóbevételekre: 4917,0; be nem folyt mezőőri járulékra: 1190,0, </t>
    </r>
  </si>
  <si>
    <t>Türje Község Önkormányzat 3/2018. (IV.04.) rendelete a 2017. évi költségvetésről szóló többször módosított  6/2017. (III.01.) rendelet módosításáról                                                     15. Melléklet</t>
  </si>
  <si>
    <t xml:space="preserve">Türje Község Önkormányzat  3/2018. (IV.04.) rendelete a 2017. évi költségvetésről szóló többször módosított  6/2017. (III.01.) rendelet módosításáról   </t>
  </si>
  <si>
    <t xml:space="preserve">Türje Község Önkormányzat  3/2018. (IV.04.).) rendelete a 2017. évi költségvetésről szóló többször módosított  6/2017. (III.01.) rendelet módosításáról   </t>
  </si>
  <si>
    <t xml:space="preserve">Türje Község Önkormányzat  3/2018. (IV.04.)rendelete a 2017. évi költségvetésről szóló többször módosított  6/2017. (III.01.) rendelet módosításáról   </t>
  </si>
  <si>
    <t xml:space="preserve">Türje Község Önkormányzat … 3/2018. (IV.04.)..) rendelete a 2017. évi költségvetésről szóló többször módosított  6/2017. (III.01.) rendelet módosításáról   </t>
  </si>
  <si>
    <t xml:space="preserve">Türje Község Önkormányzat  3/2018. (IV.04.)) rendelete a 2017. évi költségvetésről szóló többször módosított  6/2017. (III.01.) rendelet módosításáról   </t>
  </si>
  <si>
    <t xml:space="preserve">Türje Község Önkormányzat  3/2018. (IV.04.).) rendelete a 2017. évi költségvetésről szóló többször módosított  6/2017. (III.01.) rendelet módosításáról    </t>
  </si>
  <si>
    <t xml:space="preserve">Türje Község Önkormányzat  3/2018. (IV.04.)rendelete a 2017. évi költségvetésről szóló többször módosított  6/2017. (III.01.) rendelet módosításáról     </t>
  </si>
  <si>
    <t xml:space="preserve">Türje Község Önkormányzat  3/2018. (IV.04.)...) rendelete a 2017. évi költségvetésről szóló többször módosított  6/2017. (III.01.) rendelet módosításáról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</si>
</sst>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2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 CE"/>
      <charset val="238"/>
    </font>
    <font>
      <strike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14" fontId="3" fillId="0" borderId="11" xfId="0" applyNumberFormat="1" applyFont="1" applyBorder="1" applyAlignment="1">
      <alignment horizontal="center"/>
    </xf>
    <xf numFmtId="0" fontId="3" fillId="0" borderId="12" xfId="0" applyFont="1" applyBorder="1"/>
    <xf numFmtId="3" fontId="2" fillId="0" borderId="12" xfId="0" applyNumberFormat="1" applyFont="1" applyBorder="1"/>
    <xf numFmtId="3" fontId="3" fillId="0" borderId="12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3" fillId="0" borderId="13" xfId="0" applyFont="1" applyBorder="1"/>
    <xf numFmtId="3" fontId="3" fillId="0" borderId="1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3" fontId="2" fillId="0" borderId="15" xfId="0" applyNumberFormat="1" applyFont="1" applyBorder="1"/>
    <xf numFmtId="0" fontId="3" fillId="0" borderId="12" xfId="0" applyFont="1" applyFill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3" fontId="1" fillId="0" borderId="13" xfId="0" applyNumberFormat="1" applyFont="1" applyBorder="1"/>
    <xf numFmtId="0" fontId="1" fillId="0" borderId="13" xfId="0" applyFont="1" applyBorder="1"/>
    <xf numFmtId="3" fontId="1" fillId="0" borderId="16" xfId="0" applyNumberFormat="1" applyFont="1" applyBorder="1"/>
    <xf numFmtId="0" fontId="1" fillId="0" borderId="16" xfId="0" applyFont="1" applyBorder="1"/>
    <xf numFmtId="0" fontId="1" fillId="0" borderId="12" xfId="0" applyFont="1" applyBorder="1"/>
    <xf numFmtId="0" fontId="1" fillId="0" borderId="17" xfId="0" applyFont="1" applyFill="1" applyBorder="1"/>
    <xf numFmtId="0" fontId="1" fillId="0" borderId="18" xfId="0" applyFont="1" applyFill="1" applyBorder="1"/>
    <xf numFmtId="3" fontId="1" fillId="0" borderId="15" xfId="0" applyNumberFormat="1" applyFont="1" applyBorder="1"/>
    <xf numFmtId="0" fontId="1" fillId="0" borderId="17" xfId="0" applyFont="1" applyBorder="1"/>
    <xf numFmtId="0" fontId="1" fillId="0" borderId="15" xfId="0" applyFont="1" applyBorder="1"/>
    <xf numFmtId="0" fontId="1" fillId="0" borderId="19" xfId="0" applyFon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1" fillId="0" borderId="13" xfId="0" applyFont="1" applyFill="1" applyBorder="1"/>
    <xf numFmtId="0" fontId="1" fillId="0" borderId="16" xfId="0" applyFont="1" applyFill="1" applyBorder="1"/>
    <xf numFmtId="3" fontId="1" fillId="0" borderId="21" xfId="0" applyNumberFormat="1" applyFont="1" applyBorder="1"/>
    <xf numFmtId="0" fontId="4" fillId="0" borderId="23" xfId="0" applyFont="1" applyBorder="1"/>
    <xf numFmtId="3" fontId="4" fillId="0" borderId="9" xfId="0" applyNumberFormat="1" applyFont="1" applyBorder="1"/>
    <xf numFmtId="3" fontId="4" fillId="0" borderId="8" xfId="0" applyNumberFormat="1" applyFont="1" applyBorder="1"/>
    <xf numFmtId="0" fontId="4" fillId="0" borderId="24" xfId="0" applyFont="1" applyBorder="1"/>
    <xf numFmtId="0" fontId="4" fillId="0" borderId="25" xfId="0" applyFont="1" applyBorder="1"/>
    <xf numFmtId="3" fontId="2" fillId="0" borderId="13" xfId="0" applyNumberFormat="1" applyFont="1" applyBorder="1"/>
    <xf numFmtId="0" fontId="1" fillId="0" borderId="26" xfId="0" applyFont="1" applyBorder="1"/>
    <xf numFmtId="0" fontId="4" fillId="0" borderId="27" xfId="0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3" fillId="0" borderId="21" xfId="0" applyNumberFormat="1" applyFont="1" applyBorder="1"/>
    <xf numFmtId="0" fontId="3" fillId="0" borderId="28" xfId="0" applyFont="1" applyBorder="1"/>
    <xf numFmtId="3" fontId="3" fillId="0" borderId="29" xfId="0" applyNumberFormat="1" applyFont="1" applyBorder="1" applyAlignment="1">
      <alignment horizontal="right"/>
    </xf>
    <xf numFmtId="0" fontId="3" fillId="0" borderId="30" xfId="0" applyFont="1" applyBorder="1"/>
    <xf numFmtId="0" fontId="2" fillId="0" borderId="20" xfId="0" applyFont="1" applyBorder="1"/>
    <xf numFmtId="3" fontId="2" fillId="0" borderId="31" xfId="0" applyNumberFormat="1" applyFont="1" applyBorder="1" applyAlignment="1">
      <alignment horizontal="right"/>
    </xf>
    <xf numFmtId="0" fontId="3" fillId="0" borderId="27" xfId="0" applyFont="1" applyBorder="1"/>
    <xf numFmtId="3" fontId="3" fillId="0" borderId="22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3" fontId="4" fillId="0" borderId="33" xfId="0" applyNumberFormat="1" applyFont="1" applyBorder="1"/>
    <xf numFmtId="0" fontId="1" fillId="0" borderId="28" xfId="0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3" fontId="4" fillId="0" borderId="13" xfId="0" applyNumberFormat="1" applyFont="1" applyBorder="1"/>
    <xf numFmtId="0" fontId="4" fillId="0" borderId="15" xfId="0" applyFont="1" applyBorder="1"/>
    <xf numFmtId="0" fontId="1" fillId="0" borderId="12" xfId="0" applyFont="1" applyFill="1" applyBorder="1"/>
    <xf numFmtId="3" fontId="4" fillId="0" borderId="34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3" fontId="3" fillId="0" borderId="17" xfId="0" applyNumberFormat="1" applyFont="1" applyBorder="1"/>
    <xf numFmtId="3" fontId="2" fillId="0" borderId="16" xfId="0" applyNumberFormat="1" applyFont="1" applyBorder="1"/>
    <xf numFmtId="3" fontId="3" fillId="0" borderId="35" xfId="0" applyNumberFormat="1" applyFont="1" applyBorder="1"/>
    <xf numFmtId="0" fontId="4" fillId="0" borderId="37" xfId="0" applyFont="1" applyBorder="1"/>
    <xf numFmtId="3" fontId="4" fillId="0" borderId="12" xfId="0" applyNumberFormat="1" applyFont="1" applyBorder="1" applyAlignment="1">
      <alignment horizontal="right"/>
    </xf>
    <xf numFmtId="3" fontId="4" fillId="0" borderId="32" xfId="0" applyNumberFormat="1" applyFont="1" applyBorder="1"/>
    <xf numFmtId="0" fontId="0" fillId="0" borderId="12" xfId="0" applyFont="1" applyBorder="1"/>
    <xf numFmtId="0" fontId="7" fillId="0" borderId="0" xfId="0" applyFont="1"/>
    <xf numFmtId="0" fontId="4" fillId="0" borderId="0" xfId="0" applyFont="1"/>
    <xf numFmtId="3" fontId="1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5" xfId="0" applyBorder="1"/>
    <xf numFmtId="0" fontId="0" fillId="0" borderId="40" xfId="0" applyBorder="1"/>
    <xf numFmtId="0" fontId="0" fillId="0" borderId="41" xfId="0" applyBorder="1"/>
    <xf numFmtId="0" fontId="0" fillId="0" borderId="21" xfId="0" applyBorder="1"/>
    <xf numFmtId="0" fontId="0" fillId="0" borderId="42" xfId="0" applyBorder="1"/>
    <xf numFmtId="0" fontId="0" fillId="0" borderId="13" xfId="0" applyBorder="1"/>
    <xf numFmtId="0" fontId="0" fillId="0" borderId="12" xfId="0" applyBorder="1"/>
    <xf numFmtId="0" fontId="0" fillId="0" borderId="15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35" xfId="0" applyNumberFormat="1" applyFont="1" applyBorder="1"/>
    <xf numFmtId="3" fontId="2" fillId="0" borderId="39" xfId="0" applyNumberFormat="1" applyFont="1" applyBorder="1" applyAlignment="1">
      <alignment horizontal="right"/>
    </xf>
    <xf numFmtId="0" fontId="2" fillId="0" borderId="43" xfId="0" applyFont="1" applyBorder="1"/>
    <xf numFmtId="3" fontId="2" fillId="0" borderId="22" xfId="0" applyNumberFormat="1" applyFon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4" fillId="0" borderId="35" xfId="0" applyNumberFormat="1" applyFont="1" applyBorder="1" applyAlignment="1">
      <alignment horizontal="right"/>
    </xf>
    <xf numFmtId="3" fontId="4" fillId="0" borderId="18" xfId="0" applyNumberFormat="1" applyFont="1" applyBorder="1"/>
    <xf numFmtId="3" fontId="2" fillId="0" borderId="35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3" fillId="0" borderId="38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0" fontId="0" fillId="0" borderId="12" xfId="0" applyFill="1" applyBorder="1"/>
    <xf numFmtId="3" fontId="1" fillId="0" borderId="13" xfId="0" applyNumberFormat="1" applyFont="1" applyBorder="1" applyAlignment="1">
      <alignment horizontal="right"/>
    </xf>
    <xf numFmtId="0" fontId="3" fillId="0" borderId="12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14" fontId="3" fillId="0" borderId="28" xfId="0" applyNumberFormat="1" applyFont="1" applyBorder="1"/>
    <xf numFmtId="0" fontId="2" fillId="2" borderId="44" xfId="0" applyFont="1" applyFill="1" applyBorder="1"/>
    <xf numFmtId="0" fontId="2" fillId="2" borderId="28" xfId="0" applyFont="1" applyFill="1" applyBorder="1"/>
    <xf numFmtId="0" fontId="3" fillId="0" borderId="2" xfId="0" applyFont="1" applyBorder="1" applyAlignment="1">
      <alignment horizontal="center"/>
    </xf>
    <xf numFmtId="14" fontId="3" fillId="0" borderId="45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2" fillId="2" borderId="35" xfId="0" applyNumberFormat="1" applyFont="1" applyFill="1" applyBorder="1"/>
    <xf numFmtId="3" fontId="2" fillId="0" borderId="18" xfId="0" applyNumberFormat="1" applyFont="1" applyBorder="1"/>
    <xf numFmtId="0" fontId="4" fillId="2" borderId="12" xfId="0" applyFont="1" applyFill="1" applyBorder="1"/>
    <xf numFmtId="3" fontId="4" fillId="2" borderId="12" xfId="0" applyNumberFormat="1" applyFont="1" applyFill="1" applyBorder="1"/>
    <xf numFmtId="3" fontId="4" fillId="2" borderId="35" xfId="0" applyNumberFormat="1" applyFont="1" applyFill="1" applyBorder="1"/>
    <xf numFmtId="3" fontId="1" fillId="0" borderId="35" xfId="0" applyNumberFormat="1" applyFont="1" applyBorder="1"/>
    <xf numFmtId="3" fontId="1" fillId="0" borderId="18" xfId="0" applyNumberFormat="1" applyFont="1" applyBorder="1"/>
    <xf numFmtId="0" fontId="2" fillId="2" borderId="15" xfId="0" applyFont="1" applyFill="1" applyBorder="1"/>
    <xf numFmtId="3" fontId="2" fillId="2" borderId="15" xfId="0" applyNumberFormat="1" applyFont="1" applyFill="1" applyBorder="1"/>
    <xf numFmtId="0" fontId="2" fillId="2" borderId="12" xfId="0" applyFont="1" applyFill="1" applyBorder="1"/>
    <xf numFmtId="0" fontId="4" fillId="2" borderId="15" xfId="0" applyFont="1" applyFill="1" applyBorder="1"/>
    <xf numFmtId="3" fontId="2" fillId="2" borderId="18" xfId="0" applyNumberFormat="1" applyFont="1" applyFill="1" applyBorder="1"/>
    <xf numFmtId="10" fontId="0" fillId="2" borderId="12" xfId="0" applyNumberFormat="1" applyFill="1" applyBorder="1"/>
    <xf numFmtId="10" fontId="0" fillId="0" borderId="12" xfId="0" applyNumberFormat="1" applyFill="1" applyBorder="1"/>
    <xf numFmtId="10" fontId="4" fillId="2" borderId="12" xfId="0" applyNumberFormat="1" applyFont="1" applyFill="1" applyBorder="1"/>
    <xf numFmtId="0" fontId="8" fillId="2" borderId="12" xfId="0" applyFont="1" applyFill="1" applyBorder="1"/>
    <xf numFmtId="10" fontId="0" fillId="0" borderId="12" xfId="0" applyNumberFormat="1" applyBorder="1"/>
    <xf numFmtId="0" fontId="1" fillId="2" borderId="13" xfId="0" applyFont="1" applyFill="1" applyBorder="1"/>
    <xf numFmtId="0" fontId="1" fillId="2" borderId="22" xfId="0" applyFont="1" applyFill="1" applyBorder="1"/>
    <xf numFmtId="0" fontId="4" fillId="0" borderId="12" xfId="0" applyFont="1" applyFill="1" applyBorder="1"/>
    <xf numFmtId="0" fontId="3" fillId="0" borderId="40" xfId="0" applyFont="1" applyBorder="1" applyAlignment="1">
      <alignment wrapText="1"/>
    </xf>
    <xf numFmtId="3" fontId="3" fillId="0" borderId="40" xfId="0" applyNumberFormat="1" applyFont="1" applyBorder="1"/>
    <xf numFmtId="3" fontId="1" fillId="0" borderId="40" xfId="0" applyNumberFormat="1" applyFont="1" applyBorder="1"/>
    <xf numFmtId="10" fontId="0" fillId="0" borderId="40" xfId="0" applyNumberFormat="1" applyFill="1" applyBorder="1"/>
    <xf numFmtId="14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46" xfId="0" applyFont="1" applyBorder="1"/>
    <xf numFmtId="3" fontId="3" fillId="0" borderId="44" xfId="0" applyNumberFormat="1" applyFont="1" applyBorder="1"/>
    <xf numFmtId="0" fontId="3" fillId="0" borderId="19" xfId="0" applyFont="1" applyBorder="1"/>
    <xf numFmtId="0" fontId="3" fillId="0" borderId="0" xfId="0" applyFont="1" applyBorder="1" applyAlignment="1">
      <alignment horizontal="center"/>
    </xf>
    <xf numFmtId="0" fontId="0" fillId="0" borderId="47" xfId="0" applyBorder="1"/>
    <xf numFmtId="0" fontId="2" fillId="0" borderId="40" xfId="0" applyFont="1" applyFill="1" applyBorder="1"/>
    <xf numFmtId="3" fontId="2" fillId="0" borderId="40" xfId="0" applyNumberFormat="1" applyFont="1" applyFill="1" applyBorder="1"/>
    <xf numFmtId="10" fontId="4" fillId="0" borderId="40" xfId="0" applyNumberFormat="1" applyFont="1" applyFill="1" applyBorder="1"/>
    <xf numFmtId="0" fontId="3" fillId="0" borderId="46" xfId="0" applyFont="1" applyBorder="1"/>
    <xf numFmtId="3" fontId="3" fillId="0" borderId="30" xfId="0" applyNumberFormat="1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2" fillId="2" borderId="48" xfId="0" applyFont="1" applyFill="1" applyBorder="1"/>
    <xf numFmtId="0" fontId="3" fillId="0" borderId="40" xfId="0" applyFont="1" applyBorder="1"/>
    <xf numFmtId="3" fontId="4" fillId="0" borderId="40" xfId="0" applyNumberFormat="1" applyFont="1" applyBorder="1"/>
    <xf numFmtId="0" fontId="1" fillId="0" borderId="40" xfId="0" applyFont="1" applyBorder="1"/>
    <xf numFmtId="0" fontId="1" fillId="0" borderId="40" xfId="0" applyFont="1" applyFill="1" applyBorder="1"/>
    <xf numFmtId="3" fontId="4" fillId="0" borderId="40" xfId="0" applyNumberFormat="1" applyFont="1" applyFill="1" applyBorder="1"/>
    <xf numFmtId="0" fontId="4" fillId="0" borderId="4" xfId="0" applyFont="1" applyBorder="1"/>
    <xf numFmtId="0" fontId="2" fillId="3" borderId="40" xfId="0" applyFont="1" applyFill="1" applyBorder="1"/>
    <xf numFmtId="3" fontId="2" fillId="3" borderId="40" xfId="0" applyNumberFormat="1" applyFont="1" applyFill="1" applyBorder="1"/>
    <xf numFmtId="0" fontId="2" fillId="0" borderId="40" xfId="0" applyFont="1" applyBorder="1"/>
    <xf numFmtId="3" fontId="2" fillId="0" borderId="40" xfId="0" applyNumberFormat="1" applyFont="1" applyBorder="1"/>
    <xf numFmtId="0" fontId="4" fillId="2" borderId="10" xfId="0" applyFont="1" applyFill="1" applyBorder="1"/>
    <xf numFmtId="3" fontId="4" fillId="2" borderId="10" xfId="0" applyNumberFormat="1" applyFont="1" applyFill="1" applyBorder="1"/>
    <xf numFmtId="0" fontId="4" fillId="3" borderId="40" xfId="0" applyFont="1" applyFill="1" applyBorder="1"/>
    <xf numFmtId="3" fontId="4" fillId="3" borderId="40" xfId="0" applyNumberFormat="1" applyFont="1" applyFill="1" applyBorder="1"/>
    <xf numFmtId="0" fontId="4" fillId="0" borderId="40" xfId="0" applyFont="1" applyBorder="1"/>
    <xf numFmtId="0" fontId="2" fillId="3" borderId="42" xfId="0" applyFont="1" applyFill="1" applyBorder="1"/>
    <xf numFmtId="10" fontId="0" fillId="3" borderId="40" xfId="0" applyNumberFormat="1" applyFill="1" applyBorder="1"/>
    <xf numFmtId="10" fontId="0" fillId="0" borderId="13" xfId="0" applyNumberFormat="1" applyFill="1" applyBorder="1"/>
    <xf numFmtId="0" fontId="4" fillId="0" borderId="40" xfId="0" applyFont="1" applyFill="1" applyBorder="1"/>
    <xf numFmtId="10" fontId="4" fillId="0" borderId="12" xfId="0" applyNumberFormat="1" applyFont="1" applyBorder="1"/>
    <xf numFmtId="0" fontId="4" fillId="3" borderId="12" xfId="0" applyFont="1" applyFill="1" applyBorder="1"/>
    <xf numFmtId="3" fontId="4" fillId="3" borderId="12" xfId="0" applyNumberFormat="1" applyFont="1" applyFill="1" applyBorder="1"/>
    <xf numFmtId="10" fontId="4" fillId="3" borderId="12" xfId="0" applyNumberFormat="1" applyFont="1" applyFill="1" applyBorder="1"/>
    <xf numFmtId="6" fontId="1" fillId="0" borderId="40" xfId="0" applyNumberFormat="1" applyFont="1" applyBorder="1"/>
    <xf numFmtId="10" fontId="0" fillId="0" borderId="40" xfId="0" applyNumberFormat="1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49" xfId="0" applyBorder="1"/>
    <xf numFmtId="0" fontId="0" fillId="0" borderId="50" xfId="0" applyBorder="1"/>
    <xf numFmtId="0" fontId="4" fillId="2" borderId="51" xfId="0" applyFont="1" applyFill="1" applyBorder="1"/>
    <xf numFmtId="0" fontId="4" fillId="3" borderId="23" xfId="0" applyFont="1" applyFill="1" applyBorder="1"/>
    <xf numFmtId="0" fontId="4" fillId="0" borderId="2" xfId="0" applyFont="1" applyBorder="1"/>
    <xf numFmtId="0" fontId="4" fillId="0" borderId="45" xfId="0" applyFont="1" applyBorder="1"/>
    <xf numFmtId="0" fontId="0" fillId="0" borderId="46" xfId="0" applyBorder="1"/>
    <xf numFmtId="0" fontId="4" fillId="0" borderId="44" xfId="0" applyFont="1" applyBorder="1"/>
    <xf numFmtId="0" fontId="13" fillId="0" borderId="9" xfId="0" applyFont="1" applyBorder="1" applyAlignment="1">
      <alignment vertical="top" wrapText="1"/>
    </xf>
    <xf numFmtId="0" fontId="13" fillId="0" borderId="46" xfId="0" applyFont="1" applyBorder="1" applyAlignment="1">
      <alignment vertical="top" wrapText="1"/>
    </xf>
    <xf numFmtId="0" fontId="15" fillId="0" borderId="46" xfId="0" applyFont="1" applyBorder="1" applyAlignment="1">
      <alignment vertical="top" wrapText="1"/>
    </xf>
    <xf numFmtId="0" fontId="13" fillId="0" borderId="46" xfId="0" applyFont="1" applyBorder="1" applyAlignment="1">
      <alignment horizontal="left" vertical="top" wrapText="1" indent="4"/>
    </xf>
    <xf numFmtId="0" fontId="13" fillId="0" borderId="9" xfId="0" applyFont="1" applyBorder="1" applyAlignment="1">
      <alignment horizontal="left" vertical="top" wrapText="1" indent="4"/>
    </xf>
    <xf numFmtId="0" fontId="15" fillId="0" borderId="9" xfId="0" applyFont="1" applyBorder="1" applyAlignment="1">
      <alignment vertical="top" wrapText="1"/>
    </xf>
    <xf numFmtId="0" fontId="2" fillId="0" borderId="0" xfId="0" applyFont="1"/>
    <xf numFmtId="0" fontId="2" fillId="0" borderId="12" xfId="0" applyFont="1" applyBorder="1" applyAlignment="1">
      <alignment horizontal="center"/>
    </xf>
    <xf numFmtId="3" fontId="0" fillId="0" borderId="12" xfId="0" applyNumberFormat="1" applyBorder="1"/>
    <xf numFmtId="3" fontId="0" fillId="0" borderId="35" xfId="0" applyNumberFormat="1" applyBorder="1" applyAlignment="1">
      <alignment horizontal="right"/>
    </xf>
    <xf numFmtId="3" fontId="0" fillId="0" borderId="13" xfId="0" applyNumberFormat="1" applyBorder="1"/>
    <xf numFmtId="3" fontId="0" fillId="0" borderId="26" xfId="0" applyNumberFormat="1" applyBorder="1" applyAlignment="1">
      <alignment horizontal="right"/>
    </xf>
    <xf numFmtId="0" fontId="0" fillId="0" borderId="18" xfId="0" applyBorder="1"/>
    <xf numFmtId="0" fontId="4" fillId="0" borderId="21" xfId="0" applyFont="1" applyBorder="1"/>
    <xf numFmtId="3" fontId="4" fillId="0" borderId="26" xfId="0" applyNumberFormat="1" applyFont="1" applyBorder="1" applyAlignment="1">
      <alignment horizontal="right"/>
    </xf>
    <xf numFmtId="0" fontId="4" fillId="0" borderId="17" xfId="0" applyFont="1" applyBorder="1"/>
    <xf numFmtId="3" fontId="4" fillId="0" borderId="22" xfId="0" applyNumberFormat="1" applyFont="1" applyBorder="1"/>
    <xf numFmtId="3" fontId="4" fillId="0" borderId="52" xfId="0" applyNumberFormat="1" applyFont="1" applyBorder="1" applyAlignment="1">
      <alignment horizontal="right"/>
    </xf>
    <xf numFmtId="0" fontId="2" fillId="0" borderId="1" xfId="0" applyFont="1" applyFill="1" applyBorder="1"/>
    <xf numFmtId="3" fontId="0" fillId="0" borderId="46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6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0" fontId="4" fillId="0" borderId="13" xfId="0" applyFont="1" applyBorder="1"/>
    <xf numFmtId="3" fontId="0" fillId="0" borderId="40" xfId="0" applyNumberFormat="1" applyBorder="1" applyAlignment="1">
      <alignment horizontal="right"/>
    </xf>
    <xf numFmtId="3" fontId="0" fillId="0" borderId="46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2" xfId="0" applyNumberFormat="1" applyFont="1" applyBorder="1"/>
    <xf numFmtId="0" fontId="0" fillId="0" borderId="9" xfId="0" applyBorder="1"/>
    <xf numFmtId="0" fontId="17" fillId="0" borderId="42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wrapText="1"/>
    </xf>
    <xf numFmtId="0" fontId="17" fillId="0" borderId="55" xfId="0" applyFont="1" applyBorder="1" applyAlignment="1">
      <alignment wrapText="1"/>
    </xf>
    <xf numFmtId="0" fontId="17" fillId="0" borderId="56" xfId="0" applyFont="1" applyBorder="1" applyAlignment="1">
      <alignment wrapText="1"/>
    </xf>
    <xf numFmtId="0" fontId="17" fillId="0" borderId="57" xfId="0" applyFont="1" applyBorder="1" applyAlignment="1">
      <alignment wrapText="1"/>
    </xf>
    <xf numFmtId="0" fontId="17" fillId="0" borderId="58" xfId="0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17" fillId="0" borderId="59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17" fillId="0" borderId="40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2" xfId="0" applyFont="1" applyBorder="1" applyAlignment="1">
      <alignment wrapText="1"/>
    </xf>
    <xf numFmtId="0" fontId="18" fillId="0" borderId="0" xfId="0" applyFont="1" applyAlignment="1">
      <alignment wrapText="1"/>
    </xf>
    <xf numFmtId="0" fontId="17" fillId="4" borderId="0" xfId="0" applyFont="1" applyFill="1" applyBorder="1" applyAlignment="1">
      <alignment wrapText="1"/>
    </xf>
    <xf numFmtId="0" fontId="17" fillId="4" borderId="2" xfId="0" applyFont="1" applyFill="1" applyBorder="1" applyAlignment="1">
      <alignment wrapText="1"/>
    </xf>
    <xf numFmtId="0" fontId="13" fillId="0" borderId="46" xfId="0" applyFont="1" applyBorder="1" applyAlignment="1">
      <alignment horizontal="left" vertical="top" wrapText="1" indent="2"/>
    </xf>
    <xf numFmtId="4" fontId="4" fillId="0" borderId="63" xfId="0" applyNumberFormat="1" applyFont="1" applyBorder="1"/>
    <xf numFmtId="0" fontId="0" fillId="0" borderId="28" xfId="0" applyBorder="1"/>
    <xf numFmtId="0" fontId="0" fillId="0" borderId="13" xfId="0" applyFill="1" applyBorder="1"/>
    <xf numFmtId="0" fontId="3" fillId="0" borderId="28" xfId="0" applyFont="1" applyBorder="1" applyAlignment="1">
      <alignment wrapText="1"/>
    </xf>
    <xf numFmtId="0" fontId="18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top" wrapText="1"/>
    </xf>
    <xf numFmtId="1" fontId="17" fillId="0" borderId="12" xfId="0" applyNumberFormat="1" applyFont="1" applyBorder="1" applyAlignment="1">
      <alignment wrapText="1"/>
    </xf>
    <xf numFmtId="0" fontId="17" fillId="0" borderId="37" xfId="0" applyFont="1" applyBorder="1" applyAlignment="1">
      <alignment wrapText="1"/>
    </xf>
    <xf numFmtId="0" fontId="17" fillId="0" borderId="64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17" fillId="0" borderId="65" xfId="0" applyFont="1" applyBorder="1" applyAlignment="1">
      <alignment wrapText="1"/>
    </xf>
    <xf numFmtId="0" fontId="17" fillId="0" borderId="66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3" fillId="2" borderId="67" xfId="0" applyNumberFormat="1" applyFont="1" applyFill="1" applyBorder="1"/>
    <xf numFmtId="2" fontId="4" fillId="0" borderId="29" xfId="0" applyNumberFormat="1" applyFont="1" applyBorder="1"/>
    <xf numFmtId="2" fontId="3" fillId="0" borderId="29" xfId="0" applyNumberFormat="1" applyFont="1" applyBorder="1"/>
    <xf numFmtId="2" fontId="3" fillId="0" borderId="68" xfId="0" applyNumberFormat="1" applyFont="1" applyBorder="1"/>
    <xf numFmtId="2" fontId="4" fillId="2" borderId="68" xfId="0" applyNumberFormat="1" applyFont="1" applyFill="1" applyBorder="1"/>
    <xf numFmtId="2" fontId="4" fillId="0" borderId="40" xfId="0" applyNumberFormat="1" applyFont="1" applyBorder="1"/>
    <xf numFmtId="2" fontId="4" fillId="2" borderId="67" xfId="0" applyNumberFormat="1" applyFont="1" applyFill="1" applyBorder="1"/>
    <xf numFmtId="2" fontId="3" fillId="0" borderId="40" xfId="0" applyNumberFormat="1" applyFont="1" applyBorder="1"/>
    <xf numFmtId="2" fontId="4" fillId="2" borderId="29" xfId="0" applyNumberFormat="1" applyFont="1" applyFill="1" applyBorder="1"/>
    <xf numFmtId="2" fontId="4" fillId="0" borderId="40" xfId="0" applyNumberFormat="1" applyFont="1" applyFill="1" applyBorder="1"/>
    <xf numFmtId="2" fontId="4" fillId="3" borderId="40" xfId="0" applyNumberFormat="1" applyFont="1" applyFill="1" applyBorder="1"/>
    <xf numFmtId="2" fontId="3" fillId="2" borderId="29" xfId="0" applyNumberFormat="1" applyFont="1" applyFill="1" applyBorder="1"/>
    <xf numFmtId="2" fontId="4" fillId="2" borderId="69" xfId="0" applyNumberFormat="1" applyFont="1" applyFill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7" fillId="0" borderId="0" xfId="0" applyNumberFormat="1" applyFont="1"/>
    <xf numFmtId="3" fontId="13" fillId="0" borderId="5" xfId="0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horizontal="right" vertical="top" wrapText="1"/>
    </xf>
    <xf numFmtId="3" fontId="13" fillId="0" borderId="5" xfId="0" applyNumberFormat="1" applyFont="1" applyBorder="1" applyAlignment="1">
      <alignment vertical="top" wrapText="1"/>
    </xf>
    <xf numFmtId="3" fontId="0" fillId="0" borderId="0" xfId="0" applyNumberFormat="1"/>
    <xf numFmtId="3" fontId="15" fillId="0" borderId="5" xfId="0" applyNumberFormat="1" applyFont="1" applyBorder="1" applyAlignment="1">
      <alignment vertical="top" wrapText="1"/>
    </xf>
    <xf numFmtId="3" fontId="13" fillId="0" borderId="5" xfId="0" applyNumberFormat="1" applyFont="1" applyBorder="1" applyAlignment="1">
      <alignment horizontal="left" vertical="top" wrapText="1" indent="4"/>
    </xf>
    <xf numFmtId="3" fontId="15" fillId="0" borderId="11" xfId="0" applyNumberFormat="1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3" fontId="15" fillId="0" borderId="3" xfId="0" applyNumberFormat="1" applyFont="1" applyBorder="1" applyAlignment="1">
      <alignment vertical="top" wrapText="1"/>
    </xf>
    <xf numFmtId="3" fontId="13" fillId="0" borderId="3" xfId="0" applyNumberFormat="1" applyFont="1" applyBorder="1" applyAlignment="1">
      <alignment horizontal="right" vertical="top" wrapText="1"/>
    </xf>
    <xf numFmtId="0" fontId="19" fillId="0" borderId="0" xfId="0" applyFont="1"/>
    <xf numFmtId="0" fontId="4" fillId="0" borderId="9" xfId="0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3" fontId="2" fillId="0" borderId="29" xfId="0" applyNumberFormat="1" applyFont="1" applyBorder="1"/>
    <xf numFmtId="3" fontId="3" fillId="0" borderId="70" xfId="0" applyNumberFormat="1" applyFont="1" applyBorder="1" applyAlignment="1">
      <alignment horizontal="right"/>
    </xf>
    <xf numFmtId="3" fontId="4" fillId="0" borderId="17" xfId="0" applyNumberFormat="1" applyFont="1" applyBorder="1"/>
    <xf numFmtId="2" fontId="4" fillId="0" borderId="71" xfId="0" applyNumberFormat="1" applyFont="1" applyBorder="1"/>
    <xf numFmtId="2" fontId="4" fillId="0" borderId="0" xfId="0" applyNumberFormat="1" applyFont="1" applyBorder="1"/>
    <xf numFmtId="2" fontId="4" fillId="4" borderId="71" xfId="0" applyNumberFormat="1" applyFont="1" applyFill="1" applyBorder="1" applyAlignment="1">
      <alignment horizontal="center" wrapText="1"/>
    </xf>
    <xf numFmtId="3" fontId="4" fillId="0" borderId="10" xfId="0" applyNumberFormat="1" applyFont="1" applyBorder="1"/>
    <xf numFmtId="0" fontId="4" fillId="4" borderId="72" xfId="0" applyFont="1" applyFill="1" applyBorder="1"/>
    <xf numFmtId="3" fontId="4" fillId="4" borderId="41" xfId="0" applyNumberFormat="1" applyFont="1" applyFill="1" applyBorder="1" applyAlignment="1">
      <alignment horizontal="right"/>
    </xf>
    <xf numFmtId="14" fontId="4" fillId="4" borderId="41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right"/>
    </xf>
    <xf numFmtId="3" fontId="13" fillId="0" borderId="11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/>
    </xf>
    <xf numFmtId="3" fontId="2" fillId="0" borderId="27" xfId="0" applyNumberFormat="1" applyFont="1" applyBorder="1"/>
    <xf numFmtId="3" fontId="0" fillId="0" borderId="41" xfId="0" applyNumberFormat="1" applyBorder="1" applyAlignment="1">
      <alignment horizontal="right"/>
    </xf>
    <xf numFmtId="49" fontId="1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45" xfId="0" applyBorder="1" applyAlignment="1">
      <alignment horizontal="right"/>
    </xf>
    <xf numFmtId="0" fontId="0" fillId="0" borderId="0" xfId="0" applyAlignment="1">
      <alignment horizontal="right" wrapText="1"/>
    </xf>
    <xf numFmtId="0" fontId="0" fillId="0" borderId="17" xfId="0" applyFill="1" applyBorder="1"/>
    <xf numFmtId="3" fontId="0" fillId="0" borderId="12" xfId="0" applyNumberFormat="1" applyFont="1" applyBorder="1"/>
    <xf numFmtId="3" fontId="1" fillId="0" borderId="24" xfId="0" applyNumberFormat="1" applyFont="1" applyBorder="1"/>
    <xf numFmtId="3" fontId="2" fillId="0" borderId="68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71" xfId="0" applyNumberFormat="1" applyFont="1" applyBorder="1"/>
    <xf numFmtId="0" fontId="1" fillId="0" borderId="28" xfId="0" applyFont="1" applyFill="1" applyBorder="1"/>
    <xf numFmtId="0" fontId="0" fillId="0" borderId="73" xfId="0" applyBorder="1"/>
    <xf numFmtId="3" fontId="4" fillId="0" borderId="74" xfId="0" applyNumberFormat="1" applyFont="1" applyBorder="1"/>
    <xf numFmtId="3" fontId="4" fillId="0" borderId="29" xfId="0" applyNumberFormat="1" applyFont="1" applyBorder="1"/>
    <xf numFmtId="0" fontId="4" fillId="0" borderId="14" xfId="0" applyFont="1" applyBorder="1"/>
    <xf numFmtId="3" fontId="4" fillId="0" borderId="69" xfId="0" applyNumberFormat="1" applyFont="1" applyBorder="1"/>
    <xf numFmtId="0" fontId="1" fillId="0" borderId="29" xfId="0" applyFont="1" applyFill="1" applyBorder="1"/>
    <xf numFmtId="0" fontId="4" fillId="0" borderId="74" xfId="0" applyFont="1" applyBorder="1"/>
    <xf numFmtId="0" fontId="1" fillId="0" borderId="67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73" xfId="0" applyFont="1" applyBorder="1"/>
    <xf numFmtId="3" fontId="4" fillId="0" borderId="74" xfId="0" applyNumberFormat="1" applyFont="1" applyBorder="1" applyAlignment="1">
      <alignment horizontal="right"/>
    </xf>
    <xf numFmtId="0" fontId="4" fillId="0" borderId="73" xfId="0" applyFont="1" applyBorder="1"/>
    <xf numFmtId="0" fontId="0" fillId="0" borderId="24" xfId="0" applyBorder="1"/>
    <xf numFmtId="0" fontId="9" fillId="0" borderId="28" xfId="0" applyFont="1" applyBorder="1"/>
    <xf numFmtId="0" fontId="10" fillId="0" borderId="28" xfId="0" applyFont="1" applyBorder="1"/>
    <xf numFmtId="0" fontId="0" fillId="0" borderId="10" xfId="0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17" fillId="0" borderId="48" xfId="0" applyFont="1" applyBorder="1" applyAlignment="1">
      <alignment wrapText="1"/>
    </xf>
    <xf numFmtId="0" fontId="17" fillId="0" borderId="75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7" fillId="0" borderId="47" xfId="0" applyFont="1" applyBorder="1" applyAlignment="1">
      <alignment wrapText="1"/>
    </xf>
    <xf numFmtId="0" fontId="17" fillId="0" borderId="76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2" fillId="0" borderId="47" xfId="0" applyNumberFormat="1" applyFont="1" applyBorder="1"/>
    <xf numFmtId="0" fontId="4" fillId="0" borderId="4" xfId="0" applyFont="1" applyFill="1" applyBorder="1"/>
    <xf numFmtId="0" fontId="4" fillId="0" borderId="30" xfId="0" applyFont="1" applyFill="1" applyBorder="1"/>
    <xf numFmtId="0" fontId="2" fillId="5" borderId="12" xfId="0" applyFont="1" applyFill="1" applyBorder="1"/>
    <xf numFmtId="3" fontId="2" fillId="5" borderId="12" xfId="0" applyNumberFormat="1" applyFont="1" applyFill="1" applyBorder="1"/>
    <xf numFmtId="0" fontId="2" fillId="3" borderId="0" xfId="0" applyFont="1" applyFill="1" applyBorder="1"/>
    <xf numFmtId="3" fontId="2" fillId="3" borderId="42" xfId="0" applyNumberFormat="1" applyFont="1" applyFill="1" applyBorder="1"/>
    <xf numFmtId="3" fontId="2" fillId="3" borderId="0" xfId="0" applyNumberFormat="1" applyFont="1" applyFill="1" applyBorder="1"/>
    <xf numFmtId="10" fontId="0" fillId="3" borderId="42" xfId="0" applyNumberFormat="1" applyFill="1" applyBorder="1"/>
    <xf numFmtId="0" fontId="4" fillId="5" borderId="12" xfId="0" applyFont="1" applyFill="1" applyBorder="1"/>
    <xf numFmtId="3" fontId="3" fillId="5" borderId="12" xfId="0" applyNumberFormat="1" applyFont="1" applyFill="1" applyBorder="1"/>
    <xf numFmtId="0" fontId="17" fillId="0" borderId="35" xfId="0" applyFont="1" applyBorder="1" applyAlignment="1">
      <alignment wrapText="1"/>
    </xf>
    <xf numFmtId="0" fontId="0" fillId="0" borderId="0" xfId="0" applyBorder="1" applyAlignment="1">
      <alignment horizontal="right"/>
    </xf>
    <xf numFmtId="3" fontId="1" fillId="0" borderId="12" xfId="0" applyNumberFormat="1" applyFont="1" applyFill="1" applyBorder="1"/>
    <xf numFmtId="3" fontId="6" fillId="0" borderId="24" xfId="0" applyNumberFormat="1" applyFont="1" applyBorder="1" applyAlignment="1">
      <alignment horizontal="right"/>
    </xf>
    <xf numFmtId="3" fontId="6" fillId="0" borderId="12" xfId="0" applyNumberFormat="1" applyFont="1" applyBorder="1"/>
    <xf numFmtId="3" fontId="6" fillId="0" borderId="12" xfId="0" applyNumberFormat="1" applyFont="1" applyBorder="1" applyAlignment="1">
      <alignment horizontal="righ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Border="1"/>
    <xf numFmtId="3" fontId="6" fillId="0" borderId="0" xfId="0" applyNumberFormat="1" applyFont="1" applyBorder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0" fontId="4" fillId="0" borderId="46" xfId="0" applyFont="1" applyBorder="1"/>
    <xf numFmtId="0" fontId="4" fillId="0" borderId="6" xfId="0" applyFont="1" applyBorder="1"/>
    <xf numFmtId="0" fontId="4" fillId="0" borderId="1" xfId="0" applyFont="1" applyBorder="1"/>
    <xf numFmtId="49" fontId="19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left" wrapText="1"/>
    </xf>
    <xf numFmtId="49" fontId="0" fillId="0" borderId="12" xfId="0" applyNumberFormat="1" applyBorder="1" applyAlignment="1">
      <alignment horizontal="right"/>
    </xf>
    <xf numFmtId="49" fontId="11" fillId="0" borderId="12" xfId="0" applyNumberFormat="1" applyFont="1" applyBorder="1" applyAlignment="1">
      <alignment horizontal="right" vertical="top" wrapText="1"/>
    </xf>
    <xf numFmtId="0" fontId="11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wrapText="1"/>
    </xf>
    <xf numFmtId="0" fontId="11" fillId="0" borderId="12" xfId="0" applyFont="1" applyBorder="1" applyAlignment="1">
      <alignment vertical="top" wrapText="1"/>
    </xf>
    <xf numFmtId="49" fontId="12" fillId="0" borderId="12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center"/>
    </xf>
    <xf numFmtId="0" fontId="2" fillId="0" borderId="27" xfId="0" applyFont="1" applyBorder="1"/>
    <xf numFmtId="3" fontId="13" fillId="0" borderId="4" xfId="0" applyNumberFormat="1" applyFont="1" applyBorder="1" applyAlignment="1">
      <alignment vertical="top" wrapText="1"/>
    </xf>
    <xf numFmtId="3" fontId="15" fillId="0" borderId="4" xfId="0" applyNumberFormat="1" applyFont="1" applyBorder="1" applyAlignment="1">
      <alignment vertical="top" wrapText="1"/>
    </xf>
    <xf numFmtId="3" fontId="13" fillId="0" borderId="36" xfId="0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/>
    <xf numFmtId="3" fontId="0" fillId="0" borderId="23" xfId="0" applyNumberFormat="1" applyBorder="1"/>
    <xf numFmtId="0" fontId="0" fillId="0" borderId="12" xfId="0" applyFont="1" applyFill="1" applyBorder="1"/>
    <xf numFmtId="2" fontId="3" fillId="4" borderId="3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14" fontId="3" fillId="0" borderId="12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0" fontId="4" fillId="4" borderId="31" xfId="0" applyFont="1" applyFill="1" applyBorder="1"/>
    <xf numFmtId="3" fontId="4" fillId="4" borderId="31" xfId="0" applyNumberFormat="1" applyFont="1" applyFill="1" applyBorder="1" applyAlignment="1">
      <alignment horizontal="right"/>
    </xf>
    <xf numFmtId="0" fontId="4" fillId="4" borderId="31" xfId="0" applyFont="1" applyFill="1" applyBorder="1" applyAlignment="1">
      <alignment horizontal="right"/>
    </xf>
    <xf numFmtId="14" fontId="4" fillId="4" borderId="31" xfId="0" applyNumberFormat="1" applyFont="1" applyFill="1" applyBorder="1" applyAlignment="1">
      <alignment horizontal="center"/>
    </xf>
    <xf numFmtId="14" fontId="3" fillId="0" borderId="30" xfId="0" applyNumberFormat="1" applyFont="1" applyBorder="1"/>
    <xf numFmtId="2" fontId="3" fillId="0" borderId="12" xfId="0" applyNumberFormat="1" applyFont="1" applyBorder="1"/>
    <xf numFmtId="0" fontId="2" fillId="6" borderId="12" xfId="0" applyFont="1" applyFill="1" applyBorder="1"/>
    <xf numFmtId="3" fontId="2" fillId="6" borderId="12" xfId="0" applyNumberFormat="1" applyFont="1" applyFill="1" applyBorder="1"/>
    <xf numFmtId="0" fontId="1" fillId="2" borderId="45" xfId="0" applyFont="1" applyFill="1" applyBorder="1"/>
    <xf numFmtId="3" fontId="0" fillId="0" borderId="13" xfId="0" applyNumberFormat="1" applyFont="1" applyBorder="1"/>
    <xf numFmtId="3" fontId="1" fillId="0" borderId="52" xfId="0" applyNumberFormat="1" applyFont="1" applyBorder="1"/>
    <xf numFmtId="0" fontId="0" fillId="0" borderId="44" xfId="0" applyFill="1" applyBorder="1"/>
    <xf numFmtId="3" fontId="1" fillId="0" borderId="17" xfId="0" applyNumberFormat="1" applyFont="1" applyBorder="1"/>
    <xf numFmtId="16" fontId="17" fillId="0" borderId="48" xfId="0" applyNumberFormat="1" applyFont="1" applyBorder="1" applyAlignment="1">
      <alignment wrapText="1"/>
    </xf>
    <xf numFmtId="0" fontId="18" fillId="0" borderId="12" xfId="0" applyFont="1" applyBorder="1" applyAlignment="1">
      <alignment wrapText="1"/>
    </xf>
    <xf numFmtId="1" fontId="18" fillId="0" borderId="12" xfId="0" applyNumberFormat="1" applyFont="1" applyBorder="1" applyAlignment="1">
      <alignment wrapText="1"/>
    </xf>
    <xf numFmtId="0" fontId="18" fillId="0" borderId="0" xfId="0" applyFont="1" applyBorder="1" applyAlignment="1">
      <alignment wrapText="1"/>
    </xf>
    <xf numFmtId="3" fontId="13" fillId="0" borderId="46" xfId="0" applyNumberFormat="1" applyFont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3" fontId="4" fillId="0" borderId="0" xfId="0" applyNumberFormat="1" applyFont="1"/>
    <xf numFmtId="3" fontId="0" fillId="0" borderId="16" xfId="0" applyNumberFormat="1" applyFont="1" applyBorder="1"/>
    <xf numFmtId="0" fontId="0" fillId="0" borderId="15" xfId="0" applyFont="1" applyBorder="1"/>
    <xf numFmtId="3" fontId="1" fillId="7" borderId="12" xfId="0" applyNumberFormat="1" applyFont="1" applyFill="1" applyBorder="1"/>
    <xf numFmtId="3" fontId="3" fillId="0" borderId="68" xfId="0" applyNumberFormat="1" applyFont="1" applyBorder="1" applyAlignment="1">
      <alignment horizontal="right"/>
    </xf>
    <xf numFmtId="3" fontId="3" fillId="0" borderId="69" xfId="0" applyNumberFormat="1" applyFont="1" applyBorder="1" applyAlignment="1">
      <alignment horizontal="right"/>
    </xf>
    <xf numFmtId="3" fontId="4" fillId="5" borderId="12" xfId="0" applyNumberFormat="1" applyFont="1" applyFill="1" applyBorder="1"/>
    <xf numFmtId="0" fontId="0" fillId="0" borderId="17" xfId="0" applyBorder="1"/>
    <xf numFmtId="0" fontId="0" fillId="0" borderId="30" xfId="0" applyFill="1" applyBorder="1"/>
    <xf numFmtId="3" fontId="4" fillId="0" borderId="68" xfId="0" applyNumberFormat="1" applyFont="1" applyBorder="1"/>
    <xf numFmtId="2" fontId="4" fillId="0" borderId="12" xfId="0" applyNumberFormat="1" applyFont="1" applyBorder="1"/>
    <xf numFmtId="2" fontId="4" fillId="3" borderId="12" xfId="0" applyNumberFormat="1" applyFont="1" applyFill="1" applyBorder="1"/>
    <xf numFmtId="3" fontId="0" fillId="0" borderId="24" xfId="0" applyNumberFormat="1" applyBorder="1"/>
    <xf numFmtId="14" fontId="3" fillId="0" borderId="25" xfId="0" applyNumberFormat="1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2" fontId="3" fillId="0" borderId="68" xfId="0" applyNumberFormat="1" applyFont="1" applyBorder="1" applyAlignment="1">
      <alignment horizontal="center" wrapText="1"/>
    </xf>
    <xf numFmtId="2" fontId="0" fillId="0" borderId="32" xfId="0" applyNumberFormat="1" applyBorder="1" applyAlignment="1">
      <alignment horizontal="center" wrapText="1"/>
    </xf>
    <xf numFmtId="0" fontId="2" fillId="0" borderId="51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7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47" xfId="0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0" fillId="0" borderId="45" xfId="0" applyBorder="1" applyAlignment="1">
      <alignment horizontal="right"/>
    </xf>
    <xf numFmtId="0" fontId="1" fillId="0" borderId="45" xfId="0" applyFont="1" applyBorder="1" applyAlignment="1">
      <alignment horizontal="right"/>
    </xf>
    <xf numFmtId="0" fontId="0" fillId="0" borderId="0" xfId="0" applyAlignment="1">
      <alignment horizontal="center" wrapText="1"/>
    </xf>
    <xf numFmtId="0" fontId="2" fillId="0" borderId="6" xfId="0" applyFont="1" applyBorder="1" applyAlignment="1"/>
    <xf numFmtId="0" fontId="0" fillId="0" borderId="9" xfId="0" applyBorder="1" applyAlignment="1"/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45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35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35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right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59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right" wrapText="1"/>
    </xf>
    <xf numFmtId="0" fontId="17" fillId="0" borderId="43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view="pageBreakPreview" topLeftCell="A34" zoomScaleSheetLayoutView="100" workbookViewId="0">
      <selection sqref="A1:D1"/>
    </sheetView>
  </sheetViews>
  <sheetFormatPr defaultColWidth="9.109375" defaultRowHeight="13.2" x14ac:dyDescent="0.25"/>
  <cols>
    <col min="1" max="1" width="15.44140625" style="339" customWidth="1"/>
    <col min="2" max="2" width="81.33203125" style="340" customWidth="1"/>
    <col min="3" max="16384" width="9.109375" style="320"/>
  </cols>
  <sheetData>
    <row r="1" spans="1:4" s="33" customFormat="1" ht="26.25" customHeight="1" x14ac:dyDescent="0.25">
      <c r="A1" s="476" t="s">
        <v>653</v>
      </c>
      <c r="B1" s="476"/>
      <c r="C1" s="476"/>
      <c r="D1" s="476"/>
    </row>
    <row r="2" spans="1:4" s="33" customFormat="1" x14ac:dyDescent="0.25">
      <c r="A2" s="338"/>
      <c r="B2" s="345" t="s">
        <v>449</v>
      </c>
    </row>
    <row r="3" spans="1:4" ht="18.75" customHeight="1" x14ac:dyDescent="0.25">
      <c r="A3" s="413" t="s">
        <v>173</v>
      </c>
      <c r="B3" s="414" t="s">
        <v>174</v>
      </c>
    </row>
    <row r="4" spans="1:4" ht="13.5" customHeight="1" x14ac:dyDescent="0.25">
      <c r="A4" s="418" t="s">
        <v>237</v>
      </c>
      <c r="B4" s="415" t="s">
        <v>175</v>
      </c>
    </row>
    <row r="5" spans="1:4" ht="18.75" customHeight="1" x14ac:dyDescent="0.25">
      <c r="A5" s="413" t="s">
        <v>215</v>
      </c>
      <c r="B5" s="414" t="s">
        <v>216</v>
      </c>
    </row>
    <row r="6" spans="1:4" ht="18.75" customHeight="1" x14ac:dyDescent="0.25">
      <c r="A6" s="413" t="s">
        <v>397</v>
      </c>
      <c r="B6" s="414" t="s">
        <v>214</v>
      </c>
    </row>
    <row r="7" spans="1:4" ht="29.25" customHeight="1" x14ac:dyDescent="0.25">
      <c r="A7" s="413" t="s">
        <v>180</v>
      </c>
      <c r="B7" s="414" t="s">
        <v>181</v>
      </c>
    </row>
    <row r="8" spans="1:4" ht="18.75" customHeight="1" x14ac:dyDescent="0.25">
      <c r="A8" s="413" t="s">
        <v>191</v>
      </c>
      <c r="B8" s="414" t="s">
        <v>398</v>
      </c>
    </row>
    <row r="9" spans="1:4" ht="18.75" customHeight="1" x14ac:dyDescent="0.25">
      <c r="A9" s="413" t="s">
        <v>192</v>
      </c>
      <c r="B9" s="414" t="s">
        <v>193</v>
      </c>
    </row>
    <row r="10" spans="1:4" ht="18.75" customHeight="1" x14ac:dyDescent="0.25">
      <c r="A10" s="413" t="s">
        <v>208</v>
      </c>
      <c r="B10" s="414" t="s">
        <v>209</v>
      </c>
    </row>
    <row r="11" spans="1:4" ht="18.75" customHeight="1" x14ac:dyDescent="0.25">
      <c r="A11" s="413" t="s">
        <v>210</v>
      </c>
      <c r="B11" s="414" t="s">
        <v>399</v>
      </c>
    </row>
    <row r="12" spans="1:4" ht="18.75" customHeight="1" x14ac:dyDescent="0.25">
      <c r="A12" s="413" t="s">
        <v>182</v>
      </c>
      <c r="B12" s="414" t="s">
        <v>183</v>
      </c>
    </row>
    <row r="13" spans="1:4" ht="18.75" customHeight="1" x14ac:dyDescent="0.25">
      <c r="A13" s="413" t="s">
        <v>178</v>
      </c>
      <c r="B13" s="414" t="s">
        <v>179</v>
      </c>
    </row>
    <row r="14" spans="1:4" ht="18.75" customHeight="1" x14ac:dyDescent="0.25">
      <c r="A14" s="413" t="s">
        <v>400</v>
      </c>
      <c r="B14" s="414" t="s">
        <v>401</v>
      </c>
    </row>
    <row r="15" spans="1:4" ht="18.75" customHeight="1" x14ac:dyDescent="0.25">
      <c r="A15" s="413" t="s">
        <v>437</v>
      </c>
      <c r="B15" s="414" t="s">
        <v>438</v>
      </c>
    </row>
    <row r="16" spans="1:4" ht="18.75" customHeight="1" x14ac:dyDescent="0.25">
      <c r="A16" s="413" t="s">
        <v>402</v>
      </c>
      <c r="B16" s="414" t="s">
        <v>403</v>
      </c>
    </row>
    <row r="17" spans="1:2" ht="15" customHeight="1" x14ac:dyDescent="0.25">
      <c r="A17" s="413" t="s">
        <v>176</v>
      </c>
      <c r="B17" s="414" t="s">
        <v>177</v>
      </c>
    </row>
    <row r="18" spans="1:2" ht="20.25" customHeight="1" x14ac:dyDescent="0.25">
      <c r="A18" s="413" t="s">
        <v>187</v>
      </c>
      <c r="B18" s="414" t="s">
        <v>188</v>
      </c>
    </row>
    <row r="19" spans="1:2" ht="18.75" customHeight="1" x14ac:dyDescent="0.25">
      <c r="A19" s="413" t="s">
        <v>409</v>
      </c>
      <c r="B19" s="414" t="s">
        <v>410</v>
      </c>
    </row>
    <row r="20" spans="1:2" ht="17.25" customHeight="1" x14ac:dyDescent="0.25">
      <c r="A20" s="413" t="s">
        <v>189</v>
      </c>
      <c r="B20" s="414" t="s">
        <v>190</v>
      </c>
    </row>
    <row r="21" spans="1:2" ht="18" customHeight="1" x14ac:dyDescent="0.25">
      <c r="A21" s="413" t="s">
        <v>196</v>
      </c>
      <c r="B21" s="414" t="s">
        <v>197</v>
      </c>
    </row>
    <row r="22" spans="1:2" ht="18" customHeight="1" x14ac:dyDescent="0.25">
      <c r="A22" s="413" t="s">
        <v>198</v>
      </c>
      <c r="B22" s="414" t="s">
        <v>199</v>
      </c>
    </row>
    <row r="23" spans="1:2" ht="18" customHeight="1" x14ac:dyDescent="0.25">
      <c r="A23" s="413" t="s">
        <v>411</v>
      </c>
      <c r="B23" s="414" t="s">
        <v>412</v>
      </c>
    </row>
    <row r="24" spans="1:2" ht="18" customHeight="1" x14ac:dyDescent="0.25">
      <c r="A24" s="413" t="s">
        <v>413</v>
      </c>
      <c r="B24" s="414" t="s">
        <v>414</v>
      </c>
    </row>
    <row r="25" spans="1:2" ht="18" customHeight="1" x14ac:dyDescent="0.25">
      <c r="A25" s="413" t="s">
        <v>200</v>
      </c>
      <c r="B25" s="414" t="s">
        <v>415</v>
      </c>
    </row>
    <row r="26" spans="1:2" ht="18" customHeight="1" x14ac:dyDescent="0.25">
      <c r="A26" s="413" t="s">
        <v>201</v>
      </c>
      <c r="B26" s="414" t="s">
        <v>202</v>
      </c>
    </row>
    <row r="27" spans="1:2" ht="18" customHeight="1" x14ac:dyDescent="0.25">
      <c r="A27" s="413" t="s">
        <v>416</v>
      </c>
      <c r="B27" s="414" t="s">
        <v>417</v>
      </c>
    </row>
    <row r="28" spans="1:2" ht="18" customHeight="1" x14ac:dyDescent="0.25">
      <c r="A28" s="413" t="s">
        <v>213</v>
      </c>
      <c r="B28" s="414" t="s">
        <v>418</v>
      </c>
    </row>
    <row r="29" spans="1:2" ht="18" customHeight="1" x14ac:dyDescent="0.25">
      <c r="A29" s="413" t="s">
        <v>211</v>
      </c>
      <c r="B29" s="417" t="s">
        <v>419</v>
      </c>
    </row>
    <row r="30" spans="1:2" ht="16.5" customHeight="1" x14ac:dyDescent="0.25">
      <c r="A30" s="413" t="s">
        <v>212</v>
      </c>
      <c r="B30" s="414" t="s">
        <v>420</v>
      </c>
    </row>
    <row r="31" spans="1:2" ht="16.5" customHeight="1" x14ac:dyDescent="0.25">
      <c r="A31" s="413" t="s">
        <v>194</v>
      </c>
      <c r="B31" s="414" t="s">
        <v>195</v>
      </c>
    </row>
    <row r="32" spans="1:2" ht="15" customHeight="1" x14ac:dyDescent="0.25">
      <c r="A32" s="413" t="s">
        <v>439</v>
      </c>
      <c r="B32" s="414" t="s">
        <v>421</v>
      </c>
    </row>
    <row r="33" spans="1:2" ht="30.75" customHeight="1" x14ac:dyDescent="0.25">
      <c r="A33" s="413" t="s">
        <v>422</v>
      </c>
      <c r="B33" s="414" t="s">
        <v>423</v>
      </c>
    </row>
    <row r="34" spans="1:2" ht="21.75" customHeight="1" x14ac:dyDescent="0.25">
      <c r="A34" s="413" t="s">
        <v>440</v>
      </c>
      <c r="B34" s="414" t="s">
        <v>441</v>
      </c>
    </row>
    <row r="35" spans="1:2" ht="18" customHeight="1" x14ac:dyDescent="0.25">
      <c r="A35" s="413" t="s">
        <v>442</v>
      </c>
      <c r="B35" s="414" t="s">
        <v>443</v>
      </c>
    </row>
    <row r="36" spans="1:2" ht="18" customHeight="1" x14ac:dyDescent="0.25">
      <c r="A36" s="413" t="s">
        <v>424</v>
      </c>
      <c r="B36" s="414" t="s">
        <v>206</v>
      </c>
    </row>
    <row r="37" spans="1:2" ht="19.5" customHeight="1" x14ac:dyDescent="0.25">
      <c r="A37" s="413" t="s">
        <v>425</v>
      </c>
      <c r="B37" s="414" t="s">
        <v>205</v>
      </c>
    </row>
    <row r="38" spans="1:2" ht="15.75" customHeight="1" x14ac:dyDescent="0.25">
      <c r="A38" s="413" t="s">
        <v>426</v>
      </c>
      <c r="B38" s="414" t="s">
        <v>204</v>
      </c>
    </row>
    <row r="39" spans="1:2" ht="15" customHeight="1" x14ac:dyDescent="0.25">
      <c r="A39" s="413" t="s">
        <v>427</v>
      </c>
      <c r="B39" s="414" t="s">
        <v>203</v>
      </c>
    </row>
    <row r="40" spans="1:2" ht="15.75" customHeight="1" x14ac:dyDescent="0.25">
      <c r="A40" s="413" t="s">
        <v>428</v>
      </c>
      <c r="B40" s="414" t="s">
        <v>207</v>
      </c>
    </row>
    <row r="41" spans="1:2" ht="15.75" customHeight="1" x14ac:dyDescent="0.25">
      <c r="A41" s="413" t="s">
        <v>429</v>
      </c>
      <c r="B41" s="414" t="s">
        <v>430</v>
      </c>
    </row>
    <row r="42" spans="1:2" ht="18.75" customHeight="1" x14ac:dyDescent="0.25">
      <c r="A42" s="413" t="s">
        <v>431</v>
      </c>
      <c r="B42" s="414" t="s">
        <v>432</v>
      </c>
    </row>
    <row r="43" spans="1:2" ht="15.75" customHeight="1" x14ac:dyDescent="0.25">
      <c r="A43" s="413" t="s">
        <v>433</v>
      </c>
      <c r="B43" s="414" t="s">
        <v>434</v>
      </c>
    </row>
    <row r="44" spans="1:2" s="99" customFormat="1" ht="16.5" customHeight="1" x14ac:dyDescent="0.25">
      <c r="A44" s="418" t="s">
        <v>238</v>
      </c>
      <c r="B44" s="415" t="s">
        <v>108</v>
      </c>
    </row>
    <row r="45" spans="1:2" ht="19.5" customHeight="1" x14ac:dyDescent="0.25">
      <c r="A45" s="413" t="s">
        <v>215</v>
      </c>
      <c r="B45" s="414" t="s">
        <v>216</v>
      </c>
    </row>
    <row r="46" spans="1:2" ht="27.75" customHeight="1" x14ac:dyDescent="0.25">
      <c r="A46" s="413" t="s">
        <v>184</v>
      </c>
      <c r="B46" s="414" t="s">
        <v>185</v>
      </c>
    </row>
    <row r="47" spans="1:2" ht="15" customHeight="1" x14ac:dyDescent="0.25">
      <c r="A47" s="413" t="s">
        <v>217</v>
      </c>
      <c r="B47" s="414" t="s">
        <v>218</v>
      </c>
    </row>
    <row r="48" spans="1:2" ht="13.5" customHeight="1" x14ac:dyDescent="0.25">
      <c r="A48" s="413" t="s">
        <v>186</v>
      </c>
      <c r="B48" s="414" t="s">
        <v>219</v>
      </c>
    </row>
    <row r="49" spans="1:2" ht="13.5" customHeight="1" x14ac:dyDescent="0.25">
      <c r="A49" s="413" t="s">
        <v>220</v>
      </c>
      <c r="B49" s="414" t="s">
        <v>221</v>
      </c>
    </row>
    <row r="50" spans="1:2" ht="17.25" customHeight="1" x14ac:dyDescent="0.25">
      <c r="A50" s="413" t="s">
        <v>222</v>
      </c>
      <c r="B50" s="414" t="s">
        <v>223</v>
      </c>
    </row>
    <row r="51" spans="1:2" x14ac:dyDescent="0.25">
      <c r="A51" s="419" t="s">
        <v>239</v>
      </c>
      <c r="B51" s="416" t="s">
        <v>558</v>
      </c>
    </row>
    <row r="52" spans="1:2" x14ac:dyDescent="0.25">
      <c r="A52" s="412" t="s">
        <v>440</v>
      </c>
      <c r="B52" s="411" t="s">
        <v>441</v>
      </c>
    </row>
    <row r="53" spans="1:2" x14ac:dyDescent="0.25">
      <c r="A53" s="412" t="s">
        <v>442</v>
      </c>
      <c r="B53" s="411" t="s">
        <v>443</v>
      </c>
    </row>
    <row r="54" spans="1:2" x14ac:dyDescent="0.25">
      <c r="A54" s="412" t="s">
        <v>428</v>
      </c>
      <c r="B54" s="411" t="s">
        <v>207</v>
      </c>
    </row>
    <row r="55" spans="1:2" x14ac:dyDescent="0.25">
      <c r="A55" s="410"/>
      <c r="B55" s="411" t="s">
        <v>559</v>
      </c>
    </row>
  </sheetData>
  <mergeCells count="1">
    <mergeCell ref="A1:D1"/>
  </mergeCells>
  <phoneticPr fontId="5" type="noConversion"/>
  <pageMargins left="0.75" right="0.75" top="1" bottom="1" header="0.5" footer="0.5"/>
  <pageSetup paperSize="9" scale="73" orientation="portrait" r:id="rId1"/>
  <headerFooter alignWithMargins="0"/>
  <rowBreaks count="1" manualBreakCount="1">
    <brk id="55" max="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7:P263"/>
  <sheetViews>
    <sheetView view="pageBreakPreview" zoomScaleSheetLayoutView="100" workbookViewId="0">
      <selection activeCell="A15" sqref="A15:P15"/>
    </sheetView>
  </sheetViews>
  <sheetFormatPr defaultRowHeight="13.2" x14ac:dyDescent="0.25"/>
  <cols>
    <col min="1" max="1" width="28.33203125" customWidth="1"/>
    <col min="9" max="9" width="10.109375" customWidth="1"/>
  </cols>
  <sheetData>
    <row r="7" spans="1:16" ht="13.8" x14ac:dyDescent="0.25">
      <c r="A7" s="502" t="s">
        <v>555</v>
      </c>
      <c r="B7" s="477"/>
      <c r="C7" s="477"/>
      <c r="D7" s="477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477"/>
    </row>
    <row r="8" spans="1:16" x14ac:dyDescent="0.25">
      <c r="A8" s="494" t="s">
        <v>108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  <c r="P8" s="494"/>
    </row>
    <row r="9" spans="1:16" ht="13.8" x14ac:dyDescent="0.25">
      <c r="D9" s="98"/>
      <c r="E9" s="98"/>
      <c r="F9" s="98"/>
      <c r="G9" s="98"/>
      <c r="H9" s="98"/>
      <c r="I9" s="98"/>
      <c r="J9" s="98"/>
      <c r="K9" s="98"/>
      <c r="L9" s="98"/>
      <c r="M9" s="98"/>
    </row>
    <row r="10" spans="1:16" x14ac:dyDescent="0.25">
      <c r="A10" s="491"/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</row>
    <row r="12" spans="1:16" x14ac:dyDescent="0.25">
      <c r="A12" s="99"/>
      <c r="B12" s="99"/>
      <c r="C12" s="99"/>
      <c r="D12" s="99"/>
      <c r="E12" s="99"/>
      <c r="F12" s="99"/>
    </row>
    <row r="13" spans="1:16" x14ac:dyDescent="0.25">
      <c r="A13" s="99"/>
      <c r="B13" s="99"/>
      <c r="C13" s="99"/>
      <c r="D13" s="99"/>
      <c r="E13" s="99"/>
      <c r="F13" s="99"/>
    </row>
    <row r="15" spans="1:16" x14ac:dyDescent="0.25">
      <c r="A15" s="478" t="s">
        <v>681</v>
      </c>
      <c r="B15" s="478"/>
      <c r="C15" s="478"/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</row>
    <row r="16" spans="1:16" x14ac:dyDescent="0.25">
      <c r="O16" t="s">
        <v>484</v>
      </c>
    </row>
    <row r="17" spans="1:16" x14ac:dyDescent="0.25">
      <c r="P17" t="s">
        <v>448</v>
      </c>
    </row>
    <row r="18" spans="1:16" x14ac:dyDescent="0.25">
      <c r="A18" s="101" t="s">
        <v>93</v>
      </c>
      <c r="B18" s="102"/>
      <c r="C18" s="103" t="s">
        <v>94</v>
      </c>
      <c r="D18" s="104"/>
      <c r="E18" s="105" t="s">
        <v>95</v>
      </c>
      <c r="F18" s="106"/>
      <c r="G18" s="107"/>
      <c r="H18" s="108" t="s">
        <v>96</v>
      </c>
      <c r="I18" s="109"/>
      <c r="J18" s="107"/>
      <c r="K18" s="507" t="s">
        <v>120</v>
      </c>
      <c r="L18" s="508"/>
      <c r="M18" s="509"/>
      <c r="N18" s="105"/>
      <c r="O18" s="103" t="s">
        <v>97</v>
      </c>
      <c r="P18" s="107"/>
    </row>
    <row r="19" spans="1:16" x14ac:dyDescent="0.25">
      <c r="A19" s="110" t="s">
        <v>98</v>
      </c>
      <c r="B19" s="105" t="s">
        <v>99</v>
      </c>
      <c r="C19" s="107"/>
      <c r="D19" s="111" t="s">
        <v>28</v>
      </c>
      <c r="E19" s="105" t="s">
        <v>100</v>
      </c>
      <c r="F19" s="107"/>
      <c r="G19" s="105" t="s">
        <v>28</v>
      </c>
      <c r="H19" s="105" t="s">
        <v>101</v>
      </c>
      <c r="I19" s="107"/>
      <c r="J19" s="111" t="s">
        <v>28</v>
      </c>
      <c r="K19" s="510" t="s">
        <v>121</v>
      </c>
      <c r="L19" s="511"/>
      <c r="M19" s="105" t="s">
        <v>28</v>
      </c>
      <c r="N19" s="105" t="s">
        <v>102</v>
      </c>
      <c r="O19" s="107"/>
      <c r="P19" s="111" t="s">
        <v>28</v>
      </c>
    </row>
    <row r="20" spans="1:16" x14ac:dyDescent="0.25">
      <c r="A20" s="112"/>
      <c r="B20" s="110" t="s">
        <v>70</v>
      </c>
      <c r="C20" s="111" t="s">
        <v>29</v>
      </c>
      <c r="D20" s="111"/>
      <c r="E20" s="111" t="s">
        <v>70</v>
      </c>
      <c r="F20" s="111" t="s">
        <v>29</v>
      </c>
      <c r="G20" s="111"/>
      <c r="H20" s="111" t="s">
        <v>103</v>
      </c>
      <c r="I20" s="111" t="s">
        <v>29</v>
      </c>
      <c r="J20" s="111"/>
      <c r="K20" s="111" t="s">
        <v>70</v>
      </c>
      <c r="L20" s="111" t="s">
        <v>29</v>
      </c>
      <c r="M20" s="111"/>
      <c r="N20" s="111" t="s">
        <v>70</v>
      </c>
      <c r="O20" s="111" t="s">
        <v>29</v>
      </c>
      <c r="P20" s="111"/>
    </row>
    <row r="21" spans="1:16" ht="18" customHeight="1" x14ac:dyDescent="0.25">
      <c r="A21" s="107" t="s">
        <v>19</v>
      </c>
      <c r="B21" s="399">
        <v>21225</v>
      </c>
      <c r="C21" s="113">
        <f>B21+289+36+16+554</f>
        <v>22120</v>
      </c>
      <c r="D21" s="113"/>
      <c r="E21" s="113">
        <v>4724</v>
      </c>
      <c r="F21" s="113">
        <f>E21+64+4+14</f>
        <v>4806</v>
      </c>
      <c r="G21" s="113"/>
      <c r="H21" s="113">
        <f>7236+144</f>
        <v>7380</v>
      </c>
      <c r="I21" s="113">
        <f>7380-166-601+305+83</f>
        <v>7001</v>
      </c>
      <c r="J21" s="113"/>
      <c r="K21" s="113">
        <v>150</v>
      </c>
      <c r="L21" s="113">
        <f>150+96</f>
        <v>246</v>
      </c>
      <c r="M21" s="113"/>
      <c r="N21" s="113">
        <f>SUM(B21+E21+H21+K21)</f>
        <v>33479</v>
      </c>
      <c r="O21" s="113">
        <f>C21+F21+I21+L21</f>
        <v>34173</v>
      </c>
      <c r="P21" s="113"/>
    </row>
    <row r="22" spans="1:16" ht="18" customHeight="1" x14ac:dyDescent="0.25">
      <c r="A22" s="107" t="s">
        <v>20</v>
      </c>
      <c r="B22" s="399">
        <v>7187</v>
      </c>
      <c r="C22" s="113">
        <f>B22+270+27+33</f>
        <v>7517</v>
      </c>
      <c r="D22" s="113"/>
      <c r="E22" s="113">
        <v>1613</v>
      </c>
      <c r="F22" s="113">
        <f>E22+59</f>
        <v>1672</v>
      </c>
      <c r="G22" s="113"/>
      <c r="H22" s="113">
        <v>1618</v>
      </c>
      <c r="I22" s="113">
        <f>1618-33</f>
        <v>1585</v>
      </c>
      <c r="J22" s="113"/>
      <c r="K22" s="113"/>
      <c r="L22" s="113">
        <v>28</v>
      </c>
      <c r="M22" s="113"/>
      <c r="N22" s="113">
        <f>SUM(B22+E22+H22)</f>
        <v>10418</v>
      </c>
      <c r="O22" s="113">
        <f>C22+F22+I22+L22</f>
        <v>10802</v>
      </c>
      <c r="P22" s="113"/>
    </row>
    <row r="23" spans="1:16" ht="18" customHeight="1" thickBot="1" x14ac:dyDescent="0.3">
      <c r="A23" s="107" t="s">
        <v>21</v>
      </c>
      <c r="B23" s="399">
        <v>11979</v>
      </c>
      <c r="C23" s="113">
        <f>B23+284+50+4</f>
        <v>12317</v>
      </c>
      <c r="D23" s="113"/>
      <c r="E23" s="113">
        <v>2600</v>
      </c>
      <c r="F23" s="113">
        <f>E23+63+1</f>
        <v>2664</v>
      </c>
      <c r="G23" s="113"/>
      <c r="H23" s="113">
        <v>3291</v>
      </c>
      <c r="I23" s="113">
        <f>3291+102</f>
        <v>3393</v>
      </c>
      <c r="J23" s="113"/>
      <c r="K23" s="113"/>
      <c r="L23" s="113">
        <v>75</v>
      </c>
      <c r="M23" s="113"/>
      <c r="N23" s="367">
        <f>SUM(B23+E23+H23)</f>
        <v>17870</v>
      </c>
      <c r="O23" s="113">
        <f>C23+F23+I23+L23</f>
        <v>18449</v>
      </c>
      <c r="P23" s="367"/>
    </row>
    <row r="24" spans="1:16" ht="18" customHeight="1" thickBot="1" x14ac:dyDescent="0.3">
      <c r="A24" s="119" t="s">
        <v>107</v>
      </c>
      <c r="B24" s="118">
        <f t="shared" ref="B24:J24" si="0">SUM(B21:B23)</f>
        <v>40391</v>
      </c>
      <c r="C24" s="118">
        <f t="shared" si="0"/>
        <v>41954</v>
      </c>
      <c r="D24" s="118">
        <f t="shared" si="0"/>
        <v>0</v>
      </c>
      <c r="E24" s="118">
        <f t="shared" si="0"/>
        <v>8937</v>
      </c>
      <c r="F24" s="118">
        <f t="shared" si="0"/>
        <v>9142</v>
      </c>
      <c r="G24" s="118">
        <f t="shared" si="0"/>
        <v>0</v>
      </c>
      <c r="H24" s="118">
        <f t="shared" si="0"/>
        <v>12289</v>
      </c>
      <c r="I24" s="118">
        <f t="shared" si="0"/>
        <v>11979</v>
      </c>
      <c r="J24" s="118">
        <f t="shared" si="0"/>
        <v>0</v>
      </c>
      <c r="K24" s="118">
        <f>K21+K22+K23</f>
        <v>150</v>
      </c>
      <c r="L24" s="118">
        <f>L21+L22+L23</f>
        <v>349</v>
      </c>
      <c r="M24" s="118">
        <v>0</v>
      </c>
      <c r="N24" s="118">
        <f>SUM(N21:N23)</f>
        <v>61767</v>
      </c>
      <c r="O24" s="118">
        <f>SUM(O21:O23)</f>
        <v>63424</v>
      </c>
      <c r="P24" s="120">
        <f>SUM(P21:P23)</f>
        <v>0</v>
      </c>
    </row>
    <row r="25" spans="1:16" ht="18" customHeight="1" x14ac:dyDescent="0.25">
      <c r="A25" s="207"/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</row>
    <row r="26" spans="1:16" ht="18" customHeight="1" x14ac:dyDescent="0.25">
      <c r="A26" s="3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</row>
    <row r="27" spans="1:16" ht="18" customHeight="1" x14ac:dyDescent="0.25">
      <c r="A27" s="35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</row>
    <row r="28" spans="1:16" ht="18" customHeight="1" x14ac:dyDescent="0.25">
      <c r="A28" s="124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</row>
    <row r="29" spans="1:16" ht="18" customHeight="1" x14ac:dyDescent="0.25">
      <c r="A29" s="35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</row>
    <row r="30" spans="1:16" ht="18" customHeight="1" x14ac:dyDescent="0.25">
      <c r="A30" s="35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</row>
    <row r="31" spans="1:16" ht="18" customHeight="1" x14ac:dyDescent="0.25">
      <c r="A31" s="35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</row>
    <row r="32" spans="1:16" ht="18" customHeight="1" x14ac:dyDescent="0.25">
      <c r="A32" s="35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</row>
    <row r="33" spans="1:16" x14ac:dyDescent="0.25">
      <c r="A33" s="35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</row>
    <row r="34" spans="1:16" x14ac:dyDescent="0.25">
      <c r="A34" s="35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</row>
    <row r="35" spans="1:16" x14ac:dyDescent="0.25">
      <c r="A35" s="35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</row>
    <row r="36" spans="1:16" x14ac:dyDescent="0.25">
      <c r="A36" s="35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</row>
    <row r="37" spans="1:16" x14ac:dyDescent="0.25">
      <c r="A37" s="35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</row>
    <row r="38" spans="1:16" x14ac:dyDescent="0.25">
      <c r="A38" s="35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</row>
    <row r="39" spans="1:16" x14ac:dyDescent="0.25">
      <c r="A39" s="35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</row>
    <row r="40" spans="1:16" x14ac:dyDescent="0.25">
      <c r="A40" s="35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</row>
    <row r="41" spans="1:16" x14ac:dyDescent="0.25">
      <c r="A41" s="35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</row>
    <row r="42" spans="1:16" x14ac:dyDescent="0.25">
      <c r="A42" s="35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</row>
    <row r="43" spans="1:16" x14ac:dyDescent="0.25">
      <c r="A43" s="35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</row>
    <row r="44" spans="1:16" x14ac:dyDescent="0.25">
      <c r="A44" s="35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</row>
    <row r="45" spans="1:16" x14ac:dyDescent="0.25">
      <c r="A45" s="35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</row>
    <row r="46" spans="1:16" x14ac:dyDescent="0.25">
      <c r="A46" s="35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</row>
    <row r="47" spans="1:16" x14ac:dyDescent="0.25">
      <c r="A47" s="35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</row>
    <row r="48" spans="1:16" x14ac:dyDescent="0.25">
      <c r="A48" s="35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</row>
    <row r="49" spans="1:16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</row>
    <row r="52" spans="1:16" x14ac:dyDescent="0.25">
      <c r="A52" s="35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</row>
    <row r="53" spans="1:16" x14ac:dyDescent="0.25">
      <c r="A53" s="35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</row>
    <row r="54" spans="1:16" x14ac:dyDescent="0.25">
      <c r="A54" s="35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</row>
    <row r="55" spans="1:16" x14ac:dyDescent="0.25">
      <c r="A55" s="35"/>
      <c r="B55" s="122"/>
      <c r="C55" s="122"/>
      <c r="D55" s="122"/>
      <c r="E55" s="122"/>
      <c r="F55" s="123"/>
      <c r="G55" s="122"/>
      <c r="H55" s="122"/>
      <c r="I55" s="122"/>
      <c r="J55" s="122"/>
      <c r="K55" s="122"/>
      <c r="L55" s="122"/>
      <c r="M55" s="122"/>
      <c r="N55" s="122"/>
      <c r="O55" s="122"/>
      <c r="P55" s="122"/>
    </row>
    <row r="56" spans="1:16" x14ac:dyDescent="0.25">
      <c r="A56" s="35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</row>
    <row r="57" spans="1:16" x14ac:dyDescent="0.25">
      <c r="A57" s="35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</row>
    <row r="58" spans="1:16" x14ac:dyDescent="0.25">
      <c r="A58" s="35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</row>
    <row r="59" spans="1:16" x14ac:dyDescent="0.25">
      <c r="A59" s="35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</row>
    <row r="60" spans="1:16" x14ac:dyDescent="0.25">
      <c r="A60" s="35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</row>
    <row r="61" spans="1:16" x14ac:dyDescent="0.25">
      <c r="A61" s="35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</row>
    <row r="62" spans="1:16" x14ac:dyDescent="0.25">
      <c r="A62" s="35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</row>
    <row r="63" spans="1:16" x14ac:dyDescent="0.25">
      <c r="A63" s="35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</row>
    <row r="64" spans="1:16" x14ac:dyDescent="0.25">
      <c r="A64" s="35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</row>
    <row r="65" spans="1:16" x14ac:dyDescent="0.25">
      <c r="A65" s="35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</row>
    <row r="66" spans="1:16" x14ac:dyDescent="0.25">
      <c r="A66" s="35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</row>
    <row r="67" spans="1:16" x14ac:dyDescent="0.25">
      <c r="A67" s="35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</row>
    <row r="68" spans="1:16" x14ac:dyDescent="0.25">
      <c r="A68" s="35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</row>
    <row r="69" spans="1:16" x14ac:dyDescent="0.25">
      <c r="A69" s="124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</row>
    <row r="70" spans="1:16" x14ac:dyDescent="0.2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</row>
    <row r="71" spans="1:16" x14ac:dyDescent="0.25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spans="1:16" x14ac:dyDescent="0.25"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</row>
    <row r="73" spans="1:16" x14ac:dyDescent="0.2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</row>
    <row r="74" spans="1:16" x14ac:dyDescent="0.25"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</row>
    <row r="75" spans="1:16" x14ac:dyDescent="0.25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</row>
    <row r="76" spans="1:16" x14ac:dyDescent="0.25"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1:16" x14ac:dyDescent="0.25"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</row>
    <row r="78" spans="1:16" x14ac:dyDescent="0.2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</row>
    <row r="79" spans="1:16" x14ac:dyDescent="0.2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</row>
    <row r="80" spans="1:16" x14ac:dyDescent="0.25"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</row>
    <row r="81" spans="2:16" x14ac:dyDescent="0.25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</row>
    <row r="82" spans="2:16" x14ac:dyDescent="0.25"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</row>
    <row r="83" spans="2:16" x14ac:dyDescent="0.25"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</row>
    <row r="84" spans="2:16" x14ac:dyDescent="0.25"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</row>
    <row r="85" spans="2:16" x14ac:dyDescent="0.2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</row>
    <row r="86" spans="2:16" x14ac:dyDescent="0.2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</row>
    <row r="87" spans="2:16" x14ac:dyDescent="0.25"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</row>
    <row r="88" spans="2:16" x14ac:dyDescent="0.25"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</row>
    <row r="89" spans="2:16" x14ac:dyDescent="0.25"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</row>
    <row r="90" spans="2:16" x14ac:dyDescent="0.25"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</row>
    <row r="91" spans="2:16" x14ac:dyDescent="0.25"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</row>
    <row r="92" spans="2:16" x14ac:dyDescent="0.25"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</row>
    <row r="93" spans="2:16" x14ac:dyDescent="0.25"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</row>
    <row r="94" spans="2:16" x14ac:dyDescent="0.25"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</row>
    <row r="95" spans="2:16" x14ac:dyDescent="0.25"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</row>
    <row r="96" spans="2:16" x14ac:dyDescent="0.25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</row>
    <row r="97" spans="2:16" x14ac:dyDescent="0.25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</row>
    <row r="98" spans="2:16" x14ac:dyDescent="0.25"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</row>
    <row r="99" spans="2:16" x14ac:dyDescent="0.25"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</row>
    <row r="100" spans="2:16" x14ac:dyDescent="0.25"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2:16" x14ac:dyDescent="0.25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2:16" x14ac:dyDescent="0.25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</row>
    <row r="103" spans="2:16" x14ac:dyDescent="0.25"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</row>
    <row r="104" spans="2:16" x14ac:dyDescent="0.25"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</row>
    <row r="105" spans="2:16" x14ac:dyDescent="0.25"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</row>
    <row r="106" spans="2:16" x14ac:dyDescent="0.25"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</row>
    <row r="107" spans="2:16" x14ac:dyDescent="0.25"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</row>
    <row r="108" spans="2:16" x14ac:dyDescent="0.25"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</row>
    <row r="109" spans="2:16" x14ac:dyDescent="0.25"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</row>
    <row r="110" spans="2:16" x14ac:dyDescent="0.25"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</row>
    <row r="111" spans="2:16" x14ac:dyDescent="0.25"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</row>
    <row r="112" spans="2:16" x14ac:dyDescent="0.25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</row>
    <row r="113" spans="2:16" x14ac:dyDescent="0.25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</row>
    <row r="114" spans="2:16" x14ac:dyDescent="0.25"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</row>
    <row r="115" spans="2:16" x14ac:dyDescent="0.25"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</row>
    <row r="116" spans="2:16" x14ac:dyDescent="0.25"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</row>
    <row r="117" spans="2:16" x14ac:dyDescent="0.25"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</row>
    <row r="118" spans="2:16" x14ac:dyDescent="0.25"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</row>
    <row r="119" spans="2:16" x14ac:dyDescent="0.25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</row>
    <row r="120" spans="2:16" x14ac:dyDescent="0.25"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</row>
    <row r="121" spans="2:16" x14ac:dyDescent="0.25"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</row>
    <row r="122" spans="2:16" x14ac:dyDescent="0.25"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</row>
    <row r="123" spans="2:16" x14ac:dyDescent="0.25"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</row>
    <row r="124" spans="2:16" x14ac:dyDescent="0.25"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</row>
    <row r="125" spans="2:16" x14ac:dyDescent="0.25"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</row>
    <row r="126" spans="2:16" x14ac:dyDescent="0.25"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</row>
    <row r="127" spans="2:16" x14ac:dyDescent="0.25"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</row>
    <row r="128" spans="2:16" x14ac:dyDescent="0.25"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</row>
    <row r="129" spans="2:16" x14ac:dyDescent="0.25"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</row>
    <row r="130" spans="2:16" x14ac:dyDescent="0.25"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</row>
    <row r="131" spans="2:16" x14ac:dyDescent="0.25"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</row>
    <row r="132" spans="2:16" x14ac:dyDescent="0.25"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</row>
    <row r="133" spans="2:16" x14ac:dyDescent="0.25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</row>
    <row r="134" spans="2:16" x14ac:dyDescent="0.25"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</row>
    <row r="135" spans="2:16" x14ac:dyDescent="0.25"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</row>
    <row r="136" spans="2:16" x14ac:dyDescent="0.25"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</row>
    <row r="137" spans="2:16" x14ac:dyDescent="0.25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</row>
    <row r="138" spans="2:16" x14ac:dyDescent="0.25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</row>
    <row r="139" spans="2:16" x14ac:dyDescent="0.25"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</row>
    <row r="140" spans="2:16" x14ac:dyDescent="0.25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</row>
    <row r="141" spans="2:16" x14ac:dyDescent="0.25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</row>
    <row r="142" spans="2:16" x14ac:dyDescent="0.25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</row>
    <row r="143" spans="2:16" x14ac:dyDescent="0.25"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</row>
    <row r="144" spans="2:16" x14ac:dyDescent="0.25"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</row>
    <row r="145" spans="2:16" x14ac:dyDescent="0.25"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</row>
    <row r="146" spans="2:16" x14ac:dyDescent="0.25"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</row>
    <row r="147" spans="2:16" x14ac:dyDescent="0.25"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</row>
    <row r="148" spans="2:16" x14ac:dyDescent="0.25"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</row>
    <row r="149" spans="2:16" x14ac:dyDescent="0.25"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</row>
    <row r="150" spans="2:16" x14ac:dyDescent="0.25"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</row>
    <row r="151" spans="2:16" x14ac:dyDescent="0.25"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</row>
    <row r="152" spans="2:16" x14ac:dyDescent="0.25"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</row>
    <row r="153" spans="2:16" x14ac:dyDescent="0.25"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</row>
    <row r="154" spans="2:16" x14ac:dyDescent="0.25"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</row>
    <row r="155" spans="2:16" x14ac:dyDescent="0.25"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</row>
    <row r="156" spans="2:16" x14ac:dyDescent="0.25"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</row>
    <row r="157" spans="2:16" x14ac:dyDescent="0.25"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</row>
    <row r="158" spans="2:16" x14ac:dyDescent="0.25"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</row>
    <row r="159" spans="2:16" x14ac:dyDescent="0.25"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</row>
    <row r="160" spans="2:16" x14ac:dyDescent="0.25">
      <c r="B160" s="116"/>
      <c r="C160" s="116"/>
      <c r="D160" s="116"/>
      <c r="N160" s="116"/>
    </row>
    <row r="161" spans="2:14" x14ac:dyDescent="0.25">
      <c r="B161" s="116"/>
      <c r="C161" s="116"/>
      <c r="D161" s="116"/>
      <c r="N161" s="116"/>
    </row>
    <row r="162" spans="2:14" x14ac:dyDescent="0.25">
      <c r="B162" s="116"/>
      <c r="C162" s="116"/>
      <c r="D162" s="116"/>
      <c r="N162" s="116"/>
    </row>
    <row r="163" spans="2:14" x14ac:dyDescent="0.25">
      <c r="B163" s="116"/>
      <c r="C163" s="116"/>
      <c r="D163" s="116"/>
      <c r="N163" s="116"/>
    </row>
    <row r="164" spans="2:14" x14ac:dyDescent="0.25">
      <c r="B164" s="116"/>
      <c r="C164" s="116"/>
      <c r="D164" s="116"/>
      <c r="N164" s="116"/>
    </row>
    <row r="165" spans="2:14" x14ac:dyDescent="0.25">
      <c r="B165" s="116"/>
      <c r="C165" s="116"/>
      <c r="D165" s="116"/>
      <c r="N165" s="116"/>
    </row>
    <row r="166" spans="2:14" x14ac:dyDescent="0.25">
      <c r="B166" s="116"/>
      <c r="C166" s="116"/>
      <c r="D166" s="116"/>
      <c r="N166" s="116"/>
    </row>
    <row r="167" spans="2:14" x14ac:dyDescent="0.25">
      <c r="B167" s="116"/>
      <c r="C167" s="116"/>
      <c r="D167" s="116"/>
      <c r="N167" s="116"/>
    </row>
    <row r="168" spans="2:14" x14ac:dyDescent="0.25">
      <c r="B168" s="116"/>
      <c r="C168" s="116"/>
      <c r="D168" s="116"/>
      <c r="N168" s="116"/>
    </row>
    <row r="169" spans="2:14" x14ac:dyDescent="0.25">
      <c r="B169" s="116"/>
      <c r="C169" s="116"/>
      <c r="D169" s="116"/>
      <c r="N169" s="116"/>
    </row>
    <row r="170" spans="2:14" x14ac:dyDescent="0.25">
      <c r="B170" s="116"/>
      <c r="C170" s="116"/>
      <c r="D170" s="116"/>
      <c r="N170" s="116"/>
    </row>
    <row r="171" spans="2:14" x14ac:dyDescent="0.25">
      <c r="B171" s="116"/>
      <c r="C171" s="116"/>
      <c r="D171" s="116"/>
      <c r="N171" s="116"/>
    </row>
    <row r="172" spans="2:14" x14ac:dyDescent="0.25">
      <c r="B172" s="116"/>
      <c r="C172" s="116"/>
      <c r="D172" s="116"/>
      <c r="N172" s="116"/>
    </row>
    <row r="173" spans="2:14" x14ac:dyDescent="0.25">
      <c r="B173" s="116"/>
      <c r="C173" s="116"/>
      <c r="D173" s="116"/>
      <c r="N173" s="116"/>
    </row>
    <row r="174" spans="2:14" x14ac:dyDescent="0.25">
      <c r="B174" s="116"/>
      <c r="C174" s="116"/>
      <c r="D174" s="116"/>
      <c r="N174" s="116"/>
    </row>
    <row r="175" spans="2:14" x14ac:dyDescent="0.25">
      <c r="B175" s="116"/>
      <c r="C175" s="116"/>
      <c r="D175" s="116"/>
      <c r="N175" s="116"/>
    </row>
    <row r="176" spans="2:14" x14ac:dyDescent="0.25">
      <c r="B176" s="116"/>
      <c r="C176" s="116"/>
      <c r="D176" s="116"/>
      <c r="N176" s="116"/>
    </row>
    <row r="177" spans="2:14" x14ac:dyDescent="0.25">
      <c r="B177" s="116"/>
      <c r="C177" s="116"/>
      <c r="D177" s="116"/>
      <c r="N177" s="116"/>
    </row>
    <row r="178" spans="2:14" x14ac:dyDescent="0.25">
      <c r="B178" s="116"/>
      <c r="C178" s="116"/>
      <c r="D178" s="116"/>
      <c r="N178" s="116"/>
    </row>
    <row r="179" spans="2:14" x14ac:dyDescent="0.25">
      <c r="B179" s="116"/>
      <c r="C179" s="116"/>
      <c r="D179" s="116"/>
      <c r="N179" s="116"/>
    </row>
    <row r="180" spans="2:14" x14ac:dyDescent="0.25">
      <c r="B180" s="116"/>
      <c r="C180" s="116"/>
      <c r="D180" s="116"/>
      <c r="N180" s="116"/>
    </row>
    <row r="181" spans="2:14" x14ac:dyDescent="0.25">
      <c r="B181" s="116"/>
      <c r="C181" s="116"/>
      <c r="D181" s="116"/>
      <c r="N181" s="116"/>
    </row>
    <row r="182" spans="2:14" x14ac:dyDescent="0.25">
      <c r="B182" s="116"/>
      <c r="C182" s="116"/>
      <c r="D182" s="116"/>
      <c r="N182" s="116"/>
    </row>
    <row r="183" spans="2:14" x14ac:dyDescent="0.25">
      <c r="B183" s="116"/>
      <c r="C183" s="116"/>
      <c r="D183" s="116"/>
      <c r="N183" s="116"/>
    </row>
    <row r="184" spans="2:14" x14ac:dyDescent="0.25">
      <c r="B184" s="116"/>
      <c r="C184" s="116"/>
      <c r="D184" s="116"/>
      <c r="N184" s="116"/>
    </row>
    <row r="185" spans="2:14" x14ac:dyDescent="0.25">
      <c r="B185" s="116"/>
      <c r="C185" s="116"/>
      <c r="D185" s="116"/>
      <c r="N185" s="116"/>
    </row>
    <row r="186" spans="2:14" x14ac:dyDescent="0.25">
      <c r="B186" s="116"/>
      <c r="C186" s="116"/>
      <c r="D186" s="116"/>
      <c r="N186" s="116"/>
    </row>
    <row r="187" spans="2:14" x14ac:dyDescent="0.25">
      <c r="B187" s="116"/>
      <c r="C187" s="116"/>
      <c r="D187" s="116"/>
      <c r="N187" s="116"/>
    </row>
    <row r="188" spans="2:14" x14ac:dyDescent="0.25">
      <c r="B188" s="116"/>
      <c r="C188" s="116"/>
      <c r="D188" s="116"/>
      <c r="N188" s="116"/>
    </row>
    <row r="189" spans="2:14" x14ac:dyDescent="0.25">
      <c r="B189" s="116"/>
      <c r="C189" s="116"/>
      <c r="D189" s="116"/>
      <c r="N189" s="116"/>
    </row>
    <row r="190" spans="2:14" x14ac:dyDescent="0.25">
      <c r="B190" s="116"/>
      <c r="C190" s="116"/>
      <c r="D190" s="116"/>
      <c r="N190" s="116"/>
    </row>
    <row r="191" spans="2:14" x14ac:dyDescent="0.25">
      <c r="B191" s="116"/>
      <c r="C191" s="116"/>
      <c r="D191" s="116"/>
      <c r="N191" s="116"/>
    </row>
    <row r="192" spans="2:14" x14ac:dyDescent="0.25">
      <c r="B192" s="116"/>
      <c r="C192" s="116"/>
      <c r="D192" s="116"/>
      <c r="N192" s="116"/>
    </row>
    <row r="193" spans="2:14" x14ac:dyDescent="0.25">
      <c r="B193" s="116"/>
      <c r="C193" s="116"/>
      <c r="D193" s="116"/>
      <c r="N193" s="116"/>
    </row>
    <row r="194" spans="2:14" x14ac:dyDescent="0.25">
      <c r="B194" s="116"/>
      <c r="C194" s="116"/>
      <c r="D194" s="116"/>
      <c r="N194" s="116"/>
    </row>
    <row r="195" spans="2:14" x14ac:dyDescent="0.25">
      <c r="B195" s="116"/>
      <c r="C195" s="116"/>
      <c r="D195" s="116"/>
      <c r="N195" s="116"/>
    </row>
    <row r="196" spans="2:14" x14ac:dyDescent="0.25">
      <c r="B196" s="116"/>
      <c r="C196" s="116"/>
      <c r="D196" s="116"/>
      <c r="N196" s="116"/>
    </row>
    <row r="197" spans="2:14" x14ac:dyDescent="0.25">
      <c r="B197" s="116"/>
      <c r="C197" s="116"/>
      <c r="D197" s="116"/>
      <c r="N197" s="116"/>
    </row>
    <row r="198" spans="2:14" x14ac:dyDescent="0.25">
      <c r="B198" s="116"/>
      <c r="C198" s="116"/>
      <c r="D198" s="116"/>
      <c r="N198" s="116"/>
    </row>
    <row r="199" spans="2:14" x14ac:dyDescent="0.25">
      <c r="B199" s="116"/>
      <c r="C199" s="116"/>
      <c r="D199" s="116"/>
      <c r="N199" s="116"/>
    </row>
    <row r="200" spans="2:14" x14ac:dyDescent="0.25">
      <c r="B200" s="116"/>
      <c r="C200" s="116"/>
      <c r="D200" s="116"/>
      <c r="N200" s="116"/>
    </row>
    <row r="201" spans="2:14" x14ac:dyDescent="0.25">
      <c r="B201" s="116"/>
      <c r="C201" s="116"/>
      <c r="D201" s="116"/>
      <c r="N201" s="116"/>
    </row>
    <row r="202" spans="2:14" x14ac:dyDescent="0.25">
      <c r="B202" s="116"/>
      <c r="C202" s="116"/>
      <c r="D202" s="116"/>
      <c r="N202" s="116"/>
    </row>
    <row r="203" spans="2:14" x14ac:dyDescent="0.25">
      <c r="B203" s="116"/>
      <c r="C203" s="116"/>
      <c r="D203" s="116"/>
      <c r="N203" s="116"/>
    </row>
    <row r="204" spans="2:14" x14ac:dyDescent="0.25">
      <c r="B204" s="116"/>
      <c r="C204" s="116"/>
      <c r="D204" s="116"/>
      <c r="N204" s="116"/>
    </row>
    <row r="205" spans="2:14" x14ac:dyDescent="0.25">
      <c r="B205" s="116"/>
      <c r="C205" s="116"/>
      <c r="D205" s="116"/>
      <c r="N205" s="116"/>
    </row>
    <row r="206" spans="2:14" x14ac:dyDescent="0.25">
      <c r="B206" s="116"/>
      <c r="C206" s="116"/>
      <c r="D206" s="116"/>
      <c r="N206" s="116"/>
    </row>
    <row r="207" spans="2:14" x14ac:dyDescent="0.25">
      <c r="B207" s="116"/>
      <c r="C207" s="116"/>
      <c r="D207" s="116"/>
      <c r="N207" s="116"/>
    </row>
    <row r="208" spans="2:14" x14ac:dyDescent="0.25">
      <c r="B208" s="116"/>
      <c r="C208" s="116"/>
      <c r="D208" s="116"/>
      <c r="N208" s="116"/>
    </row>
    <row r="209" spans="2:14" x14ac:dyDescent="0.25">
      <c r="B209" s="116"/>
      <c r="C209" s="116"/>
      <c r="D209" s="116"/>
      <c r="N209" s="116"/>
    </row>
    <row r="210" spans="2:14" x14ac:dyDescent="0.25">
      <c r="B210" s="116"/>
      <c r="C210" s="116"/>
      <c r="D210" s="116"/>
      <c r="N210" s="116"/>
    </row>
    <row r="211" spans="2:14" x14ac:dyDescent="0.25">
      <c r="B211" s="116"/>
      <c r="C211" s="116"/>
      <c r="D211" s="116"/>
      <c r="N211" s="116"/>
    </row>
    <row r="212" spans="2:14" x14ac:dyDescent="0.25">
      <c r="B212" s="116"/>
      <c r="C212" s="116"/>
      <c r="D212" s="116"/>
      <c r="N212" s="116"/>
    </row>
    <row r="213" spans="2:14" x14ac:dyDescent="0.25">
      <c r="B213" s="116"/>
      <c r="C213" s="116"/>
      <c r="D213" s="116"/>
      <c r="N213" s="116"/>
    </row>
    <row r="214" spans="2:14" x14ac:dyDescent="0.25">
      <c r="B214" s="116"/>
      <c r="C214" s="116"/>
      <c r="D214" s="116"/>
      <c r="N214" s="116"/>
    </row>
    <row r="215" spans="2:14" x14ac:dyDescent="0.25">
      <c r="B215" s="116"/>
      <c r="C215" s="116"/>
      <c r="D215" s="116"/>
      <c r="N215" s="116"/>
    </row>
    <row r="216" spans="2:14" x14ac:dyDescent="0.25">
      <c r="B216" s="116"/>
      <c r="C216" s="116"/>
      <c r="D216" s="116"/>
      <c r="N216" s="116"/>
    </row>
    <row r="217" spans="2:14" x14ac:dyDescent="0.25">
      <c r="B217" s="116"/>
      <c r="C217" s="116"/>
      <c r="D217" s="116"/>
      <c r="N217" s="116"/>
    </row>
    <row r="218" spans="2:14" x14ac:dyDescent="0.25">
      <c r="B218" s="116"/>
      <c r="C218" s="116"/>
      <c r="D218" s="116"/>
      <c r="N218" s="116"/>
    </row>
    <row r="219" spans="2:14" x14ac:dyDescent="0.25">
      <c r="B219" s="116"/>
      <c r="C219" s="116"/>
      <c r="D219" s="116"/>
      <c r="N219" s="116"/>
    </row>
    <row r="220" spans="2:14" x14ac:dyDescent="0.25">
      <c r="B220" s="116"/>
      <c r="C220" s="116"/>
      <c r="D220" s="116"/>
      <c r="N220" s="116"/>
    </row>
    <row r="221" spans="2:14" x14ac:dyDescent="0.25">
      <c r="B221" s="116"/>
      <c r="C221" s="116"/>
      <c r="D221" s="116"/>
      <c r="N221" s="116"/>
    </row>
    <row r="222" spans="2:14" x14ac:dyDescent="0.25">
      <c r="B222" s="116"/>
      <c r="C222" s="116"/>
      <c r="D222" s="116"/>
      <c r="N222" s="116"/>
    </row>
    <row r="223" spans="2:14" x14ac:dyDescent="0.25">
      <c r="B223" s="116"/>
      <c r="C223" s="116"/>
      <c r="D223" s="116"/>
      <c r="N223" s="116"/>
    </row>
    <row r="224" spans="2:14" x14ac:dyDescent="0.25">
      <c r="B224" s="116"/>
      <c r="C224" s="116"/>
      <c r="D224" s="116"/>
      <c r="N224" s="116"/>
    </row>
    <row r="225" spans="2:14" x14ac:dyDescent="0.25">
      <c r="B225" s="116"/>
      <c r="C225" s="116"/>
      <c r="D225" s="116"/>
      <c r="N225" s="116"/>
    </row>
    <row r="226" spans="2:14" x14ac:dyDescent="0.25">
      <c r="B226" s="116"/>
      <c r="C226" s="116"/>
      <c r="D226" s="116"/>
      <c r="N226" s="116"/>
    </row>
    <row r="227" spans="2:14" x14ac:dyDescent="0.25">
      <c r="B227" s="116"/>
      <c r="C227" s="116"/>
      <c r="D227" s="116"/>
      <c r="N227" s="116"/>
    </row>
    <row r="228" spans="2:14" x14ac:dyDescent="0.25">
      <c r="B228" s="116"/>
      <c r="C228" s="116"/>
      <c r="D228" s="116"/>
      <c r="N228" s="116"/>
    </row>
    <row r="229" spans="2:14" x14ac:dyDescent="0.25">
      <c r="C229" s="116"/>
      <c r="D229" s="116"/>
      <c r="N229" s="116"/>
    </row>
    <row r="230" spans="2:14" x14ac:dyDescent="0.25">
      <c r="C230" s="116"/>
      <c r="D230" s="116"/>
      <c r="N230" s="116"/>
    </row>
    <row r="231" spans="2:14" x14ac:dyDescent="0.25">
      <c r="C231" s="116"/>
      <c r="D231" s="116"/>
      <c r="N231" s="116"/>
    </row>
    <row r="232" spans="2:14" x14ac:dyDescent="0.25">
      <c r="C232" s="116"/>
      <c r="D232" s="116"/>
      <c r="N232" s="116"/>
    </row>
    <row r="233" spans="2:14" x14ac:dyDescent="0.25">
      <c r="C233" s="116"/>
      <c r="D233" s="116"/>
      <c r="N233" s="116"/>
    </row>
    <row r="234" spans="2:14" x14ac:dyDescent="0.25">
      <c r="C234" s="116"/>
      <c r="D234" s="116"/>
      <c r="N234" s="116"/>
    </row>
    <row r="235" spans="2:14" x14ac:dyDescent="0.25">
      <c r="C235" s="116"/>
      <c r="D235" s="116"/>
      <c r="N235" s="116"/>
    </row>
    <row r="236" spans="2:14" x14ac:dyDescent="0.25">
      <c r="C236" s="116"/>
      <c r="D236" s="116"/>
      <c r="N236" s="116"/>
    </row>
    <row r="237" spans="2:14" x14ac:dyDescent="0.25">
      <c r="C237" s="116"/>
      <c r="D237" s="116"/>
      <c r="N237" s="116"/>
    </row>
    <row r="238" spans="2:14" x14ac:dyDescent="0.25">
      <c r="C238" s="116"/>
      <c r="D238" s="116"/>
      <c r="N238" s="116"/>
    </row>
    <row r="239" spans="2:14" x14ac:dyDescent="0.25">
      <c r="C239" s="116"/>
      <c r="D239" s="116"/>
      <c r="N239" s="116"/>
    </row>
    <row r="240" spans="2:14" x14ac:dyDescent="0.25">
      <c r="C240" s="116"/>
      <c r="D240" s="116"/>
      <c r="N240" s="116"/>
    </row>
    <row r="241" spans="3:14" x14ac:dyDescent="0.25">
      <c r="C241" s="116"/>
      <c r="D241" s="116"/>
      <c r="N241" s="116"/>
    </row>
    <row r="242" spans="3:14" x14ac:dyDescent="0.25">
      <c r="C242" s="116"/>
      <c r="D242" s="116"/>
      <c r="N242" s="116"/>
    </row>
    <row r="243" spans="3:14" x14ac:dyDescent="0.25">
      <c r="N243" s="116"/>
    </row>
    <row r="244" spans="3:14" x14ac:dyDescent="0.25">
      <c r="N244" s="116"/>
    </row>
    <row r="245" spans="3:14" x14ac:dyDescent="0.25">
      <c r="N245" s="116"/>
    </row>
    <row r="246" spans="3:14" x14ac:dyDescent="0.25">
      <c r="N246" s="116"/>
    </row>
    <row r="247" spans="3:14" x14ac:dyDescent="0.25">
      <c r="N247" s="116"/>
    </row>
    <row r="248" spans="3:14" x14ac:dyDescent="0.25">
      <c r="N248" s="116"/>
    </row>
    <row r="249" spans="3:14" x14ac:dyDescent="0.25">
      <c r="N249" s="116"/>
    </row>
    <row r="250" spans="3:14" x14ac:dyDescent="0.25">
      <c r="N250" s="116"/>
    </row>
    <row r="251" spans="3:14" x14ac:dyDescent="0.25">
      <c r="N251" s="116"/>
    </row>
    <row r="252" spans="3:14" x14ac:dyDescent="0.25">
      <c r="N252" s="116"/>
    </row>
    <row r="253" spans="3:14" x14ac:dyDescent="0.25">
      <c r="N253" s="116"/>
    </row>
    <row r="254" spans="3:14" x14ac:dyDescent="0.25">
      <c r="N254" s="116"/>
    </row>
    <row r="255" spans="3:14" x14ac:dyDescent="0.25">
      <c r="N255" s="116"/>
    </row>
    <row r="256" spans="3:14" x14ac:dyDescent="0.25">
      <c r="N256" s="116"/>
    </row>
    <row r="257" spans="14:14" x14ac:dyDescent="0.25">
      <c r="N257" s="116"/>
    </row>
    <row r="258" spans="14:14" x14ac:dyDescent="0.25">
      <c r="N258" s="116"/>
    </row>
    <row r="259" spans="14:14" x14ac:dyDescent="0.25">
      <c r="N259" s="116"/>
    </row>
    <row r="260" spans="14:14" x14ac:dyDescent="0.25">
      <c r="N260" s="116"/>
    </row>
    <row r="261" spans="14:14" x14ac:dyDescent="0.25">
      <c r="N261" s="116"/>
    </row>
    <row r="262" spans="14:14" x14ac:dyDescent="0.25">
      <c r="N262" s="116"/>
    </row>
    <row r="263" spans="14:14" x14ac:dyDescent="0.25">
      <c r="N263" s="116"/>
    </row>
  </sheetData>
  <mergeCells count="6">
    <mergeCell ref="A7:P7"/>
    <mergeCell ref="A10:P10"/>
    <mergeCell ref="K18:M18"/>
    <mergeCell ref="K19:L19"/>
    <mergeCell ref="A15:P15"/>
    <mergeCell ref="A8:P8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M196"/>
  <sheetViews>
    <sheetView view="pageBreakPreview" topLeftCell="A9" zoomScale="85" zoomScaleSheetLayoutView="85" workbookViewId="0">
      <selection activeCell="A10" sqref="A10:D10"/>
    </sheetView>
  </sheetViews>
  <sheetFormatPr defaultColWidth="9.109375" defaultRowHeight="13.2" x14ac:dyDescent="0.25"/>
  <cols>
    <col min="1" max="1" width="53.88671875" style="1" customWidth="1"/>
    <col min="2" max="2" width="14.6640625" style="2" customWidth="1"/>
    <col min="3" max="3" width="12.6640625" style="1" customWidth="1"/>
    <col min="4" max="4" width="13.44140625" style="1" customWidth="1"/>
    <col min="5" max="8" width="9.109375" style="1"/>
    <col min="9" max="9" width="8.44140625" style="1" customWidth="1"/>
    <col min="10" max="16384" width="9.109375" style="1"/>
  </cols>
  <sheetData>
    <row r="7" spans="1:13" x14ac:dyDescent="0.25">
      <c r="A7" s="481" t="s">
        <v>560</v>
      </c>
      <c r="B7" s="482"/>
      <c r="C7" s="482"/>
      <c r="D7" s="482"/>
    </row>
    <row r="8" spans="1:13" x14ac:dyDescent="0.25">
      <c r="A8" s="481" t="s">
        <v>551</v>
      </c>
      <c r="B8" s="482"/>
      <c r="C8" s="482"/>
      <c r="D8" s="482"/>
    </row>
    <row r="9" spans="1:13" x14ac:dyDescent="0.25">
      <c r="A9" s="478"/>
      <c r="B9" s="478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</row>
    <row r="10" spans="1:13" ht="24" customHeight="1" x14ac:dyDescent="0.25">
      <c r="A10" s="504" t="s">
        <v>684</v>
      </c>
      <c r="B10" s="504"/>
      <c r="C10" s="504"/>
      <c r="D10" s="504"/>
    </row>
    <row r="11" spans="1:13" x14ac:dyDescent="0.25">
      <c r="A11" s="492"/>
      <c r="B11" s="503"/>
      <c r="C11" s="492"/>
      <c r="D11" s="492"/>
    </row>
    <row r="12" spans="1:13" x14ac:dyDescent="0.25">
      <c r="C12" s="492" t="s">
        <v>487</v>
      </c>
      <c r="D12" s="492"/>
    </row>
    <row r="13" spans="1:13" ht="13.8" thickBot="1" x14ac:dyDescent="0.3">
      <c r="D13" s="1" t="s">
        <v>448</v>
      </c>
    </row>
    <row r="14" spans="1:13" x14ac:dyDescent="0.25">
      <c r="A14" s="3" t="s">
        <v>24</v>
      </c>
      <c r="B14" s="4"/>
      <c r="C14" s="5"/>
      <c r="D14" s="6"/>
    </row>
    <row r="15" spans="1:13" ht="13.8" thickBot="1" x14ac:dyDescent="0.3">
      <c r="A15" s="7" t="s">
        <v>25</v>
      </c>
      <c r="B15" s="8"/>
      <c r="C15" s="9"/>
      <c r="D15" s="10"/>
    </row>
    <row r="16" spans="1:13" x14ac:dyDescent="0.25">
      <c r="A16" s="11" t="s">
        <v>26</v>
      </c>
      <c r="B16" s="12" t="s">
        <v>27</v>
      </c>
      <c r="C16" s="13"/>
      <c r="D16" s="14" t="s">
        <v>28</v>
      </c>
    </row>
    <row r="17" spans="1:4" ht="13.8" thickBot="1" x14ac:dyDescent="0.3">
      <c r="A17" s="15"/>
      <c r="B17" s="25" t="s">
        <v>70</v>
      </c>
      <c r="C17" s="16" t="s">
        <v>29</v>
      </c>
      <c r="D17" s="17"/>
    </row>
    <row r="18" spans="1:4" x14ac:dyDescent="0.25">
      <c r="A18" s="473" t="s">
        <v>670</v>
      </c>
      <c r="B18" s="474"/>
      <c r="C18" s="475">
        <v>435</v>
      </c>
      <c r="D18" s="472"/>
    </row>
    <row r="19" spans="1:4" s="99" customFormat="1" ht="13.8" thickBot="1" x14ac:dyDescent="0.3">
      <c r="A19" s="186" t="s">
        <v>671</v>
      </c>
      <c r="B19" s="233">
        <f>SUM(B20:B23)</f>
        <v>19190</v>
      </c>
      <c r="C19" s="233">
        <f>SUM(C20:C24)</f>
        <v>21471</v>
      </c>
      <c r="D19" s="420"/>
    </row>
    <row r="20" spans="1:4" x14ac:dyDescent="0.25">
      <c r="A20" s="368" t="s">
        <v>564</v>
      </c>
      <c r="B20" s="397">
        <v>12080</v>
      </c>
      <c r="C20" s="397">
        <v>12080</v>
      </c>
      <c r="D20" s="369">
        <v>0</v>
      </c>
    </row>
    <row r="21" spans="1:4" x14ac:dyDescent="0.25">
      <c r="A21" s="70" t="s">
        <v>565</v>
      </c>
      <c r="B21" s="398">
        <f>2045+1112</f>
        <v>3157</v>
      </c>
      <c r="C21" s="398">
        <f>3157+437</f>
        <v>3594</v>
      </c>
      <c r="D21" s="323">
        <f>SUM(D23:D23)</f>
        <v>0</v>
      </c>
    </row>
    <row r="22" spans="1:4" x14ac:dyDescent="0.25">
      <c r="A22" s="70" t="s">
        <v>588</v>
      </c>
      <c r="B22" s="398">
        <v>3948</v>
      </c>
      <c r="C22" s="398">
        <f>B22+1200+568+26</f>
        <v>5742</v>
      </c>
      <c r="D22" s="323"/>
    </row>
    <row r="23" spans="1:4" x14ac:dyDescent="0.25">
      <c r="A23" s="70" t="s">
        <v>122</v>
      </c>
      <c r="B23" s="20">
        <v>5</v>
      </c>
      <c r="C23" s="20">
        <v>5</v>
      </c>
      <c r="D23" s="71"/>
    </row>
    <row r="24" spans="1:4" x14ac:dyDescent="0.25">
      <c r="A24" s="70" t="s">
        <v>669</v>
      </c>
      <c r="B24" s="20"/>
      <c r="C24" s="20">
        <v>50</v>
      </c>
      <c r="D24" s="71"/>
    </row>
    <row r="25" spans="1:4" x14ac:dyDescent="0.25">
      <c r="A25" s="80" t="s">
        <v>18</v>
      </c>
      <c r="B25" s="95">
        <f>B26+B27</f>
        <v>22822</v>
      </c>
      <c r="C25" s="95">
        <f>C26</f>
        <v>26705</v>
      </c>
      <c r="D25" s="71"/>
    </row>
    <row r="26" spans="1:4" x14ac:dyDescent="0.25">
      <c r="A26" s="70" t="s">
        <v>485</v>
      </c>
      <c r="B26" s="399">
        <v>22822</v>
      </c>
      <c r="C26" s="399">
        <f>B26+545+1211+240+1887</f>
        <v>26705</v>
      </c>
      <c r="D26" s="71"/>
    </row>
    <row r="27" spans="1:4" x14ac:dyDescent="0.25">
      <c r="A27" s="70" t="s">
        <v>486</v>
      </c>
      <c r="B27" s="399"/>
      <c r="C27" s="399"/>
      <c r="D27" s="463"/>
    </row>
    <row r="28" spans="1:4" ht="13.8" thickBot="1" x14ac:dyDescent="0.3">
      <c r="A28" s="94" t="s">
        <v>672</v>
      </c>
      <c r="B28" s="130">
        <v>0</v>
      </c>
      <c r="C28" s="130"/>
      <c r="D28" s="464"/>
    </row>
    <row r="29" spans="1:4" x14ac:dyDescent="0.25">
      <c r="A29" s="73" t="s">
        <v>673</v>
      </c>
      <c r="B29" s="74">
        <f>B19+B25</f>
        <v>42012</v>
      </c>
      <c r="C29" s="74">
        <f>C19+C25+C18</f>
        <v>48611</v>
      </c>
      <c r="D29" s="74">
        <f>D19+D25</f>
        <v>0</v>
      </c>
    </row>
    <row r="30" spans="1:4" ht="13.8" thickBot="1" x14ac:dyDescent="0.3">
      <c r="A30" s="75"/>
      <c r="B30" s="76"/>
      <c r="C30" s="76"/>
      <c r="D30" s="77"/>
    </row>
    <row r="31" spans="1:4" x14ac:dyDescent="0.25">
      <c r="A31" s="9"/>
      <c r="B31" s="24"/>
      <c r="C31" s="24"/>
      <c r="D31" s="24"/>
    </row>
    <row r="32" spans="1:4" x14ac:dyDescent="0.25">
      <c r="A32" s="9"/>
      <c r="B32" s="24"/>
      <c r="C32" s="24"/>
      <c r="D32" s="24"/>
    </row>
    <row r="33" spans="1:4" x14ac:dyDescent="0.25">
      <c r="C33" s="2"/>
      <c r="D33" s="2"/>
    </row>
    <row r="34" spans="1:4" x14ac:dyDescent="0.25">
      <c r="C34" s="2"/>
      <c r="D34" s="2"/>
    </row>
    <row r="35" spans="1:4" x14ac:dyDescent="0.25">
      <c r="A35" s="481" t="s">
        <v>560</v>
      </c>
      <c r="B35" s="482"/>
      <c r="C35" s="482"/>
      <c r="D35" s="482"/>
    </row>
    <row r="36" spans="1:4" x14ac:dyDescent="0.25">
      <c r="A36" s="491" t="s">
        <v>553</v>
      </c>
      <c r="B36" s="477"/>
      <c r="C36" s="477"/>
      <c r="D36" s="477"/>
    </row>
    <row r="37" spans="1:4" x14ac:dyDescent="0.25">
      <c r="A37" s="495"/>
      <c r="B37" s="482"/>
      <c r="C37" s="495"/>
      <c r="D37" s="495"/>
    </row>
    <row r="40" spans="1:4" x14ac:dyDescent="0.25">
      <c r="C40" s="492"/>
      <c r="D40" s="492"/>
    </row>
    <row r="41" spans="1:4" ht="13.8" thickBot="1" x14ac:dyDescent="0.3">
      <c r="C41" s="505" t="s">
        <v>448</v>
      </c>
      <c r="D41" s="505"/>
    </row>
    <row r="42" spans="1:4" x14ac:dyDescent="0.25">
      <c r="A42" s="3" t="s">
        <v>30</v>
      </c>
      <c r="B42" s="4"/>
      <c r="C42" s="5"/>
      <c r="D42" s="6"/>
    </row>
    <row r="43" spans="1:4" ht="13.8" thickBot="1" x14ac:dyDescent="0.3">
      <c r="A43" s="7" t="s">
        <v>25</v>
      </c>
      <c r="B43" s="8"/>
      <c r="C43" s="9"/>
      <c r="D43" s="10"/>
    </row>
    <row r="44" spans="1:4" x14ac:dyDescent="0.25">
      <c r="A44" s="11" t="s">
        <v>31</v>
      </c>
      <c r="B44" s="12" t="s">
        <v>27</v>
      </c>
      <c r="C44" s="13"/>
      <c r="D44" s="14" t="s">
        <v>28</v>
      </c>
    </row>
    <row r="45" spans="1:4" ht="13.8" thickBot="1" x14ac:dyDescent="0.3">
      <c r="A45" s="15"/>
      <c r="B45" s="25" t="s">
        <v>70</v>
      </c>
      <c r="C45" s="16" t="s">
        <v>29</v>
      </c>
      <c r="D45" s="17"/>
    </row>
    <row r="46" spans="1:4" x14ac:dyDescent="0.25">
      <c r="A46" s="30" t="s">
        <v>32</v>
      </c>
      <c r="B46" s="31">
        <f>SUM(B47:B50)</f>
        <v>40107</v>
      </c>
      <c r="C46" s="31">
        <f>SUM(C47:C50)</f>
        <v>46706</v>
      </c>
      <c r="D46" s="31">
        <f>SUM(D47:D49)</f>
        <v>0</v>
      </c>
    </row>
    <row r="47" spans="1:4" x14ac:dyDescent="0.25">
      <c r="A47" s="18" t="s">
        <v>112</v>
      </c>
      <c r="B47" s="26">
        <v>10608</v>
      </c>
      <c r="C47" s="26">
        <f>B47+362+50+357+185+293+5</f>
        <v>11860</v>
      </c>
      <c r="D47" s="26"/>
    </row>
    <row r="48" spans="1:4" x14ac:dyDescent="0.25">
      <c r="A48" s="18" t="s">
        <v>113</v>
      </c>
      <c r="B48" s="26">
        <v>2294</v>
      </c>
      <c r="C48" s="26">
        <f>B48+93+2+78+26+58+61</f>
        <v>2612</v>
      </c>
      <c r="D48" s="26"/>
    </row>
    <row r="49" spans="1:4" x14ac:dyDescent="0.25">
      <c r="A49" s="18" t="s">
        <v>114</v>
      </c>
      <c r="B49" s="26">
        <v>27205</v>
      </c>
      <c r="C49" s="26">
        <f>B49+90+1200+1211+238+568+63+26+1259+374</f>
        <v>32234</v>
      </c>
      <c r="D49" s="26"/>
    </row>
    <row r="50" spans="1:4" x14ac:dyDescent="0.25">
      <c r="A50" s="18"/>
      <c r="B50" s="26"/>
      <c r="C50" s="26"/>
      <c r="D50" s="26"/>
    </row>
    <row r="51" spans="1:4" x14ac:dyDescent="0.25">
      <c r="A51" s="82" t="s">
        <v>153</v>
      </c>
      <c r="B51" s="81">
        <v>1905</v>
      </c>
      <c r="C51" s="26">
        <v>1905</v>
      </c>
      <c r="D51" s="26"/>
    </row>
    <row r="52" spans="1:4" x14ac:dyDescent="0.25">
      <c r="A52" s="27"/>
      <c r="B52" s="19"/>
      <c r="C52" s="19"/>
      <c r="D52" s="19"/>
    </row>
    <row r="53" spans="1:4" x14ac:dyDescent="0.25">
      <c r="A53" s="27"/>
      <c r="B53" s="19"/>
      <c r="C53" s="19">
        <v>0</v>
      </c>
      <c r="D53" s="19"/>
    </row>
    <row r="54" spans="1:4" x14ac:dyDescent="0.25">
      <c r="A54" s="18"/>
      <c r="B54" s="26"/>
      <c r="C54" s="26"/>
      <c r="D54" s="26"/>
    </row>
    <row r="55" spans="1:4" x14ac:dyDescent="0.25">
      <c r="A55" s="82" t="s">
        <v>116</v>
      </c>
      <c r="B55" s="81">
        <f>SUM(B46+B51+B52+B53)</f>
        <v>42012</v>
      </c>
      <c r="C55" s="81">
        <f>C51+C46</f>
        <v>48611</v>
      </c>
      <c r="D55" s="26"/>
    </row>
    <row r="56" spans="1:4" x14ac:dyDescent="0.25">
      <c r="D56" s="2"/>
    </row>
    <row r="57" spans="1:4" x14ac:dyDescent="0.25">
      <c r="D57" s="2"/>
    </row>
    <row r="60" spans="1:4" x14ac:dyDescent="0.25">
      <c r="A60" s="400"/>
      <c r="B60" s="401"/>
      <c r="C60" s="506"/>
      <c r="D60" s="506"/>
    </row>
    <row r="61" spans="1:4" x14ac:dyDescent="0.25">
      <c r="A61" s="491"/>
      <c r="B61" s="477"/>
      <c r="C61" s="477"/>
      <c r="D61" s="477"/>
    </row>
    <row r="62" spans="1:4" x14ac:dyDescent="0.25">
      <c r="A62" s="491"/>
      <c r="B62" s="477"/>
      <c r="C62" s="477"/>
      <c r="D62" s="477"/>
    </row>
    <row r="63" spans="1:4" x14ac:dyDescent="0.25">
      <c r="A63" s="495"/>
      <c r="B63" s="482"/>
      <c r="C63" s="495"/>
      <c r="D63" s="495"/>
    </row>
    <row r="64" spans="1:4" x14ac:dyDescent="0.25">
      <c r="A64" s="400"/>
      <c r="B64" s="401"/>
      <c r="C64" s="400"/>
      <c r="D64" s="400"/>
    </row>
    <row r="65" spans="1:4" x14ac:dyDescent="0.25">
      <c r="A65" s="494"/>
      <c r="B65" s="477"/>
      <c r="C65" s="477"/>
      <c r="D65" s="477"/>
    </row>
    <row r="66" spans="1:4" x14ac:dyDescent="0.25">
      <c r="A66" s="400"/>
      <c r="B66" s="401"/>
      <c r="C66" s="400"/>
      <c r="D66" s="400"/>
    </row>
    <row r="67" spans="1:4" x14ac:dyDescent="0.25">
      <c r="A67" s="400"/>
      <c r="B67" s="401"/>
      <c r="C67" s="400"/>
      <c r="D67" s="400"/>
    </row>
    <row r="68" spans="1:4" x14ac:dyDescent="0.25">
      <c r="A68" s="402"/>
      <c r="B68" s="65"/>
      <c r="C68" s="64"/>
      <c r="D68" s="64"/>
    </row>
    <row r="69" spans="1:4" x14ac:dyDescent="0.25">
      <c r="A69" s="402"/>
      <c r="B69" s="403"/>
      <c r="C69" s="402"/>
      <c r="D69" s="402"/>
    </row>
    <row r="70" spans="1:4" x14ac:dyDescent="0.25">
      <c r="A70" s="404"/>
      <c r="B70" s="403"/>
      <c r="C70" s="403"/>
      <c r="D70" s="402"/>
    </row>
    <row r="71" spans="1:4" x14ac:dyDescent="0.25">
      <c r="A71" s="404"/>
      <c r="B71" s="403"/>
      <c r="C71" s="402"/>
      <c r="D71" s="402"/>
    </row>
    <row r="72" spans="1:4" x14ac:dyDescent="0.25">
      <c r="A72" s="404"/>
      <c r="B72" s="403"/>
      <c r="C72" s="402"/>
      <c r="D72" s="402"/>
    </row>
    <row r="73" spans="1:4" x14ac:dyDescent="0.25">
      <c r="A73" s="404"/>
      <c r="B73" s="403"/>
      <c r="C73" s="402"/>
      <c r="D73" s="402"/>
    </row>
    <row r="74" spans="1:4" x14ac:dyDescent="0.25">
      <c r="A74" s="404"/>
      <c r="B74" s="403"/>
      <c r="C74" s="403"/>
      <c r="D74" s="402"/>
    </row>
    <row r="75" spans="1:4" x14ac:dyDescent="0.25">
      <c r="A75" s="404"/>
      <c r="B75" s="403"/>
      <c r="C75" s="402"/>
      <c r="D75" s="402"/>
    </row>
    <row r="76" spans="1:4" x14ac:dyDescent="0.25">
      <c r="A76" s="404"/>
      <c r="B76" s="403"/>
      <c r="C76" s="402"/>
      <c r="D76" s="402"/>
    </row>
    <row r="77" spans="1:4" x14ac:dyDescent="0.25">
      <c r="A77" s="402"/>
      <c r="B77" s="403"/>
      <c r="C77" s="402"/>
      <c r="D77" s="402"/>
    </row>
    <row r="78" spans="1:4" x14ac:dyDescent="0.25">
      <c r="A78" s="404"/>
      <c r="B78" s="403"/>
      <c r="C78" s="402"/>
      <c r="D78" s="402"/>
    </row>
    <row r="79" spans="1:4" x14ac:dyDescent="0.25">
      <c r="A79" s="402"/>
      <c r="B79" s="403"/>
      <c r="C79" s="403"/>
      <c r="D79" s="402"/>
    </row>
    <row r="80" spans="1:4" x14ac:dyDescent="0.25">
      <c r="A80" s="402"/>
      <c r="B80" s="403"/>
      <c r="C80" s="402"/>
      <c r="D80" s="402"/>
    </row>
    <row r="81" spans="1:4" x14ac:dyDescent="0.25">
      <c r="A81" s="402"/>
      <c r="B81" s="403"/>
      <c r="C81" s="403"/>
      <c r="D81" s="402"/>
    </row>
    <row r="82" spans="1:4" x14ac:dyDescent="0.25">
      <c r="A82" s="402"/>
      <c r="B82" s="403"/>
      <c r="C82" s="402"/>
      <c r="D82" s="402"/>
    </row>
    <row r="83" spans="1:4" x14ac:dyDescent="0.25">
      <c r="A83" s="402"/>
      <c r="B83" s="403"/>
      <c r="C83" s="402"/>
      <c r="D83" s="402"/>
    </row>
    <row r="84" spans="1:4" x14ac:dyDescent="0.25">
      <c r="A84" s="402"/>
      <c r="B84" s="403"/>
      <c r="C84" s="403"/>
      <c r="D84" s="402"/>
    </row>
    <row r="85" spans="1:4" x14ac:dyDescent="0.25">
      <c r="A85" s="402"/>
      <c r="B85" s="403"/>
      <c r="C85" s="402"/>
      <c r="D85" s="402"/>
    </row>
    <row r="86" spans="1:4" x14ac:dyDescent="0.25">
      <c r="A86" s="404"/>
      <c r="B86" s="403"/>
      <c r="C86" s="402"/>
      <c r="D86" s="402"/>
    </row>
    <row r="87" spans="1:4" x14ac:dyDescent="0.25">
      <c r="A87" s="404"/>
      <c r="B87" s="403"/>
      <c r="C87" s="402"/>
      <c r="D87" s="402"/>
    </row>
    <row r="88" spans="1:4" x14ac:dyDescent="0.25">
      <c r="A88" s="404"/>
      <c r="B88" s="403"/>
      <c r="C88" s="402"/>
      <c r="D88" s="402"/>
    </row>
    <row r="89" spans="1:4" x14ac:dyDescent="0.25">
      <c r="A89" s="402"/>
      <c r="B89" s="403"/>
      <c r="C89" s="402"/>
      <c r="D89" s="402"/>
    </row>
    <row r="90" spans="1:4" x14ac:dyDescent="0.25">
      <c r="A90" s="404"/>
      <c r="B90" s="403"/>
      <c r="C90" s="402"/>
      <c r="D90" s="402"/>
    </row>
    <row r="91" spans="1:4" x14ac:dyDescent="0.25">
      <c r="A91" s="402"/>
      <c r="B91" s="403"/>
      <c r="C91" s="402"/>
      <c r="D91" s="402"/>
    </row>
    <row r="92" spans="1:4" x14ac:dyDescent="0.25">
      <c r="A92" s="404"/>
      <c r="B92" s="403"/>
      <c r="C92" s="402"/>
      <c r="D92" s="402"/>
    </row>
    <row r="93" spans="1:4" x14ac:dyDescent="0.25">
      <c r="A93" s="402"/>
      <c r="B93" s="403"/>
      <c r="C93" s="402"/>
      <c r="D93" s="402"/>
    </row>
    <row r="94" spans="1:4" x14ac:dyDescent="0.25">
      <c r="A94" s="402"/>
      <c r="B94" s="403"/>
      <c r="C94" s="402"/>
      <c r="D94" s="402"/>
    </row>
    <row r="95" spans="1:4" x14ac:dyDescent="0.25">
      <c r="A95" s="404"/>
      <c r="B95" s="403"/>
      <c r="C95" s="403"/>
      <c r="D95" s="402"/>
    </row>
    <row r="96" spans="1:4" x14ac:dyDescent="0.25">
      <c r="A96" s="404"/>
      <c r="B96" s="403"/>
      <c r="C96" s="403"/>
      <c r="D96" s="402"/>
    </row>
    <row r="97" spans="1:4" x14ac:dyDescent="0.25">
      <c r="A97" s="404"/>
      <c r="B97" s="403"/>
      <c r="C97" s="403"/>
      <c r="D97" s="402"/>
    </row>
    <row r="98" spans="1:4" x14ac:dyDescent="0.25">
      <c r="A98" s="404"/>
      <c r="B98" s="403"/>
      <c r="C98" s="403"/>
      <c r="D98" s="402"/>
    </row>
    <row r="99" spans="1:4" x14ac:dyDescent="0.25">
      <c r="A99" s="404"/>
      <c r="B99" s="403"/>
      <c r="C99" s="403"/>
      <c r="D99" s="402"/>
    </row>
    <row r="100" spans="1:4" x14ac:dyDescent="0.25">
      <c r="A100" s="64"/>
      <c r="B100" s="403"/>
      <c r="C100" s="402"/>
      <c r="D100" s="402"/>
    </row>
    <row r="101" spans="1:4" x14ac:dyDescent="0.25">
      <c r="A101" s="402"/>
      <c r="B101" s="65"/>
      <c r="C101" s="65"/>
      <c r="D101" s="65"/>
    </row>
    <row r="102" spans="1:4" x14ac:dyDescent="0.25">
      <c r="A102" s="402"/>
      <c r="B102" s="403"/>
      <c r="C102" s="402"/>
      <c r="D102" s="402"/>
    </row>
    <row r="103" spans="1:4" x14ac:dyDescent="0.25">
      <c r="A103" s="402"/>
      <c r="B103" s="403"/>
      <c r="C103" s="402"/>
      <c r="D103" s="402"/>
    </row>
    <row r="104" spans="1:4" x14ac:dyDescent="0.25">
      <c r="A104" s="402"/>
      <c r="B104" s="403"/>
      <c r="C104" s="402"/>
      <c r="D104" s="402"/>
    </row>
    <row r="105" spans="1:4" x14ac:dyDescent="0.25">
      <c r="A105" s="402"/>
      <c r="B105" s="403"/>
      <c r="C105" s="402"/>
      <c r="D105" s="402"/>
    </row>
    <row r="106" spans="1:4" x14ac:dyDescent="0.25">
      <c r="A106" s="402"/>
      <c r="B106" s="403"/>
      <c r="C106" s="402"/>
      <c r="D106" s="402"/>
    </row>
    <row r="107" spans="1:4" x14ac:dyDescent="0.25">
      <c r="A107" s="402"/>
      <c r="B107" s="403"/>
      <c r="C107" s="402"/>
      <c r="D107" s="402"/>
    </row>
    <row r="108" spans="1:4" x14ac:dyDescent="0.25">
      <c r="A108" s="402"/>
      <c r="B108" s="403"/>
      <c r="C108" s="402"/>
      <c r="D108" s="402"/>
    </row>
    <row r="109" spans="1:4" x14ac:dyDescent="0.25">
      <c r="A109" s="402"/>
      <c r="B109" s="403"/>
      <c r="C109" s="402"/>
      <c r="D109" s="402"/>
    </row>
    <row r="110" spans="1:4" x14ac:dyDescent="0.25">
      <c r="A110" s="402"/>
      <c r="B110" s="403"/>
      <c r="C110" s="402"/>
      <c r="D110" s="402"/>
    </row>
    <row r="111" spans="1:4" x14ac:dyDescent="0.25">
      <c r="A111" s="402"/>
      <c r="B111" s="403"/>
      <c r="C111" s="402"/>
      <c r="D111" s="402"/>
    </row>
    <row r="112" spans="1:4" x14ac:dyDescent="0.25">
      <c r="A112" s="402"/>
      <c r="B112" s="403"/>
      <c r="C112" s="402"/>
      <c r="D112" s="402"/>
    </row>
    <row r="113" spans="1:4" x14ac:dyDescent="0.25">
      <c r="A113" s="402"/>
      <c r="B113" s="403"/>
      <c r="C113" s="402"/>
      <c r="D113" s="402"/>
    </row>
    <row r="114" spans="1:4" x14ac:dyDescent="0.25">
      <c r="A114" s="64"/>
      <c r="B114" s="403"/>
      <c r="C114" s="402"/>
      <c r="D114" s="402"/>
    </row>
    <row r="115" spans="1:4" x14ac:dyDescent="0.25">
      <c r="A115" s="64"/>
      <c r="B115" s="65"/>
      <c r="C115" s="64"/>
      <c r="D115" s="402"/>
    </row>
    <row r="116" spans="1:4" x14ac:dyDescent="0.25">
      <c r="A116" s="402"/>
      <c r="B116" s="65"/>
      <c r="C116" s="64"/>
      <c r="D116" s="402"/>
    </row>
    <row r="117" spans="1:4" x14ac:dyDescent="0.25">
      <c r="A117" s="402"/>
      <c r="B117" s="403"/>
      <c r="C117" s="402"/>
      <c r="D117" s="402"/>
    </row>
    <row r="118" spans="1:4" x14ac:dyDescent="0.25">
      <c r="A118" s="402"/>
      <c r="B118" s="403"/>
      <c r="C118" s="402"/>
      <c r="D118" s="402"/>
    </row>
    <row r="119" spans="1:4" x14ac:dyDescent="0.25">
      <c r="A119" s="64"/>
      <c r="B119" s="403"/>
      <c r="C119" s="402"/>
      <c r="D119" s="402"/>
    </row>
    <row r="120" spans="1:4" x14ac:dyDescent="0.25">
      <c r="A120" s="64"/>
      <c r="B120" s="65"/>
      <c r="C120" s="64"/>
      <c r="D120" s="64"/>
    </row>
    <row r="121" spans="1:4" x14ac:dyDescent="0.25">
      <c r="A121" s="64"/>
      <c r="B121" s="65"/>
      <c r="C121" s="64"/>
      <c r="D121" s="64"/>
    </row>
    <row r="122" spans="1:4" x14ac:dyDescent="0.25">
      <c r="A122" s="64"/>
      <c r="B122" s="403"/>
      <c r="C122" s="402"/>
      <c r="D122" s="402"/>
    </row>
    <row r="123" spans="1:4" x14ac:dyDescent="0.25">
      <c r="A123" s="64"/>
      <c r="B123" s="403"/>
      <c r="C123" s="402"/>
      <c r="D123" s="402"/>
    </row>
    <row r="124" spans="1:4" x14ac:dyDescent="0.25">
      <c r="A124" s="402"/>
      <c r="B124" s="403"/>
      <c r="C124" s="402"/>
      <c r="D124" s="402"/>
    </row>
    <row r="125" spans="1:4" x14ac:dyDescent="0.25">
      <c r="A125" s="64"/>
      <c r="B125" s="403"/>
      <c r="C125" s="402"/>
      <c r="D125" s="402"/>
    </row>
    <row r="126" spans="1:4" x14ac:dyDescent="0.25">
      <c r="A126" s="402"/>
      <c r="B126" s="65"/>
      <c r="C126" s="64"/>
      <c r="D126" s="64"/>
    </row>
    <row r="127" spans="1:4" x14ac:dyDescent="0.25">
      <c r="A127" s="402"/>
      <c r="B127" s="403"/>
      <c r="C127" s="402"/>
      <c r="D127" s="402"/>
    </row>
    <row r="128" spans="1:4" x14ac:dyDescent="0.25">
      <c r="A128" s="404"/>
      <c r="B128" s="403"/>
      <c r="C128" s="403"/>
      <c r="D128" s="402"/>
    </row>
    <row r="129" spans="1:4" x14ac:dyDescent="0.25">
      <c r="A129" s="404"/>
      <c r="B129" s="403"/>
      <c r="C129" s="403"/>
      <c r="D129" s="403"/>
    </row>
    <row r="130" spans="1:4" x14ac:dyDescent="0.25">
      <c r="A130" s="404"/>
      <c r="B130" s="403"/>
      <c r="C130" s="402"/>
      <c r="D130" s="402"/>
    </row>
    <row r="131" spans="1:4" x14ac:dyDescent="0.25">
      <c r="A131" s="404"/>
      <c r="B131" s="403"/>
      <c r="C131" s="402"/>
      <c r="D131" s="402"/>
    </row>
    <row r="132" spans="1:4" x14ac:dyDescent="0.25">
      <c r="A132" s="404"/>
      <c r="B132" s="403"/>
      <c r="C132" s="403"/>
      <c r="D132" s="403"/>
    </row>
    <row r="133" spans="1:4" x14ac:dyDescent="0.25">
      <c r="A133" s="402"/>
      <c r="B133" s="403"/>
      <c r="C133" s="402"/>
      <c r="D133" s="402"/>
    </row>
    <row r="134" spans="1:4" x14ac:dyDescent="0.25">
      <c r="A134" s="402"/>
      <c r="B134" s="403"/>
      <c r="C134" s="402"/>
      <c r="D134" s="402"/>
    </row>
    <row r="135" spans="1:4" x14ac:dyDescent="0.25">
      <c r="A135" s="404"/>
      <c r="B135" s="403"/>
      <c r="C135" s="402"/>
      <c r="D135" s="402"/>
    </row>
    <row r="136" spans="1:4" x14ac:dyDescent="0.25">
      <c r="A136" s="404"/>
      <c r="B136" s="403"/>
      <c r="C136" s="403"/>
      <c r="D136" s="403"/>
    </row>
    <row r="137" spans="1:4" x14ac:dyDescent="0.25">
      <c r="A137" s="404"/>
      <c r="B137" s="405"/>
      <c r="C137" s="403"/>
      <c r="D137" s="402"/>
    </row>
    <row r="138" spans="1:4" x14ac:dyDescent="0.25">
      <c r="A138" s="404"/>
      <c r="B138" s="405"/>
      <c r="C138" s="403"/>
      <c r="D138" s="402"/>
    </row>
    <row r="139" spans="1:4" x14ac:dyDescent="0.25">
      <c r="A139" s="404"/>
      <c r="B139" s="405"/>
      <c r="C139" s="403"/>
      <c r="D139" s="402"/>
    </row>
    <row r="140" spans="1:4" x14ac:dyDescent="0.25">
      <c r="A140" s="404"/>
      <c r="B140" s="403"/>
      <c r="C140" s="403"/>
      <c r="D140" s="402"/>
    </row>
    <row r="141" spans="1:4" x14ac:dyDescent="0.25">
      <c r="A141" s="404"/>
      <c r="B141" s="403"/>
      <c r="C141" s="403"/>
      <c r="D141" s="403"/>
    </row>
    <row r="142" spans="1:4" x14ac:dyDescent="0.25">
      <c r="A142" s="404"/>
      <c r="B142" s="403"/>
      <c r="C142" s="403"/>
      <c r="D142" s="402"/>
    </row>
    <row r="143" spans="1:4" x14ac:dyDescent="0.25">
      <c r="A143" s="402"/>
      <c r="B143" s="403"/>
      <c r="C143" s="403"/>
      <c r="D143" s="402"/>
    </row>
    <row r="144" spans="1:4" x14ac:dyDescent="0.25">
      <c r="A144" s="402"/>
      <c r="B144" s="403"/>
      <c r="C144" s="403"/>
      <c r="D144" s="402"/>
    </row>
    <row r="145" spans="1:4" x14ac:dyDescent="0.25">
      <c r="A145" s="402"/>
      <c r="B145" s="403"/>
      <c r="C145" s="403"/>
      <c r="D145" s="403"/>
    </row>
    <row r="146" spans="1:4" x14ac:dyDescent="0.25">
      <c r="A146" s="402"/>
      <c r="B146" s="403"/>
      <c r="C146" s="402"/>
      <c r="D146" s="402"/>
    </row>
    <row r="147" spans="1:4" x14ac:dyDescent="0.25">
      <c r="A147" s="402"/>
      <c r="B147" s="403"/>
      <c r="C147" s="402"/>
      <c r="D147" s="402"/>
    </row>
    <row r="148" spans="1:4" x14ac:dyDescent="0.25">
      <c r="A148" s="402"/>
      <c r="B148" s="403"/>
      <c r="C148" s="402"/>
      <c r="D148" s="402"/>
    </row>
    <row r="149" spans="1:4" x14ac:dyDescent="0.25">
      <c r="A149" s="404"/>
      <c r="B149" s="403"/>
      <c r="C149" s="402"/>
      <c r="D149" s="402"/>
    </row>
    <row r="150" spans="1:4" x14ac:dyDescent="0.25">
      <c r="A150" s="404"/>
      <c r="B150" s="403"/>
      <c r="C150" s="403"/>
      <c r="D150" s="403"/>
    </row>
    <row r="151" spans="1:4" x14ac:dyDescent="0.25">
      <c r="A151" s="404"/>
      <c r="B151" s="403"/>
      <c r="C151" s="406"/>
      <c r="D151" s="402"/>
    </row>
    <row r="152" spans="1:4" x14ac:dyDescent="0.25">
      <c r="A152" s="402"/>
      <c r="B152" s="403"/>
      <c r="C152" s="403"/>
      <c r="D152" s="402"/>
    </row>
    <row r="153" spans="1:4" x14ac:dyDescent="0.25">
      <c r="A153" s="64"/>
      <c r="B153" s="403"/>
      <c r="C153" s="402"/>
      <c r="D153" s="402"/>
    </row>
    <row r="154" spans="1:4" x14ac:dyDescent="0.25">
      <c r="A154" s="9"/>
      <c r="B154" s="65"/>
      <c r="C154" s="65"/>
      <c r="D154" s="65"/>
    </row>
    <row r="155" spans="1:4" x14ac:dyDescent="0.25">
      <c r="A155" s="9"/>
      <c r="B155" s="8"/>
      <c r="C155" s="9"/>
      <c r="D155" s="9"/>
    </row>
    <row r="156" spans="1:4" x14ac:dyDescent="0.25">
      <c r="A156" s="9"/>
      <c r="B156" s="8"/>
      <c r="C156" s="9"/>
      <c r="D156" s="9"/>
    </row>
    <row r="157" spans="1:4" x14ac:dyDescent="0.25">
      <c r="A157" s="9"/>
      <c r="B157" s="8"/>
      <c r="C157" s="9"/>
      <c r="D157" s="9"/>
    </row>
    <row r="158" spans="1:4" x14ac:dyDescent="0.25">
      <c r="A158" s="9"/>
      <c r="B158" s="8"/>
      <c r="C158" s="9"/>
      <c r="D158" s="9"/>
    </row>
    <row r="159" spans="1:4" x14ac:dyDescent="0.25">
      <c r="A159" s="9"/>
      <c r="B159" s="8"/>
      <c r="C159" s="9"/>
      <c r="D159" s="9"/>
    </row>
    <row r="160" spans="1:4" x14ac:dyDescent="0.25">
      <c r="A160" s="9"/>
      <c r="B160" s="8"/>
      <c r="C160" s="9"/>
      <c r="D160" s="9"/>
    </row>
    <row r="161" spans="1:4" x14ac:dyDescent="0.25">
      <c r="A161" s="9"/>
      <c r="B161" s="8"/>
      <c r="C161" s="9"/>
      <c r="D161" s="9"/>
    </row>
    <row r="162" spans="1:4" x14ac:dyDescent="0.25">
      <c r="A162" s="9"/>
      <c r="B162" s="8"/>
      <c r="C162" s="9"/>
      <c r="D162" s="9"/>
    </row>
    <row r="163" spans="1:4" x14ac:dyDescent="0.25">
      <c r="A163" s="9"/>
      <c r="B163" s="8"/>
      <c r="C163" s="9"/>
      <c r="D163" s="9"/>
    </row>
    <row r="164" spans="1:4" x14ac:dyDescent="0.25">
      <c r="A164" s="9"/>
      <c r="B164" s="8"/>
      <c r="C164" s="9"/>
      <c r="D164" s="9"/>
    </row>
    <row r="165" spans="1:4" x14ac:dyDescent="0.25">
      <c r="A165" s="9"/>
      <c r="B165" s="8"/>
      <c r="C165" s="9"/>
      <c r="D165" s="9"/>
    </row>
    <row r="166" spans="1:4" x14ac:dyDescent="0.25">
      <c r="A166" s="9"/>
      <c r="B166" s="8"/>
      <c r="C166" s="9"/>
      <c r="D166" s="9"/>
    </row>
    <row r="167" spans="1:4" x14ac:dyDescent="0.25">
      <c r="A167" s="9"/>
      <c r="B167" s="8"/>
      <c r="C167" s="9"/>
      <c r="D167" s="9"/>
    </row>
    <row r="168" spans="1:4" x14ac:dyDescent="0.25">
      <c r="A168" s="9"/>
      <c r="B168" s="8"/>
      <c r="C168" s="9"/>
      <c r="D168" s="9"/>
    </row>
    <row r="169" spans="1:4" x14ac:dyDescent="0.25">
      <c r="A169" s="9"/>
      <c r="B169" s="8"/>
      <c r="C169" s="9"/>
      <c r="D169" s="9"/>
    </row>
    <row r="170" spans="1:4" x14ac:dyDescent="0.25">
      <c r="A170" s="9"/>
      <c r="B170" s="8"/>
      <c r="C170" s="9"/>
      <c r="D170" s="9"/>
    </row>
    <row r="171" spans="1:4" x14ac:dyDescent="0.25">
      <c r="A171" s="9"/>
      <c r="B171" s="8"/>
      <c r="C171" s="9"/>
      <c r="D171" s="9"/>
    </row>
    <row r="172" spans="1:4" x14ac:dyDescent="0.25">
      <c r="A172" s="9"/>
      <c r="B172" s="8"/>
      <c r="C172" s="9"/>
      <c r="D172" s="9"/>
    </row>
    <row r="173" spans="1:4" x14ac:dyDescent="0.25">
      <c r="A173" s="9"/>
      <c r="B173" s="8"/>
      <c r="C173" s="9"/>
      <c r="D173" s="9"/>
    </row>
    <row r="174" spans="1:4" x14ac:dyDescent="0.25">
      <c r="A174" s="9"/>
      <c r="B174" s="8"/>
      <c r="C174" s="9"/>
      <c r="D174" s="9"/>
    </row>
    <row r="175" spans="1:4" x14ac:dyDescent="0.25">
      <c r="A175" s="9"/>
      <c r="B175" s="8"/>
      <c r="C175" s="9"/>
      <c r="D175" s="9"/>
    </row>
    <row r="176" spans="1:4" x14ac:dyDescent="0.25">
      <c r="A176" s="9"/>
      <c r="B176" s="8"/>
      <c r="C176" s="9"/>
      <c r="D176" s="9"/>
    </row>
    <row r="177" spans="1:4" x14ac:dyDescent="0.25">
      <c r="A177" s="9"/>
      <c r="B177" s="8"/>
      <c r="C177" s="9"/>
      <c r="D177" s="9"/>
    </row>
    <row r="178" spans="1:4" x14ac:dyDescent="0.25">
      <c r="A178" s="9"/>
      <c r="B178" s="8"/>
      <c r="C178" s="9"/>
      <c r="D178" s="9"/>
    </row>
    <row r="179" spans="1:4" x14ac:dyDescent="0.25">
      <c r="A179" s="9"/>
      <c r="B179" s="8"/>
      <c r="C179" s="9"/>
      <c r="D179" s="9"/>
    </row>
    <row r="180" spans="1:4" x14ac:dyDescent="0.25">
      <c r="A180" s="9"/>
      <c r="B180" s="8"/>
      <c r="C180" s="9"/>
      <c r="D180" s="9"/>
    </row>
    <row r="181" spans="1:4" x14ac:dyDescent="0.25">
      <c r="A181" s="9"/>
      <c r="B181" s="8"/>
      <c r="C181" s="9"/>
      <c r="D181" s="9"/>
    </row>
    <row r="182" spans="1:4" x14ac:dyDescent="0.25">
      <c r="A182" s="9"/>
      <c r="B182" s="8"/>
      <c r="C182" s="9"/>
      <c r="D182" s="9"/>
    </row>
    <row r="183" spans="1:4" x14ac:dyDescent="0.25">
      <c r="A183" s="9"/>
      <c r="B183" s="8"/>
      <c r="C183" s="9"/>
      <c r="D183" s="9"/>
    </row>
    <row r="184" spans="1:4" x14ac:dyDescent="0.25">
      <c r="A184" s="9"/>
      <c r="B184" s="8"/>
      <c r="C184" s="9"/>
      <c r="D184" s="9"/>
    </row>
    <row r="185" spans="1:4" x14ac:dyDescent="0.25">
      <c r="A185" s="9"/>
      <c r="B185" s="8"/>
      <c r="C185" s="9"/>
      <c r="D185" s="9"/>
    </row>
    <row r="186" spans="1:4" x14ac:dyDescent="0.25">
      <c r="A186" s="9"/>
      <c r="B186" s="8"/>
      <c r="C186" s="9"/>
      <c r="D186" s="9"/>
    </row>
    <row r="187" spans="1:4" x14ac:dyDescent="0.25">
      <c r="A187" s="9"/>
      <c r="B187" s="8"/>
      <c r="C187" s="9"/>
      <c r="D187" s="9"/>
    </row>
    <row r="188" spans="1:4" x14ac:dyDescent="0.25">
      <c r="A188" s="9"/>
      <c r="B188" s="8"/>
      <c r="C188" s="9"/>
      <c r="D188" s="9"/>
    </row>
    <row r="189" spans="1:4" x14ac:dyDescent="0.25">
      <c r="A189" s="9"/>
      <c r="B189" s="8"/>
      <c r="C189" s="9"/>
      <c r="D189" s="9"/>
    </row>
    <row r="190" spans="1:4" x14ac:dyDescent="0.25">
      <c r="A190" s="9"/>
      <c r="B190" s="8"/>
      <c r="C190" s="9"/>
      <c r="D190" s="9"/>
    </row>
    <row r="191" spans="1:4" x14ac:dyDescent="0.25">
      <c r="A191" s="9"/>
      <c r="B191" s="8"/>
      <c r="C191" s="9"/>
      <c r="D191" s="9"/>
    </row>
    <row r="192" spans="1:4" x14ac:dyDescent="0.25">
      <c r="A192" s="9"/>
      <c r="B192" s="8"/>
      <c r="C192" s="9"/>
      <c r="D192" s="9"/>
    </row>
    <row r="193" spans="1:4" x14ac:dyDescent="0.25">
      <c r="A193" s="9"/>
      <c r="B193" s="8"/>
      <c r="C193" s="9"/>
      <c r="D193" s="9"/>
    </row>
    <row r="194" spans="1:4" x14ac:dyDescent="0.25">
      <c r="A194" s="9"/>
      <c r="B194" s="8"/>
      <c r="C194" s="9"/>
      <c r="D194" s="9"/>
    </row>
    <row r="195" spans="1:4" x14ac:dyDescent="0.25">
      <c r="A195" s="9"/>
      <c r="B195" s="8"/>
      <c r="C195" s="9"/>
      <c r="D195" s="9"/>
    </row>
    <row r="196" spans="1:4" x14ac:dyDescent="0.25">
      <c r="B196" s="8"/>
      <c r="C196" s="9"/>
      <c r="D196" s="9"/>
    </row>
  </sheetData>
  <mergeCells count="16">
    <mergeCell ref="A61:D61"/>
    <mergeCell ref="A62:D62"/>
    <mergeCell ref="A63:D63"/>
    <mergeCell ref="A65:D65"/>
    <mergeCell ref="A35:D35"/>
    <mergeCell ref="A36:D36"/>
    <mergeCell ref="A37:D37"/>
    <mergeCell ref="C40:D40"/>
    <mergeCell ref="C41:D41"/>
    <mergeCell ref="C60:D60"/>
    <mergeCell ref="C12:D12"/>
    <mergeCell ref="A7:D7"/>
    <mergeCell ref="A8:D8"/>
    <mergeCell ref="A9:M9"/>
    <mergeCell ref="A10:D10"/>
    <mergeCell ref="A11:D11"/>
  </mergeCells>
  <pageMargins left="0.7" right="0.7" top="0.75" bottom="0.75" header="0.3" footer="0.3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M266"/>
  <sheetViews>
    <sheetView view="pageBreakPreview" zoomScaleSheetLayoutView="100" workbookViewId="0">
      <selection activeCell="A15" sqref="A15:M15"/>
    </sheetView>
  </sheetViews>
  <sheetFormatPr defaultRowHeight="13.2" x14ac:dyDescent="0.25"/>
  <cols>
    <col min="1" max="1" width="30.5546875" customWidth="1"/>
    <col min="9" max="9" width="10.109375" customWidth="1"/>
  </cols>
  <sheetData>
    <row r="7" spans="1:13" ht="13.8" x14ac:dyDescent="0.25">
      <c r="A7" s="502" t="s">
        <v>555</v>
      </c>
      <c r="B7" s="477"/>
      <c r="C7" s="477"/>
      <c r="D7" s="477"/>
      <c r="E7" s="477"/>
      <c r="F7" s="477"/>
      <c r="G7" s="477"/>
      <c r="H7" s="477"/>
      <c r="I7" s="477"/>
      <c r="J7" s="477"/>
      <c r="K7" s="477"/>
      <c r="L7" s="477"/>
      <c r="M7" s="477"/>
    </row>
    <row r="8" spans="1:13" x14ac:dyDescent="0.25">
      <c r="A8" s="494" t="s">
        <v>560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13.8" x14ac:dyDescent="0.25">
      <c r="D9" s="98"/>
      <c r="E9" s="98"/>
      <c r="F9" s="98"/>
      <c r="G9" s="98"/>
      <c r="H9" s="98"/>
      <c r="I9" s="98"/>
      <c r="J9" s="98"/>
    </row>
    <row r="10" spans="1:13" x14ac:dyDescent="0.25">
      <c r="A10" s="491"/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</row>
    <row r="12" spans="1:13" x14ac:dyDescent="0.25">
      <c r="A12" s="99"/>
      <c r="B12" s="99"/>
      <c r="C12" s="99"/>
      <c r="D12" s="99"/>
      <c r="E12" s="99"/>
      <c r="F12" s="99"/>
    </row>
    <row r="13" spans="1:13" x14ac:dyDescent="0.25">
      <c r="A13" s="99"/>
      <c r="B13" s="99"/>
      <c r="C13" s="99"/>
      <c r="D13" s="99"/>
      <c r="E13" s="99"/>
      <c r="F13" s="99"/>
    </row>
    <row r="15" spans="1:13" x14ac:dyDescent="0.25">
      <c r="A15" s="478" t="s">
        <v>685</v>
      </c>
      <c r="B15" s="478"/>
      <c r="C15" s="478"/>
      <c r="D15" s="478"/>
      <c r="E15" s="478"/>
      <c r="F15" s="478"/>
      <c r="G15" s="478"/>
      <c r="H15" s="478"/>
      <c r="I15" s="478"/>
      <c r="J15" s="478"/>
      <c r="K15" s="478"/>
      <c r="L15" s="478"/>
      <c r="M15" s="478"/>
    </row>
    <row r="16" spans="1:13" x14ac:dyDescent="0.25">
      <c r="L16" t="s">
        <v>492</v>
      </c>
    </row>
    <row r="17" spans="1:13" x14ac:dyDescent="0.25">
      <c r="M17" t="s">
        <v>448</v>
      </c>
    </row>
    <row r="18" spans="1:13" x14ac:dyDescent="0.25">
      <c r="A18" s="101" t="s">
        <v>93</v>
      </c>
      <c r="B18" s="102"/>
      <c r="C18" s="103" t="s">
        <v>94</v>
      </c>
      <c r="D18" s="104"/>
      <c r="E18" s="105" t="s">
        <v>95</v>
      </c>
      <c r="F18" s="106"/>
      <c r="G18" s="107"/>
      <c r="H18" s="108" t="s">
        <v>96</v>
      </c>
      <c r="I18" s="109"/>
      <c r="J18" s="107"/>
      <c r="K18" s="105"/>
      <c r="L18" s="103" t="s">
        <v>97</v>
      </c>
      <c r="M18" s="107"/>
    </row>
    <row r="19" spans="1:13" x14ac:dyDescent="0.25">
      <c r="A19" s="110" t="s">
        <v>98</v>
      </c>
      <c r="B19" s="105" t="s">
        <v>99</v>
      </c>
      <c r="C19" s="107"/>
      <c r="D19" s="111" t="s">
        <v>28</v>
      </c>
      <c r="E19" s="105" t="s">
        <v>100</v>
      </c>
      <c r="F19" s="107"/>
      <c r="G19" s="105" t="s">
        <v>28</v>
      </c>
      <c r="H19" s="105" t="s">
        <v>101</v>
      </c>
      <c r="I19" s="107"/>
      <c r="J19" s="111" t="s">
        <v>28</v>
      </c>
      <c r="K19" s="105" t="s">
        <v>102</v>
      </c>
      <c r="L19" s="107"/>
      <c r="M19" s="111" t="s">
        <v>28</v>
      </c>
    </row>
    <row r="20" spans="1:13" x14ac:dyDescent="0.25">
      <c r="A20" s="112"/>
      <c r="B20" s="110" t="s">
        <v>70</v>
      </c>
      <c r="C20" s="111" t="s">
        <v>29</v>
      </c>
      <c r="D20" s="111"/>
      <c r="E20" s="111" t="s">
        <v>70</v>
      </c>
      <c r="F20" s="111" t="s">
        <v>29</v>
      </c>
      <c r="G20" s="111"/>
      <c r="H20" s="111" t="s">
        <v>103</v>
      </c>
      <c r="I20" s="111" t="s">
        <v>29</v>
      </c>
      <c r="J20" s="111"/>
      <c r="K20" s="111" t="s">
        <v>70</v>
      </c>
      <c r="L20" s="111" t="s">
        <v>29</v>
      </c>
      <c r="M20" s="111"/>
    </row>
    <row r="21" spans="1:13" ht="18" customHeight="1" x14ac:dyDescent="0.25">
      <c r="A21" s="107" t="s">
        <v>566</v>
      </c>
      <c r="B21" s="399">
        <v>2370</v>
      </c>
      <c r="C21" s="113">
        <f>B21+362</f>
        <v>2732</v>
      </c>
      <c r="D21" s="113"/>
      <c r="E21" s="113">
        <v>513</v>
      </c>
      <c r="F21" s="113">
        <f>E21+93+2</f>
        <v>608</v>
      </c>
      <c r="G21" s="113"/>
      <c r="H21" s="113">
        <v>6078</v>
      </c>
      <c r="I21" s="113">
        <f>H21+1211+238</f>
        <v>7527</v>
      </c>
      <c r="J21" s="113"/>
      <c r="K21" s="113">
        <f t="shared" ref="K21:K26" si="0">SUM(B21+E21+H21)</f>
        <v>8961</v>
      </c>
      <c r="L21" s="113">
        <f t="shared" ref="L21:L26" si="1">C21+F21+I21</f>
        <v>10867</v>
      </c>
      <c r="M21" s="113"/>
    </row>
    <row r="22" spans="1:13" ht="18" customHeight="1" x14ac:dyDescent="0.25">
      <c r="A22" s="107" t="s">
        <v>567</v>
      </c>
      <c r="B22" s="399">
        <v>4333</v>
      </c>
      <c r="C22" s="113">
        <f>4333+357+185+293+5</f>
        <v>5173</v>
      </c>
      <c r="D22" s="113"/>
      <c r="E22" s="113">
        <v>937</v>
      </c>
      <c r="F22" s="113">
        <f>937+78+26+58+61</f>
        <v>1160</v>
      </c>
      <c r="G22" s="113"/>
      <c r="H22" s="113">
        <v>11113</v>
      </c>
      <c r="I22" s="113">
        <f>H22+90+63+26+1259+374</f>
        <v>12925</v>
      </c>
      <c r="J22" s="113"/>
      <c r="K22" s="113">
        <f t="shared" si="0"/>
        <v>16383</v>
      </c>
      <c r="L22" s="113">
        <f t="shared" si="1"/>
        <v>19258</v>
      </c>
      <c r="M22" s="113"/>
    </row>
    <row r="23" spans="1:13" ht="18" customHeight="1" x14ac:dyDescent="0.25">
      <c r="A23" s="107" t="s">
        <v>481</v>
      </c>
      <c r="B23" s="399">
        <v>181</v>
      </c>
      <c r="C23" s="113">
        <v>181</v>
      </c>
      <c r="D23" s="113"/>
      <c r="E23" s="113">
        <v>39</v>
      </c>
      <c r="F23" s="113">
        <v>39</v>
      </c>
      <c r="G23" s="113"/>
      <c r="H23" s="113">
        <v>465</v>
      </c>
      <c r="I23" s="113">
        <f>H23</f>
        <v>465</v>
      </c>
      <c r="J23" s="113"/>
      <c r="K23" s="113">
        <f t="shared" si="0"/>
        <v>685</v>
      </c>
      <c r="L23" s="113">
        <f t="shared" si="1"/>
        <v>685</v>
      </c>
      <c r="M23" s="114"/>
    </row>
    <row r="24" spans="1:13" ht="18" customHeight="1" x14ac:dyDescent="0.25">
      <c r="A24" s="111" t="s">
        <v>568</v>
      </c>
      <c r="B24" s="399">
        <v>2228</v>
      </c>
      <c r="C24" s="113">
        <v>2228</v>
      </c>
      <c r="D24" s="113"/>
      <c r="E24" s="113">
        <v>482</v>
      </c>
      <c r="F24" s="113">
        <v>482</v>
      </c>
      <c r="G24" s="113"/>
      <c r="H24" s="113">
        <v>5713</v>
      </c>
      <c r="I24" s="113">
        <f>H24</f>
        <v>5713</v>
      </c>
      <c r="J24" s="113"/>
      <c r="K24" s="113">
        <f t="shared" si="0"/>
        <v>8423</v>
      </c>
      <c r="L24" s="113">
        <f t="shared" si="1"/>
        <v>8423</v>
      </c>
      <c r="M24" s="113"/>
    </row>
    <row r="25" spans="1:13" ht="18" customHeight="1" x14ac:dyDescent="0.25">
      <c r="A25" s="111" t="s">
        <v>569</v>
      </c>
      <c r="B25" s="399">
        <v>1416</v>
      </c>
      <c r="C25" s="113">
        <f>1416+50</f>
        <v>1466</v>
      </c>
      <c r="D25" s="113"/>
      <c r="E25" s="113">
        <v>306</v>
      </c>
      <c r="F25" s="113">
        <v>306</v>
      </c>
      <c r="G25" s="113"/>
      <c r="H25" s="113">
        <v>3632</v>
      </c>
      <c r="I25" s="113">
        <f>H25+1200+568</f>
        <v>5400</v>
      </c>
      <c r="J25" s="113"/>
      <c r="K25" s="113">
        <f t="shared" si="0"/>
        <v>5354</v>
      </c>
      <c r="L25" s="113">
        <f t="shared" si="1"/>
        <v>7172</v>
      </c>
      <c r="M25" s="113"/>
    </row>
    <row r="26" spans="1:13" ht="18" customHeight="1" x14ac:dyDescent="0.25">
      <c r="A26" s="111" t="s">
        <v>570</v>
      </c>
      <c r="B26" s="399">
        <v>80</v>
      </c>
      <c r="C26" s="113">
        <v>80</v>
      </c>
      <c r="D26" s="113"/>
      <c r="E26" s="113">
        <v>17</v>
      </c>
      <c r="F26" s="113">
        <v>17</v>
      </c>
      <c r="G26" s="113"/>
      <c r="H26" s="113">
        <v>204</v>
      </c>
      <c r="I26" s="113">
        <f>H26</f>
        <v>204</v>
      </c>
      <c r="J26" s="113"/>
      <c r="K26" s="113">
        <f t="shared" si="0"/>
        <v>301</v>
      </c>
      <c r="L26" s="113">
        <f t="shared" si="1"/>
        <v>301</v>
      </c>
      <c r="M26" s="113"/>
    </row>
    <row r="27" spans="1:13" ht="18" customHeight="1" thickBot="1" x14ac:dyDescent="0.3">
      <c r="A27" s="421" t="s">
        <v>107</v>
      </c>
      <c r="B27" s="120">
        <f>SUM(B21:B26)</f>
        <v>10608</v>
      </c>
      <c r="C27" s="120">
        <f t="shared" ref="C27:J27" si="2">SUM(C21:C26)</f>
        <v>11860</v>
      </c>
      <c r="D27" s="120">
        <f t="shared" si="2"/>
        <v>0</v>
      </c>
      <c r="E27" s="120">
        <f t="shared" si="2"/>
        <v>2294</v>
      </c>
      <c r="F27" s="120">
        <f t="shared" si="2"/>
        <v>2612</v>
      </c>
      <c r="G27" s="120">
        <f t="shared" si="2"/>
        <v>0</v>
      </c>
      <c r="H27" s="120">
        <f t="shared" si="2"/>
        <v>27205</v>
      </c>
      <c r="I27" s="120">
        <f t="shared" si="2"/>
        <v>32234</v>
      </c>
      <c r="J27" s="120">
        <f t="shared" si="2"/>
        <v>0</v>
      </c>
      <c r="K27" s="120">
        <f>SUM(K21:K26)</f>
        <v>40107</v>
      </c>
      <c r="L27" s="120">
        <f>SUM(L21:L26)</f>
        <v>46706</v>
      </c>
      <c r="M27" s="120">
        <f>SUM(M21:M26)</f>
        <v>0</v>
      </c>
    </row>
    <row r="28" spans="1:13" ht="18" customHeight="1" x14ac:dyDescent="0.25">
      <c r="A28" s="207"/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</row>
    <row r="29" spans="1:13" ht="18" customHeight="1" x14ac:dyDescent="0.25">
      <c r="A29" s="35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1:13" ht="18" customHeight="1" x14ac:dyDescent="0.25">
      <c r="A30" s="35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13" ht="18" customHeight="1" x14ac:dyDescent="0.25">
      <c r="A31" s="124"/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</row>
    <row r="32" spans="1:13" ht="18" customHeight="1" x14ac:dyDescent="0.25">
      <c r="A32" s="35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</row>
    <row r="33" spans="1:13" ht="18" customHeight="1" x14ac:dyDescent="0.25">
      <c r="A33" s="35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</row>
    <row r="34" spans="1:13" ht="18" customHeight="1" x14ac:dyDescent="0.25">
      <c r="A34" s="35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</row>
    <row r="35" spans="1:13" ht="18" customHeight="1" x14ac:dyDescent="0.25">
      <c r="A35" s="35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</row>
    <row r="36" spans="1:13" x14ac:dyDescent="0.25">
      <c r="A36" s="35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</row>
    <row r="37" spans="1:13" x14ac:dyDescent="0.25">
      <c r="A37" s="35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</row>
    <row r="38" spans="1:13" x14ac:dyDescent="0.25">
      <c r="A38" s="35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</row>
    <row r="39" spans="1:13" x14ac:dyDescent="0.25">
      <c r="A39" s="35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</row>
    <row r="40" spans="1:13" x14ac:dyDescent="0.25">
      <c r="A40" s="35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</row>
    <row r="41" spans="1:13" x14ac:dyDescent="0.25">
      <c r="A41" s="35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</row>
    <row r="42" spans="1:13" x14ac:dyDescent="0.25">
      <c r="A42" s="35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</row>
    <row r="43" spans="1:13" x14ac:dyDescent="0.25">
      <c r="A43" s="35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</row>
    <row r="44" spans="1:13" x14ac:dyDescent="0.25">
      <c r="A44" s="35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  <row r="45" spans="1:13" x14ac:dyDescent="0.25">
      <c r="A45" s="35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</row>
    <row r="46" spans="1:13" x14ac:dyDescent="0.25">
      <c r="A46" s="35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</row>
    <row r="47" spans="1:13" x14ac:dyDescent="0.25">
      <c r="A47" s="35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</row>
    <row r="48" spans="1:13" x14ac:dyDescent="0.25">
      <c r="A48" s="35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</row>
    <row r="49" spans="1:13" x14ac:dyDescent="0.25">
      <c r="A49" s="35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</row>
    <row r="50" spans="1:13" x14ac:dyDescent="0.25">
      <c r="A50" s="35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</row>
    <row r="51" spans="1:13" x14ac:dyDescent="0.25">
      <c r="A51" s="35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</row>
    <row r="52" spans="1:13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13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5" spans="1:13" x14ac:dyDescent="0.25">
      <c r="A55" s="35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</row>
    <row r="56" spans="1:13" x14ac:dyDescent="0.25">
      <c r="A56" s="35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</row>
    <row r="57" spans="1:13" x14ac:dyDescent="0.25">
      <c r="A57" s="35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</row>
    <row r="58" spans="1:13" x14ac:dyDescent="0.25">
      <c r="A58" s="35"/>
      <c r="B58" s="122"/>
      <c r="C58" s="122"/>
      <c r="D58" s="122"/>
      <c r="E58" s="122"/>
      <c r="F58" s="123"/>
      <c r="G58" s="122"/>
      <c r="H58" s="122"/>
      <c r="I58" s="122"/>
      <c r="J58" s="122"/>
      <c r="K58" s="122"/>
      <c r="L58" s="122"/>
      <c r="M58" s="122"/>
    </row>
    <row r="59" spans="1:13" x14ac:dyDescent="0.25">
      <c r="A59" s="35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</row>
    <row r="60" spans="1:13" x14ac:dyDescent="0.25">
      <c r="A60" s="35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</row>
    <row r="61" spans="1:13" x14ac:dyDescent="0.25">
      <c r="A61" s="35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</row>
    <row r="62" spans="1:13" x14ac:dyDescent="0.25">
      <c r="A62" s="35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</row>
    <row r="63" spans="1:13" x14ac:dyDescent="0.25">
      <c r="A63" s="35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</row>
    <row r="64" spans="1:13" x14ac:dyDescent="0.25">
      <c r="A64" s="35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</row>
    <row r="65" spans="1:13" x14ac:dyDescent="0.25">
      <c r="A65" s="35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</row>
    <row r="66" spans="1:13" x14ac:dyDescent="0.25">
      <c r="A66" s="35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</row>
    <row r="67" spans="1:13" x14ac:dyDescent="0.25">
      <c r="A67" s="35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</row>
    <row r="68" spans="1:13" x14ac:dyDescent="0.25">
      <c r="A68" s="35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</row>
    <row r="69" spans="1:13" x14ac:dyDescent="0.25">
      <c r="A69" s="35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</row>
    <row r="70" spans="1:13" x14ac:dyDescent="0.25">
      <c r="A70" s="35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</row>
    <row r="71" spans="1:13" x14ac:dyDescent="0.25">
      <c r="A71" s="35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</row>
    <row r="72" spans="1:13" x14ac:dyDescent="0.25">
      <c r="A72" s="124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</row>
    <row r="73" spans="1:13" x14ac:dyDescent="0.2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</row>
    <row r="74" spans="1:13" x14ac:dyDescent="0.25"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</row>
    <row r="75" spans="1:13" x14ac:dyDescent="0.25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 x14ac:dyDescent="0.25"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</row>
    <row r="77" spans="1:13" x14ac:dyDescent="0.25"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</row>
    <row r="78" spans="1:13" x14ac:dyDescent="0.2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</row>
    <row r="79" spans="1:13" x14ac:dyDescent="0.2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1:13" x14ac:dyDescent="0.25"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</row>
    <row r="81" spans="2:13" x14ac:dyDescent="0.25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</row>
    <row r="82" spans="2:13" x14ac:dyDescent="0.25"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</row>
    <row r="83" spans="2:13" x14ac:dyDescent="0.25"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</row>
    <row r="84" spans="2:13" x14ac:dyDescent="0.25"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</row>
    <row r="85" spans="2:13" x14ac:dyDescent="0.2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</row>
    <row r="86" spans="2:13" x14ac:dyDescent="0.2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</row>
    <row r="87" spans="2:13" x14ac:dyDescent="0.25"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</row>
    <row r="88" spans="2:13" x14ac:dyDescent="0.25"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</row>
    <row r="89" spans="2:13" x14ac:dyDescent="0.25"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</row>
    <row r="90" spans="2:13" x14ac:dyDescent="0.25"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</row>
    <row r="91" spans="2:13" x14ac:dyDescent="0.25"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  <row r="92" spans="2:13" x14ac:dyDescent="0.25"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</row>
    <row r="93" spans="2:13" x14ac:dyDescent="0.25"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</row>
    <row r="94" spans="2:13" x14ac:dyDescent="0.25"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</row>
    <row r="95" spans="2:13" x14ac:dyDescent="0.25"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</row>
    <row r="96" spans="2:13" x14ac:dyDescent="0.25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</row>
    <row r="97" spans="2:13" x14ac:dyDescent="0.25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</row>
    <row r="98" spans="2:13" x14ac:dyDescent="0.25"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</row>
    <row r="99" spans="2:13" x14ac:dyDescent="0.25"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</row>
    <row r="100" spans="2:13" x14ac:dyDescent="0.25"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</row>
    <row r="101" spans="2:13" x14ac:dyDescent="0.25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</row>
    <row r="102" spans="2:13" x14ac:dyDescent="0.25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</row>
    <row r="103" spans="2:13" x14ac:dyDescent="0.25"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</row>
    <row r="104" spans="2:13" x14ac:dyDescent="0.25"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</row>
    <row r="105" spans="2:13" x14ac:dyDescent="0.25"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</row>
    <row r="106" spans="2:13" x14ac:dyDescent="0.25"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</row>
    <row r="107" spans="2:13" x14ac:dyDescent="0.25"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</row>
    <row r="108" spans="2:13" x14ac:dyDescent="0.25"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</row>
    <row r="109" spans="2:13" x14ac:dyDescent="0.25"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</row>
    <row r="110" spans="2:13" x14ac:dyDescent="0.25"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</row>
    <row r="111" spans="2:13" x14ac:dyDescent="0.25"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</row>
    <row r="112" spans="2:13" x14ac:dyDescent="0.25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</row>
    <row r="113" spans="2:13" x14ac:dyDescent="0.25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</row>
    <row r="114" spans="2:13" x14ac:dyDescent="0.25"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</row>
    <row r="115" spans="2:13" x14ac:dyDescent="0.25"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</row>
    <row r="116" spans="2:13" x14ac:dyDescent="0.25"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</row>
    <row r="117" spans="2:13" x14ac:dyDescent="0.25"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</row>
    <row r="118" spans="2:13" x14ac:dyDescent="0.25"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</row>
    <row r="119" spans="2:13" x14ac:dyDescent="0.25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</row>
    <row r="120" spans="2:13" x14ac:dyDescent="0.25"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</row>
    <row r="121" spans="2:13" x14ac:dyDescent="0.25"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</row>
    <row r="122" spans="2:13" x14ac:dyDescent="0.25"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</row>
    <row r="123" spans="2:13" x14ac:dyDescent="0.25"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</row>
    <row r="124" spans="2:13" x14ac:dyDescent="0.25"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</row>
    <row r="125" spans="2:13" x14ac:dyDescent="0.25"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</row>
    <row r="126" spans="2:13" x14ac:dyDescent="0.25"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</row>
    <row r="127" spans="2:13" x14ac:dyDescent="0.25"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</row>
    <row r="128" spans="2:13" x14ac:dyDescent="0.25"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</row>
    <row r="129" spans="2:13" x14ac:dyDescent="0.25"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</row>
    <row r="130" spans="2:13" x14ac:dyDescent="0.25"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</row>
    <row r="131" spans="2:13" x14ac:dyDescent="0.25"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</row>
    <row r="132" spans="2:13" x14ac:dyDescent="0.25"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</row>
    <row r="133" spans="2:13" x14ac:dyDescent="0.25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</row>
    <row r="134" spans="2:13" x14ac:dyDescent="0.25"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</row>
    <row r="135" spans="2:13" x14ac:dyDescent="0.25"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</row>
    <row r="136" spans="2:13" x14ac:dyDescent="0.25"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</row>
    <row r="137" spans="2:13" x14ac:dyDescent="0.25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</row>
    <row r="138" spans="2:13" x14ac:dyDescent="0.25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</row>
    <row r="139" spans="2:13" x14ac:dyDescent="0.25"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</row>
    <row r="140" spans="2:13" x14ac:dyDescent="0.25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</row>
    <row r="141" spans="2:13" x14ac:dyDescent="0.25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</row>
    <row r="142" spans="2:13" x14ac:dyDescent="0.25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</row>
    <row r="143" spans="2:13" x14ac:dyDescent="0.25"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</row>
    <row r="144" spans="2:13" x14ac:dyDescent="0.25"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</row>
    <row r="145" spans="2:13" x14ac:dyDescent="0.25"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</row>
    <row r="146" spans="2:13" x14ac:dyDescent="0.25"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</row>
    <row r="147" spans="2:13" x14ac:dyDescent="0.25"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</row>
    <row r="148" spans="2:13" x14ac:dyDescent="0.25"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</row>
    <row r="149" spans="2:13" x14ac:dyDescent="0.25"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</row>
    <row r="150" spans="2:13" x14ac:dyDescent="0.25"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</row>
    <row r="151" spans="2:13" x14ac:dyDescent="0.25"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</row>
    <row r="152" spans="2:13" x14ac:dyDescent="0.25"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</row>
    <row r="153" spans="2:13" x14ac:dyDescent="0.25"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</row>
    <row r="154" spans="2:13" x14ac:dyDescent="0.25"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</row>
    <row r="155" spans="2:13" x14ac:dyDescent="0.25"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</row>
    <row r="156" spans="2:13" x14ac:dyDescent="0.25"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</row>
    <row r="157" spans="2:13" x14ac:dyDescent="0.25"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</row>
    <row r="158" spans="2:13" x14ac:dyDescent="0.25"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</row>
    <row r="159" spans="2:13" x14ac:dyDescent="0.25"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</row>
    <row r="160" spans="2:13" x14ac:dyDescent="0.25"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</row>
    <row r="161" spans="2:13" x14ac:dyDescent="0.25"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</row>
    <row r="162" spans="2:13" x14ac:dyDescent="0.25"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</row>
    <row r="163" spans="2:13" x14ac:dyDescent="0.25">
      <c r="B163" s="116"/>
      <c r="C163" s="116"/>
      <c r="D163" s="116"/>
      <c r="K163" s="116"/>
    </row>
    <row r="164" spans="2:13" x14ac:dyDescent="0.25">
      <c r="B164" s="116"/>
      <c r="C164" s="116"/>
      <c r="D164" s="116"/>
      <c r="K164" s="116"/>
    </row>
    <row r="165" spans="2:13" x14ac:dyDescent="0.25">
      <c r="B165" s="116"/>
      <c r="C165" s="116"/>
      <c r="D165" s="116"/>
      <c r="K165" s="116"/>
    </row>
    <row r="166" spans="2:13" x14ac:dyDescent="0.25">
      <c r="B166" s="116"/>
      <c r="C166" s="116"/>
      <c r="D166" s="116"/>
      <c r="K166" s="116"/>
    </row>
    <row r="167" spans="2:13" x14ac:dyDescent="0.25">
      <c r="B167" s="116"/>
      <c r="C167" s="116"/>
      <c r="D167" s="116"/>
      <c r="K167" s="116"/>
    </row>
    <row r="168" spans="2:13" x14ac:dyDescent="0.25">
      <c r="B168" s="116"/>
      <c r="C168" s="116"/>
      <c r="D168" s="116"/>
      <c r="K168" s="116"/>
    </row>
    <row r="169" spans="2:13" x14ac:dyDescent="0.25">
      <c r="B169" s="116"/>
      <c r="C169" s="116"/>
      <c r="D169" s="116"/>
      <c r="K169" s="116"/>
    </row>
    <row r="170" spans="2:13" x14ac:dyDescent="0.25">
      <c r="B170" s="116"/>
      <c r="C170" s="116"/>
      <c r="D170" s="116"/>
      <c r="K170" s="116"/>
    </row>
    <row r="171" spans="2:13" x14ac:dyDescent="0.25">
      <c r="B171" s="116"/>
      <c r="C171" s="116"/>
      <c r="D171" s="116"/>
      <c r="K171" s="116"/>
    </row>
    <row r="172" spans="2:13" x14ac:dyDescent="0.25">
      <c r="B172" s="116"/>
      <c r="C172" s="116"/>
      <c r="D172" s="116"/>
      <c r="K172" s="116"/>
    </row>
    <row r="173" spans="2:13" x14ac:dyDescent="0.25">
      <c r="B173" s="116"/>
      <c r="C173" s="116"/>
      <c r="D173" s="116"/>
      <c r="K173" s="116"/>
    </row>
    <row r="174" spans="2:13" x14ac:dyDescent="0.25">
      <c r="B174" s="116"/>
      <c r="C174" s="116"/>
      <c r="D174" s="116"/>
      <c r="K174" s="116"/>
    </row>
    <row r="175" spans="2:13" x14ac:dyDescent="0.25">
      <c r="B175" s="116"/>
      <c r="C175" s="116"/>
      <c r="D175" s="116"/>
      <c r="K175" s="116"/>
    </row>
    <row r="176" spans="2:13" x14ac:dyDescent="0.25">
      <c r="B176" s="116"/>
      <c r="C176" s="116"/>
      <c r="D176" s="116"/>
      <c r="K176" s="116"/>
    </row>
    <row r="177" spans="2:11" x14ac:dyDescent="0.25">
      <c r="B177" s="116"/>
      <c r="C177" s="116"/>
      <c r="D177" s="116"/>
      <c r="K177" s="116"/>
    </row>
    <row r="178" spans="2:11" x14ac:dyDescent="0.25">
      <c r="B178" s="116"/>
      <c r="C178" s="116"/>
      <c r="D178" s="116"/>
      <c r="K178" s="116"/>
    </row>
    <row r="179" spans="2:11" x14ac:dyDescent="0.25">
      <c r="B179" s="116"/>
      <c r="C179" s="116"/>
      <c r="D179" s="116"/>
      <c r="K179" s="116"/>
    </row>
    <row r="180" spans="2:11" x14ac:dyDescent="0.25">
      <c r="B180" s="116"/>
      <c r="C180" s="116"/>
      <c r="D180" s="116"/>
      <c r="K180" s="116"/>
    </row>
    <row r="181" spans="2:11" x14ac:dyDescent="0.25">
      <c r="B181" s="116"/>
      <c r="C181" s="116"/>
      <c r="D181" s="116"/>
      <c r="K181" s="116"/>
    </row>
    <row r="182" spans="2:11" x14ac:dyDescent="0.25">
      <c r="B182" s="116"/>
      <c r="C182" s="116"/>
      <c r="D182" s="116"/>
      <c r="K182" s="116"/>
    </row>
    <row r="183" spans="2:11" x14ac:dyDescent="0.25">
      <c r="B183" s="116"/>
      <c r="C183" s="116"/>
      <c r="D183" s="116"/>
      <c r="K183" s="116"/>
    </row>
    <row r="184" spans="2:11" x14ac:dyDescent="0.25">
      <c r="B184" s="116"/>
      <c r="C184" s="116"/>
      <c r="D184" s="116"/>
      <c r="K184" s="116"/>
    </row>
    <row r="185" spans="2:11" x14ac:dyDescent="0.25">
      <c r="B185" s="116"/>
      <c r="C185" s="116"/>
      <c r="D185" s="116"/>
      <c r="K185" s="116"/>
    </row>
    <row r="186" spans="2:11" x14ac:dyDescent="0.25">
      <c r="B186" s="116"/>
      <c r="C186" s="116"/>
      <c r="D186" s="116"/>
      <c r="K186" s="116"/>
    </row>
    <row r="187" spans="2:11" x14ac:dyDescent="0.25">
      <c r="B187" s="116"/>
      <c r="C187" s="116"/>
      <c r="D187" s="116"/>
      <c r="K187" s="116"/>
    </row>
    <row r="188" spans="2:11" x14ac:dyDescent="0.25">
      <c r="B188" s="116"/>
      <c r="C188" s="116"/>
      <c r="D188" s="116"/>
      <c r="K188" s="116"/>
    </row>
    <row r="189" spans="2:11" x14ac:dyDescent="0.25">
      <c r="B189" s="116"/>
      <c r="C189" s="116"/>
      <c r="D189" s="116"/>
      <c r="K189" s="116"/>
    </row>
    <row r="190" spans="2:11" x14ac:dyDescent="0.25">
      <c r="B190" s="116"/>
      <c r="C190" s="116"/>
      <c r="D190" s="116"/>
      <c r="K190" s="116"/>
    </row>
    <row r="191" spans="2:11" x14ac:dyDescent="0.25">
      <c r="B191" s="116"/>
      <c r="C191" s="116"/>
      <c r="D191" s="116"/>
      <c r="K191" s="116"/>
    </row>
    <row r="192" spans="2:11" x14ac:dyDescent="0.25">
      <c r="B192" s="116"/>
      <c r="C192" s="116"/>
      <c r="D192" s="116"/>
      <c r="K192" s="116"/>
    </row>
    <row r="193" spans="2:11" x14ac:dyDescent="0.25">
      <c r="B193" s="116"/>
      <c r="C193" s="116"/>
      <c r="D193" s="116"/>
      <c r="K193" s="116"/>
    </row>
    <row r="194" spans="2:11" x14ac:dyDescent="0.25">
      <c r="B194" s="116"/>
      <c r="C194" s="116"/>
      <c r="D194" s="116"/>
      <c r="K194" s="116"/>
    </row>
    <row r="195" spans="2:11" x14ac:dyDescent="0.25">
      <c r="B195" s="116"/>
      <c r="C195" s="116"/>
      <c r="D195" s="116"/>
      <c r="K195" s="116"/>
    </row>
    <row r="196" spans="2:11" x14ac:dyDescent="0.25">
      <c r="B196" s="116"/>
      <c r="C196" s="116"/>
      <c r="D196" s="116"/>
      <c r="K196" s="116"/>
    </row>
    <row r="197" spans="2:11" x14ac:dyDescent="0.25">
      <c r="B197" s="116"/>
      <c r="C197" s="116"/>
      <c r="D197" s="116"/>
      <c r="K197" s="116"/>
    </row>
    <row r="198" spans="2:11" x14ac:dyDescent="0.25">
      <c r="B198" s="116"/>
      <c r="C198" s="116"/>
      <c r="D198" s="116"/>
      <c r="K198" s="116"/>
    </row>
    <row r="199" spans="2:11" x14ac:dyDescent="0.25">
      <c r="B199" s="116"/>
      <c r="C199" s="116"/>
      <c r="D199" s="116"/>
      <c r="K199" s="116"/>
    </row>
    <row r="200" spans="2:11" x14ac:dyDescent="0.25">
      <c r="B200" s="116"/>
      <c r="C200" s="116"/>
      <c r="D200" s="116"/>
      <c r="K200" s="116"/>
    </row>
    <row r="201" spans="2:11" x14ac:dyDescent="0.25">
      <c r="B201" s="116"/>
      <c r="C201" s="116"/>
      <c r="D201" s="116"/>
      <c r="K201" s="116"/>
    </row>
    <row r="202" spans="2:11" x14ac:dyDescent="0.25">
      <c r="B202" s="116"/>
      <c r="C202" s="116"/>
      <c r="D202" s="116"/>
      <c r="K202" s="116"/>
    </row>
    <row r="203" spans="2:11" x14ac:dyDescent="0.25">
      <c r="B203" s="116"/>
      <c r="C203" s="116"/>
      <c r="D203" s="116"/>
      <c r="K203" s="116"/>
    </row>
    <row r="204" spans="2:11" x14ac:dyDescent="0.25">
      <c r="B204" s="116"/>
      <c r="C204" s="116"/>
      <c r="D204" s="116"/>
      <c r="K204" s="116"/>
    </row>
    <row r="205" spans="2:11" x14ac:dyDescent="0.25">
      <c r="B205" s="116"/>
      <c r="C205" s="116"/>
      <c r="D205" s="116"/>
      <c r="K205" s="116"/>
    </row>
    <row r="206" spans="2:11" x14ac:dyDescent="0.25">
      <c r="B206" s="116"/>
      <c r="C206" s="116"/>
      <c r="D206" s="116"/>
      <c r="K206" s="116"/>
    </row>
    <row r="207" spans="2:11" x14ac:dyDescent="0.25">
      <c r="B207" s="116"/>
      <c r="C207" s="116"/>
      <c r="D207" s="116"/>
      <c r="K207" s="116"/>
    </row>
    <row r="208" spans="2:11" x14ac:dyDescent="0.25">
      <c r="B208" s="116"/>
      <c r="C208" s="116"/>
      <c r="D208" s="116"/>
      <c r="K208" s="116"/>
    </row>
    <row r="209" spans="2:11" x14ac:dyDescent="0.25">
      <c r="B209" s="116"/>
      <c r="C209" s="116"/>
      <c r="D209" s="116"/>
      <c r="K209" s="116"/>
    </row>
    <row r="210" spans="2:11" x14ac:dyDescent="0.25">
      <c r="B210" s="116"/>
      <c r="C210" s="116"/>
      <c r="D210" s="116"/>
      <c r="K210" s="116"/>
    </row>
    <row r="211" spans="2:11" x14ac:dyDescent="0.25">
      <c r="B211" s="116"/>
      <c r="C211" s="116"/>
      <c r="D211" s="116"/>
      <c r="K211" s="116"/>
    </row>
    <row r="212" spans="2:11" x14ac:dyDescent="0.25">
      <c r="B212" s="116"/>
      <c r="C212" s="116"/>
      <c r="D212" s="116"/>
      <c r="K212" s="116"/>
    </row>
    <row r="213" spans="2:11" x14ac:dyDescent="0.25">
      <c r="B213" s="116"/>
      <c r="C213" s="116"/>
      <c r="D213" s="116"/>
      <c r="K213" s="116"/>
    </row>
    <row r="214" spans="2:11" x14ac:dyDescent="0.25">
      <c r="B214" s="116"/>
      <c r="C214" s="116"/>
      <c r="D214" s="116"/>
      <c r="K214" s="116"/>
    </row>
    <row r="215" spans="2:11" x14ac:dyDescent="0.25">
      <c r="B215" s="116"/>
      <c r="C215" s="116"/>
      <c r="D215" s="116"/>
      <c r="K215" s="116"/>
    </row>
    <row r="216" spans="2:11" x14ac:dyDescent="0.25">
      <c r="B216" s="116"/>
      <c r="C216" s="116"/>
      <c r="D216" s="116"/>
      <c r="K216" s="116"/>
    </row>
    <row r="217" spans="2:11" x14ac:dyDescent="0.25">
      <c r="B217" s="116"/>
      <c r="C217" s="116"/>
      <c r="D217" s="116"/>
      <c r="K217" s="116"/>
    </row>
    <row r="218" spans="2:11" x14ac:dyDescent="0.25">
      <c r="B218" s="116"/>
      <c r="C218" s="116"/>
      <c r="D218" s="116"/>
      <c r="K218" s="116"/>
    </row>
    <row r="219" spans="2:11" x14ac:dyDescent="0.25">
      <c r="B219" s="116"/>
      <c r="C219" s="116"/>
      <c r="D219" s="116"/>
      <c r="K219" s="116"/>
    </row>
    <row r="220" spans="2:11" x14ac:dyDescent="0.25">
      <c r="B220" s="116"/>
      <c r="C220" s="116"/>
      <c r="D220" s="116"/>
      <c r="K220" s="116"/>
    </row>
    <row r="221" spans="2:11" x14ac:dyDescent="0.25">
      <c r="B221" s="116"/>
      <c r="C221" s="116"/>
      <c r="D221" s="116"/>
      <c r="K221" s="116"/>
    </row>
    <row r="222" spans="2:11" x14ac:dyDescent="0.25">
      <c r="B222" s="116"/>
      <c r="C222" s="116"/>
      <c r="D222" s="116"/>
      <c r="K222" s="116"/>
    </row>
    <row r="223" spans="2:11" x14ac:dyDescent="0.25">
      <c r="B223" s="116"/>
      <c r="C223" s="116"/>
      <c r="D223" s="116"/>
      <c r="K223" s="116"/>
    </row>
    <row r="224" spans="2:11" x14ac:dyDescent="0.25">
      <c r="B224" s="116"/>
      <c r="C224" s="116"/>
      <c r="D224" s="116"/>
      <c r="K224" s="116"/>
    </row>
    <row r="225" spans="2:11" x14ac:dyDescent="0.25">
      <c r="B225" s="116"/>
      <c r="C225" s="116"/>
      <c r="D225" s="116"/>
      <c r="K225" s="116"/>
    </row>
    <row r="226" spans="2:11" x14ac:dyDescent="0.25">
      <c r="B226" s="116"/>
      <c r="C226" s="116"/>
      <c r="D226" s="116"/>
      <c r="K226" s="116"/>
    </row>
    <row r="227" spans="2:11" x14ac:dyDescent="0.25">
      <c r="B227" s="116"/>
      <c r="C227" s="116"/>
      <c r="D227" s="116"/>
      <c r="K227" s="116"/>
    </row>
    <row r="228" spans="2:11" x14ac:dyDescent="0.25">
      <c r="B228" s="116"/>
      <c r="C228" s="116"/>
      <c r="D228" s="116"/>
      <c r="K228" s="116"/>
    </row>
    <row r="229" spans="2:11" x14ac:dyDescent="0.25">
      <c r="B229" s="116"/>
      <c r="C229" s="116"/>
      <c r="D229" s="116"/>
      <c r="K229" s="116"/>
    </row>
    <row r="230" spans="2:11" x14ac:dyDescent="0.25">
      <c r="B230" s="116"/>
      <c r="C230" s="116"/>
      <c r="D230" s="116"/>
      <c r="K230" s="116"/>
    </row>
    <row r="231" spans="2:11" x14ac:dyDescent="0.25">
      <c r="B231" s="116"/>
      <c r="C231" s="116"/>
      <c r="D231" s="116"/>
      <c r="K231" s="116"/>
    </row>
    <row r="232" spans="2:11" x14ac:dyDescent="0.25">
      <c r="C232" s="116"/>
      <c r="D232" s="116"/>
      <c r="K232" s="116"/>
    </row>
    <row r="233" spans="2:11" x14ac:dyDescent="0.25">
      <c r="C233" s="116"/>
      <c r="D233" s="116"/>
      <c r="K233" s="116"/>
    </row>
    <row r="234" spans="2:11" x14ac:dyDescent="0.25">
      <c r="C234" s="116"/>
      <c r="D234" s="116"/>
      <c r="K234" s="116"/>
    </row>
    <row r="235" spans="2:11" x14ac:dyDescent="0.25">
      <c r="C235" s="116"/>
      <c r="D235" s="116"/>
      <c r="K235" s="116"/>
    </row>
    <row r="236" spans="2:11" x14ac:dyDescent="0.25">
      <c r="C236" s="116"/>
      <c r="D236" s="116"/>
      <c r="K236" s="116"/>
    </row>
    <row r="237" spans="2:11" x14ac:dyDescent="0.25">
      <c r="C237" s="116"/>
      <c r="D237" s="116"/>
      <c r="K237" s="116"/>
    </row>
    <row r="238" spans="2:11" x14ac:dyDescent="0.25">
      <c r="C238" s="116"/>
      <c r="D238" s="116"/>
      <c r="K238" s="116"/>
    </row>
    <row r="239" spans="2:11" x14ac:dyDescent="0.25">
      <c r="C239" s="116"/>
      <c r="D239" s="116"/>
      <c r="K239" s="116"/>
    </row>
    <row r="240" spans="2:11" x14ac:dyDescent="0.25">
      <c r="C240" s="116"/>
      <c r="D240" s="116"/>
      <c r="K240" s="116"/>
    </row>
    <row r="241" spans="3:11" x14ac:dyDescent="0.25">
      <c r="C241" s="116"/>
      <c r="D241" s="116"/>
      <c r="K241" s="116"/>
    </row>
    <row r="242" spans="3:11" x14ac:dyDescent="0.25">
      <c r="C242" s="116"/>
      <c r="D242" s="116"/>
      <c r="K242" s="116"/>
    </row>
    <row r="243" spans="3:11" x14ac:dyDescent="0.25">
      <c r="C243" s="116"/>
      <c r="D243" s="116"/>
      <c r="K243" s="116"/>
    </row>
    <row r="244" spans="3:11" x14ac:dyDescent="0.25">
      <c r="C244" s="116"/>
      <c r="D244" s="116"/>
      <c r="K244" s="116"/>
    </row>
    <row r="245" spans="3:11" x14ac:dyDescent="0.25">
      <c r="C245" s="116"/>
      <c r="D245" s="116"/>
      <c r="K245" s="116"/>
    </row>
    <row r="246" spans="3:11" x14ac:dyDescent="0.25">
      <c r="K246" s="116"/>
    </row>
    <row r="247" spans="3:11" x14ac:dyDescent="0.25">
      <c r="K247" s="116"/>
    </row>
    <row r="248" spans="3:11" x14ac:dyDescent="0.25">
      <c r="K248" s="116"/>
    </row>
    <row r="249" spans="3:11" x14ac:dyDescent="0.25">
      <c r="K249" s="116"/>
    </row>
    <row r="250" spans="3:11" x14ac:dyDescent="0.25">
      <c r="K250" s="116"/>
    </row>
    <row r="251" spans="3:11" x14ac:dyDescent="0.25">
      <c r="K251" s="116"/>
    </row>
    <row r="252" spans="3:11" x14ac:dyDescent="0.25">
      <c r="K252" s="116"/>
    </row>
    <row r="253" spans="3:11" x14ac:dyDescent="0.25">
      <c r="K253" s="116"/>
    </row>
    <row r="254" spans="3:11" x14ac:dyDescent="0.25">
      <c r="K254" s="116"/>
    </row>
    <row r="255" spans="3:11" x14ac:dyDescent="0.25">
      <c r="K255" s="116"/>
    </row>
    <row r="256" spans="3:11" x14ac:dyDescent="0.25">
      <c r="K256" s="116"/>
    </row>
    <row r="257" spans="11:11" x14ac:dyDescent="0.25">
      <c r="K257" s="116"/>
    </row>
    <row r="258" spans="11:11" x14ac:dyDescent="0.25">
      <c r="K258" s="116"/>
    </row>
    <row r="259" spans="11:11" x14ac:dyDescent="0.25">
      <c r="K259" s="116"/>
    </row>
    <row r="260" spans="11:11" x14ac:dyDescent="0.25">
      <c r="K260" s="116"/>
    </row>
    <row r="261" spans="11:11" x14ac:dyDescent="0.25">
      <c r="K261" s="116"/>
    </row>
    <row r="262" spans="11:11" x14ac:dyDescent="0.25">
      <c r="K262" s="116"/>
    </row>
    <row r="263" spans="11:11" x14ac:dyDescent="0.25">
      <c r="K263" s="116"/>
    </row>
    <row r="264" spans="11:11" x14ac:dyDescent="0.25">
      <c r="K264" s="116"/>
    </row>
    <row r="265" spans="11:11" x14ac:dyDescent="0.25">
      <c r="K265" s="116"/>
    </row>
    <row r="266" spans="11:11" x14ac:dyDescent="0.25">
      <c r="K266" s="116"/>
    </row>
  </sheetData>
  <mergeCells count="4">
    <mergeCell ref="A7:M7"/>
    <mergeCell ref="A8:M8"/>
    <mergeCell ref="A10:M10"/>
    <mergeCell ref="A15:M15"/>
  </mergeCells>
  <pageMargins left="0.7" right="0.7" top="0.75" bottom="0.75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2"/>
  <sheetViews>
    <sheetView view="pageBreakPreview" topLeftCell="A4" zoomScaleSheetLayoutView="100" workbookViewId="0">
      <selection activeCell="A9" sqref="A9:F9"/>
    </sheetView>
  </sheetViews>
  <sheetFormatPr defaultRowHeight="13.2" x14ac:dyDescent="0.25"/>
  <cols>
    <col min="1" max="1" width="51.6640625" customWidth="1"/>
    <col min="2" max="2" width="0.109375" customWidth="1"/>
    <col min="3" max="4" width="9.109375" hidden="1" customWidth="1"/>
    <col min="5" max="5" width="14" customWidth="1"/>
    <col min="6" max="6" width="16.6640625" customWidth="1"/>
  </cols>
  <sheetData>
    <row r="1" spans="1:6" x14ac:dyDescent="0.25">
      <c r="C1" t="s">
        <v>162</v>
      </c>
    </row>
    <row r="5" spans="1:6" x14ac:dyDescent="0.25">
      <c r="A5" s="494" t="s">
        <v>163</v>
      </c>
      <c r="B5" s="477"/>
      <c r="C5" s="477"/>
      <c r="D5" s="477"/>
      <c r="E5" s="477"/>
      <c r="F5" s="477"/>
    </row>
    <row r="6" spans="1:6" x14ac:dyDescent="0.25">
      <c r="A6" s="206"/>
      <c r="B6" s="206"/>
      <c r="C6" s="206"/>
      <c r="D6" s="206"/>
      <c r="E6" s="206"/>
      <c r="F6" s="206"/>
    </row>
    <row r="8" spans="1:6" x14ac:dyDescent="0.25">
      <c r="B8" s="99"/>
      <c r="C8" s="99"/>
      <c r="D8" s="99"/>
    </row>
    <row r="9" spans="1:6" ht="27" customHeight="1" x14ac:dyDescent="0.25">
      <c r="A9" s="496" t="s">
        <v>683</v>
      </c>
      <c r="B9" s="496"/>
      <c r="C9" s="496"/>
      <c r="D9" s="496"/>
      <c r="E9" s="496"/>
      <c r="F9" s="496"/>
    </row>
    <row r="10" spans="1:6" x14ac:dyDescent="0.25">
      <c r="B10" s="99"/>
      <c r="C10" s="99"/>
      <c r="D10" s="99"/>
    </row>
    <row r="11" spans="1:6" ht="13.8" thickBot="1" x14ac:dyDescent="0.3">
      <c r="B11" s="99"/>
      <c r="C11" s="99"/>
      <c r="D11" s="99"/>
      <c r="F11" t="s">
        <v>561</v>
      </c>
    </row>
    <row r="12" spans="1:6" x14ac:dyDescent="0.25">
      <c r="A12" s="370" t="s">
        <v>164</v>
      </c>
      <c r="B12" s="371"/>
      <c r="C12" s="371"/>
      <c r="D12" s="371"/>
      <c r="E12" s="514" t="s">
        <v>562</v>
      </c>
      <c r="F12" s="515"/>
    </row>
    <row r="13" spans="1:6" ht="12.75" customHeight="1" x14ac:dyDescent="0.25">
      <c r="A13" s="80"/>
      <c r="B13" s="111"/>
      <c r="C13" s="111"/>
      <c r="D13" s="111"/>
      <c r="E13" s="512" t="s">
        <v>488</v>
      </c>
      <c r="F13" s="513"/>
    </row>
    <row r="14" spans="1:6" x14ac:dyDescent="0.25">
      <c r="A14" s="80"/>
      <c r="B14" s="111"/>
      <c r="C14" s="111"/>
      <c r="D14" s="111"/>
      <c r="E14" s="82" t="s">
        <v>489</v>
      </c>
      <c r="F14" s="82" t="s">
        <v>490</v>
      </c>
    </row>
    <row r="15" spans="1:6" ht="15.6" x14ac:dyDescent="0.3">
      <c r="A15" s="372" t="s">
        <v>166</v>
      </c>
      <c r="B15" s="111"/>
      <c r="C15" s="111"/>
      <c r="D15" s="111"/>
      <c r="E15" s="82"/>
      <c r="F15" s="82"/>
    </row>
    <row r="16" spans="1:6" x14ac:dyDescent="0.25">
      <c r="A16" s="373" t="s">
        <v>604</v>
      </c>
      <c r="B16" s="111"/>
      <c r="C16" s="111"/>
      <c r="D16" s="111"/>
      <c r="E16" s="41">
        <v>75</v>
      </c>
      <c r="F16" s="41">
        <v>0</v>
      </c>
    </row>
    <row r="17" spans="1:6" x14ac:dyDescent="0.25">
      <c r="A17" s="80" t="s">
        <v>104</v>
      </c>
      <c r="B17" s="111"/>
      <c r="C17" s="111"/>
      <c r="D17" s="111"/>
      <c r="E17" s="41">
        <v>1</v>
      </c>
      <c r="F17" s="41">
        <v>0</v>
      </c>
    </row>
    <row r="18" spans="1:6" x14ac:dyDescent="0.25">
      <c r="A18" s="80" t="s">
        <v>167</v>
      </c>
      <c r="B18" s="111"/>
      <c r="C18" s="111"/>
      <c r="D18" s="111"/>
      <c r="E18" s="41">
        <v>1</v>
      </c>
      <c r="F18" s="41">
        <v>0</v>
      </c>
    </row>
    <row r="19" spans="1:6" x14ac:dyDescent="0.25">
      <c r="A19" s="80" t="s">
        <v>6</v>
      </c>
      <c r="B19" s="111"/>
      <c r="C19" s="111"/>
      <c r="D19" s="111"/>
      <c r="E19" s="41">
        <v>0.4</v>
      </c>
      <c r="F19" s="41">
        <v>0</v>
      </c>
    </row>
    <row r="20" spans="1:6" x14ac:dyDescent="0.25">
      <c r="A20" s="80" t="s">
        <v>11</v>
      </c>
      <c r="B20" s="111"/>
      <c r="C20" s="111"/>
      <c r="D20" s="111"/>
      <c r="E20" s="41">
        <v>0.6</v>
      </c>
      <c r="F20" s="41">
        <v>0</v>
      </c>
    </row>
    <row r="21" spans="1:6" x14ac:dyDescent="0.25">
      <c r="A21" s="80" t="s">
        <v>168</v>
      </c>
      <c r="B21" s="111"/>
      <c r="C21" s="111"/>
      <c r="D21" s="111"/>
      <c r="E21" s="41">
        <v>1</v>
      </c>
      <c r="F21" s="41">
        <v>0.375</v>
      </c>
    </row>
    <row r="22" spans="1:6" x14ac:dyDescent="0.25">
      <c r="A22" s="80" t="s">
        <v>169</v>
      </c>
      <c r="B22" s="111"/>
      <c r="C22" s="111"/>
      <c r="D22" s="111"/>
      <c r="E22" s="41">
        <v>1</v>
      </c>
      <c r="F22" s="41">
        <v>0.8</v>
      </c>
    </row>
    <row r="23" spans="1:6" x14ac:dyDescent="0.25">
      <c r="A23" s="80" t="s">
        <v>170</v>
      </c>
      <c r="B23" s="111"/>
      <c r="C23" s="111"/>
      <c r="D23" s="111"/>
      <c r="E23" s="41">
        <v>0</v>
      </c>
      <c r="F23" s="41">
        <v>0</v>
      </c>
    </row>
    <row r="24" spans="1:6" ht="13.8" thickBot="1" x14ac:dyDescent="0.3">
      <c r="A24" s="360" t="s">
        <v>171</v>
      </c>
      <c r="B24" s="374"/>
      <c r="C24" s="374"/>
      <c r="D24" s="374"/>
      <c r="E24" s="375">
        <v>0</v>
      </c>
      <c r="F24" s="376">
        <v>0.375</v>
      </c>
    </row>
    <row r="25" spans="1:6" ht="13.8" thickBot="1" x14ac:dyDescent="0.3">
      <c r="A25" s="210" t="s">
        <v>172</v>
      </c>
      <c r="B25" s="208"/>
      <c r="C25" s="208"/>
      <c r="D25" s="209"/>
      <c r="E25" s="211">
        <f>SUM(E16:E24)</f>
        <v>80</v>
      </c>
      <c r="F25" s="211">
        <f>SUM(F16:F24)</f>
        <v>1.55</v>
      </c>
    </row>
    <row r="26" spans="1:6" x14ac:dyDescent="0.25">
      <c r="A26" s="212"/>
      <c r="B26" s="64"/>
      <c r="C26" s="64"/>
      <c r="D26" s="64"/>
      <c r="E26" s="64"/>
      <c r="F26" s="35"/>
    </row>
    <row r="27" spans="1:6" ht="13.8" thickBot="1" x14ac:dyDescent="0.3">
      <c r="A27" s="213"/>
      <c r="B27" s="64"/>
      <c r="C27" s="64"/>
      <c r="D27" s="64"/>
      <c r="E27" s="64"/>
    </row>
    <row r="28" spans="1:6" x14ac:dyDescent="0.25">
      <c r="A28" s="409" t="s">
        <v>557</v>
      </c>
      <c r="B28" s="212"/>
      <c r="C28" s="212"/>
      <c r="D28" s="212"/>
      <c r="E28" s="408">
        <v>17</v>
      </c>
      <c r="F28" s="408">
        <v>0.25</v>
      </c>
    </row>
    <row r="29" spans="1:6" x14ac:dyDescent="0.25">
      <c r="A29" s="144" t="s">
        <v>491</v>
      </c>
      <c r="B29" s="144">
        <v>14</v>
      </c>
      <c r="C29" s="144"/>
      <c r="D29" s="145">
        <v>35121</v>
      </c>
      <c r="E29" s="202">
        <v>12</v>
      </c>
      <c r="F29" s="82">
        <v>0</v>
      </c>
    </row>
    <row r="30" spans="1:6" x14ac:dyDescent="0.25">
      <c r="A30" s="392" t="s">
        <v>556</v>
      </c>
      <c r="B30" s="82">
        <v>5</v>
      </c>
      <c r="C30" s="82"/>
      <c r="D30" s="81"/>
      <c r="E30" s="82">
        <v>5</v>
      </c>
      <c r="F30" s="111">
        <v>0.25</v>
      </c>
    </row>
    <row r="31" spans="1:6" x14ac:dyDescent="0.25">
      <c r="A31" s="186"/>
      <c r="B31" s="82"/>
      <c r="C31" s="82"/>
      <c r="D31" s="117"/>
      <c r="E31" s="407"/>
      <c r="F31" s="214"/>
    </row>
    <row r="32" spans="1:6" ht="13.8" thickBot="1" x14ac:dyDescent="0.3">
      <c r="A32" s="215" t="s">
        <v>621</v>
      </c>
      <c r="B32" s="82">
        <v>75</v>
      </c>
      <c r="C32" s="82">
        <v>17.100000000000001</v>
      </c>
      <c r="D32" s="117">
        <v>184964</v>
      </c>
      <c r="E32" s="278">
        <f>SUM(E25+E28)</f>
        <v>97</v>
      </c>
      <c r="F32" s="278">
        <f>SUM(F25+F28)</f>
        <v>1.8</v>
      </c>
    </row>
  </sheetData>
  <mergeCells count="4">
    <mergeCell ref="A5:F5"/>
    <mergeCell ref="A9:F9"/>
    <mergeCell ref="E13:F13"/>
    <mergeCell ref="E12:F12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69"/>
  <sheetViews>
    <sheetView view="pageBreakPreview" zoomScaleSheetLayoutView="100" workbookViewId="0">
      <selection activeCell="A4" sqref="A4:N4"/>
    </sheetView>
  </sheetViews>
  <sheetFormatPr defaultRowHeight="13.2" x14ac:dyDescent="0.25"/>
  <cols>
    <col min="1" max="1" width="27" customWidth="1"/>
    <col min="6" max="6" width="9.44140625" customWidth="1"/>
    <col min="8" max="8" width="10.109375" bestFit="1" customWidth="1"/>
    <col min="9" max="9" width="7.109375" bestFit="1" customWidth="1"/>
  </cols>
  <sheetData>
    <row r="1" spans="1:14" x14ac:dyDescent="0.25">
      <c r="A1" s="222"/>
      <c r="B1" s="494" t="s">
        <v>235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3" spans="1:14" x14ac:dyDescent="0.25">
      <c r="A3" s="35"/>
      <c r="B3" s="35"/>
      <c r="C3" s="35"/>
    </row>
    <row r="4" spans="1:14" x14ac:dyDescent="0.25">
      <c r="A4" s="516" t="s">
        <v>686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</row>
    <row r="5" spans="1:14" x14ac:dyDescent="0.25">
      <c r="M5" t="s">
        <v>563</v>
      </c>
    </row>
    <row r="6" spans="1:14" x14ac:dyDescent="0.25">
      <c r="M6" t="s">
        <v>448</v>
      </c>
    </row>
    <row r="7" spans="1:14" x14ac:dyDescent="0.25">
      <c r="A7" s="110"/>
      <c r="B7" s="110"/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</row>
    <row r="8" spans="1:14" x14ac:dyDescent="0.25">
      <c r="A8" s="112"/>
      <c r="B8" s="112" t="s">
        <v>236</v>
      </c>
      <c r="C8" s="223" t="s">
        <v>237</v>
      </c>
      <c r="D8" s="223" t="s">
        <v>238</v>
      </c>
      <c r="E8" s="223" t="s">
        <v>239</v>
      </c>
      <c r="F8" s="223" t="s">
        <v>240</v>
      </c>
      <c r="G8" s="223" t="s">
        <v>241</v>
      </c>
      <c r="H8" s="223" t="s">
        <v>242</v>
      </c>
      <c r="I8" s="223" t="s">
        <v>243</v>
      </c>
      <c r="J8" s="223" t="s">
        <v>244</v>
      </c>
      <c r="K8" s="223" t="s">
        <v>245</v>
      </c>
      <c r="L8" s="223" t="s">
        <v>246</v>
      </c>
      <c r="M8" s="223" t="s">
        <v>247</v>
      </c>
      <c r="N8" s="223" t="s">
        <v>248</v>
      </c>
    </row>
    <row r="9" spans="1:14" x14ac:dyDescent="0.25">
      <c r="A9" s="27" t="s">
        <v>249</v>
      </c>
      <c r="B9" s="111">
        <v>2017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14" x14ac:dyDescent="0.25">
      <c r="A10" s="27" t="s">
        <v>250</v>
      </c>
      <c r="B10" s="81">
        <f t="shared" ref="B10:N10" si="0">SUM(B11,B14)</f>
        <v>191591</v>
      </c>
      <c r="C10" s="81">
        <f t="shared" si="0"/>
        <v>2480.2566666666667</v>
      </c>
      <c r="D10" s="81">
        <f t="shared" si="0"/>
        <v>5915.4266666666663</v>
      </c>
      <c r="E10" s="81">
        <f t="shared" si="0"/>
        <v>18655.716666666667</v>
      </c>
      <c r="F10" s="81">
        <f t="shared" si="0"/>
        <v>10852.426666666666</v>
      </c>
      <c r="G10" s="81">
        <f t="shared" si="0"/>
        <v>37033.256666666668</v>
      </c>
      <c r="H10" s="81">
        <f t="shared" si="0"/>
        <v>4328.916666666667</v>
      </c>
      <c r="I10" s="81">
        <f t="shared" si="0"/>
        <v>43665.416666666664</v>
      </c>
      <c r="J10" s="81">
        <f t="shared" si="0"/>
        <v>7496.6166666666668</v>
      </c>
      <c r="K10" s="81">
        <f t="shared" si="0"/>
        <v>29391.016666666666</v>
      </c>
      <c r="L10" s="81">
        <f t="shared" si="0"/>
        <v>6766.7666666666664</v>
      </c>
      <c r="M10" s="81">
        <f t="shared" si="0"/>
        <v>9467.2566666666662</v>
      </c>
      <c r="N10" s="81">
        <f t="shared" si="0"/>
        <v>15537.926666666666</v>
      </c>
    </row>
    <row r="11" spans="1:14" x14ac:dyDescent="0.25">
      <c r="A11" s="111" t="s">
        <v>251</v>
      </c>
      <c r="B11" s="81">
        <f t="shared" ref="B11:N11" si="1">SUM(B12:B13)</f>
        <v>62114</v>
      </c>
      <c r="C11" s="81">
        <f t="shared" si="1"/>
        <v>2480.2566666666667</v>
      </c>
      <c r="D11" s="81">
        <f t="shared" si="1"/>
        <v>2905.9266666666667</v>
      </c>
      <c r="E11" s="81">
        <f t="shared" si="1"/>
        <v>18655.716666666667</v>
      </c>
      <c r="F11" s="81">
        <f t="shared" si="1"/>
        <v>2905.9266666666667</v>
      </c>
      <c r="G11" s="81">
        <f t="shared" si="1"/>
        <v>2480.2566666666667</v>
      </c>
      <c r="H11" s="81">
        <f t="shared" si="1"/>
        <v>1628.9166666666667</v>
      </c>
      <c r="I11" s="81">
        <f t="shared" si="1"/>
        <v>1628.9166666666667</v>
      </c>
      <c r="J11" s="81">
        <f t="shared" si="1"/>
        <v>5885.6166666666668</v>
      </c>
      <c r="K11" s="81">
        <f t="shared" si="1"/>
        <v>14399.016666666666</v>
      </c>
      <c r="L11" s="81">
        <f t="shared" si="1"/>
        <v>3757.2666666666664</v>
      </c>
      <c r="M11" s="81">
        <f t="shared" si="1"/>
        <v>2480.2566666666667</v>
      </c>
      <c r="N11" s="81">
        <f t="shared" si="1"/>
        <v>2905.9266666666667</v>
      </c>
    </row>
    <row r="12" spans="1:14" x14ac:dyDescent="0.25">
      <c r="A12" s="111" t="s">
        <v>252</v>
      </c>
      <c r="B12" s="224">
        <v>42567</v>
      </c>
      <c r="C12" s="113">
        <f>$B$12*0.02</f>
        <v>851.34</v>
      </c>
      <c r="D12" s="113">
        <f>$B$12*0.03</f>
        <v>1277.01</v>
      </c>
      <c r="E12" s="113">
        <f>$B$12*0.4</f>
        <v>17026.8</v>
      </c>
      <c r="F12" s="113">
        <f>$B$12*0.03</f>
        <v>1277.01</v>
      </c>
      <c r="G12" s="113">
        <f>$B$12*0.02</f>
        <v>851.34</v>
      </c>
      <c r="H12" s="113"/>
      <c r="I12" s="113"/>
      <c r="J12" s="113">
        <f>$B$12*0.1</f>
        <v>4256.7</v>
      </c>
      <c r="K12" s="113">
        <f>$B$12*0.3</f>
        <v>12770.1</v>
      </c>
      <c r="L12" s="113">
        <f>$B$12*0.05</f>
        <v>2128.35</v>
      </c>
      <c r="M12" s="113">
        <f>$B$12*0.02</f>
        <v>851.34</v>
      </c>
      <c r="N12" s="113">
        <f>$B$12*0.03</f>
        <v>1277.01</v>
      </c>
    </row>
    <row r="13" spans="1:14" x14ac:dyDescent="0.25">
      <c r="A13" s="111" t="s">
        <v>253</v>
      </c>
      <c r="B13" s="224">
        <v>19547</v>
      </c>
      <c r="C13" s="113">
        <f>$B$13/12</f>
        <v>1628.9166666666667</v>
      </c>
      <c r="D13" s="113">
        <f t="shared" ref="D13:N13" si="2">$B$13/12</f>
        <v>1628.9166666666667</v>
      </c>
      <c r="E13" s="113">
        <f t="shared" si="2"/>
        <v>1628.9166666666667</v>
      </c>
      <c r="F13" s="113">
        <f t="shared" si="2"/>
        <v>1628.9166666666667</v>
      </c>
      <c r="G13" s="113">
        <f t="shared" si="2"/>
        <v>1628.9166666666667</v>
      </c>
      <c r="H13" s="113">
        <f t="shared" si="2"/>
        <v>1628.9166666666667</v>
      </c>
      <c r="I13" s="113">
        <f t="shared" si="2"/>
        <v>1628.9166666666667</v>
      </c>
      <c r="J13" s="113">
        <f t="shared" si="2"/>
        <v>1628.9166666666667</v>
      </c>
      <c r="K13" s="113">
        <f t="shared" si="2"/>
        <v>1628.9166666666667</v>
      </c>
      <c r="L13" s="113">
        <f t="shared" si="2"/>
        <v>1628.9166666666667</v>
      </c>
      <c r="M13" s="113">
        <f t="shared" si="2"/>
        <v>1628.9166666666667</v>
      </c>
      <c r="N13" s="113">
        <f t="shared" si="2"/>
        <v>1628.9166666666667</v>
      </c>
    </row>
    <row r="14" spans="1:14" x14ac:dyDescent="0.25">
      <c r="A14" s="111" t="s">
        <v>254</v>
      </c>
      <c r="B14" s="81">
        <f>SUM(B15:B17)</f>
        <v>129477</v>
      </c>
      <c r="C14" s="81">
        <f t="shared" ref="C14:N14" si="3">SUM(C15:C16)</f>
        <v>0</v>
      </c>
      <c r="D14" s="81">
        <f t="shared" si="3"/>
        <v>3009.5</v>
      </c>
      <c r="E14" s="81">
        <f t="shared" si="3"/>
        <v>0</v>
      </c>
      <c r="F14" s="81">
        <f t="shared" si="3"/>
        <v>7946.5</v>
      </c>
      <c r="G14" s="81">
        <f>SUM(G15:G16)</f>
        <v>34553</v>
      </c>
      <c r="H14" s="81">
        <f>SUM(H15:H16)</f>
        <v>2700</v>
      </c>
      <c r="I14" s="81">
        <f>SUM(I15:I16)</f>
        <v>42036.5</v>
      </c>
      <c r="J14" s="81">
        <f t="shared" si="3"/>
        <v>1611</v>
      </c>
      <c r="K14" s="81">
        <f t="shared" si="3"/>
        <v>14992</v>
      </c>
      <c r="L14" s="81">
        <f t="shared" si="3"/>
        <v>3009.5</v>
      </c>
      <c r="M14" s="81">
        <f>SUM(M15:M17)</f>
        <v>6987</v>
      </c>
      <c r="N14" s="81">
        <f t="shared" si="3"/>
        <v>12632</v>
      </c>
    </row>
    <row r="15" spans="1:14" x14ac:dyDescent="0.25">
      <c r="A15" s="111" t="s">
        <v>406</v>
      </c>
      <c r="B15" s="224">
        <v>12038</v>
      </c>
      <c r="C15" s="113"/>
      <c r="D15" s="113">
        <f>B15/4</f>
        <v>3009.5</v>
      </c>
      <c r="E15" s="113"/>
      <c r="F15" s="113">
        <f>B15/4</f>
        <v>3009.5</v>
      </c>
      <c r="G15" s="113"/>
      <c r="H15" s="113"/>
      <c r="I15" s="113">
        <f>B15/4</f>
        <v>3009.5</v>
      </c>
      <c r="J15" s="113"/>
      <c r="K15" s="113"/>
      <c r="L15" s="113">
        <f>B15/4</f>
        <v>3009.5</v>
      </c>
      <c r="M15" s="113"/>
      <c r="N15" s="113"/>
    </row>
    <row r="16" spans="1:14" x14ac:dyDescent="0.25">
      <c r="A16" s="111" t="s">
        <v>606</v>
      </c>
      <c r="B16" s="224">
        <f>SUM(C16:N16)</f>
        <v>117438</v>
      </c>
      <c r="C16" s="113"/>
      <c r="D16" s="113"/>
      <c r="E16" s="113"/>
      <c r="F16" s="113">
        <v>4937</v>
      </c>
      <c r="G16" s="113">
        <f>32553+2000</f>
        <v>34553</v>
      </c>
      <c r="H16" s="113">
        <v>2700</v>
      </c>
      <c r="I16" s="113">
        <v>39027</v>
      </c>
      <c r="J16" s="113">
        <v>1611</v>
      </c>
      <c r="K16" s="113">
        <v>14992</v>
      </c>
      <c r="L16" s="113"/>
      <c r="M16" s="113">
        <f>3811+3175</f>
        <v>6986</v>
      </c>
      <c r="N16" s="113">
        <v>12632</v>
      </c>
    </row>
    <row r="17" spans="1:14" x14ac:dyDescent="0.25">
      <c r="A17" s="111" t="s">
        <v>674</v>
      </c>
      <c r="B17" s="224">
        <v>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>
        <v>1</v>
      </c>
      <c r="N17" s="113"/>
    </row>
    <row r="18" spans="1:14" x14ac:dyDescent="0.25">
      <c r="A18" s="27" t="s">
        <v>255</v>
      </c>
      <c r="B18" s="81">
        <f>SUM(B19:B20)</f>
        <v>203825</v>
      </c>
      <c r="C18" s="81">
        <f t="shared" ref="C18:M18" si="4">SUM(C19:C19)</f>
        <v>16261.583333333334</v>
      </c>
      <c r="D18" s="81">
        <f t="shared" si="4"/>
        <v>16261.583333333334</v>
      </c>
      <c r="E18" s="81">
        <f t="shared" si="4"/>
        <v>16261.583333333334</v>
      </c>
      <c r="F18" s="81">
        <f t="shared" si="4"/>
        <v>16261.583333333334</v>
      </c>
      <c r="G18" s="81">
        <f t="shared" si="4"/>
        <v>16261.583333333334</v>
      </c>
      <c r="H18" s="81">
        <f t="shared" si="4"/>
        <v>16261.583333333334</v>
      </c>
      <c r="I18" s="81">
        <f t="shared" si="4"/>
        <v>16261.583333333334</v>
      </c>
      <c r="J18" s="81">
        <f t="shared" si="4"/>
        <v>16261.583333333334</v>
      </c>
      <c r="K18" s="81">
        <f t="shared" si="4"/>
        <v>16261.583333333334</v>
      </c>
      <c r="L18" s="81">
        <f t="shared" si="4"/>
        <v>16261.583333333334</v>
      </c>
      <c r="M18" s="81">
        <f t="shared" si="4"/>
        <v>16261.583333333334</v>
      </c>
      <c r="N18" s="81">
        <f>SUM(N19:N20)</f>
        <v>24947.583333333336</v>
      </c>
    </row>
    <row r="19" spans="1:14" x14ac:dyDescent="0.25">
      <c r="A19" s="111" t="s">
        <v>407</v>
      </c>
      <c r="B19" s="224">
        <v>195139</v>
      </c>
      <c r="C19" s="113">
        <f>$B$19/12</f>
        <v>16261.583333333334</v>
      </c>
      <c r="D19" s="113">
        <f t="shared" ref="D19:N19" si="5">$B$19/12</f>
        <v>16261.583333333334</v>
      </c>
      <c r="E19" s="113">
        <f t="shared" si="5"/>
        <v>16261.583333333334</v>
      </c>
      <c r="F19" s="113">
        <f t="shared" si="5"/>
        <v>16261.583333333334</v>
      </c>
      <c r="G19" s="113">
        <f t="shared" si="5"/>
        <v>16261.583333333334</v>
      </c>
      <c r="H19" s="113">
        <f t="shared" si="5"/>
        <v>16261.583333333334</v>
      </c>
      <c r="I19" s="113">
        <f t="shared" si="5"/>
        <v>16261.583333333334</v>
      </c>
      <c r="J19" s="113">
        <f t="shared" si="5"/>
        <v>16261.583333333334</v>
      </c>
      <c r="K19" s="113">
        <f t="shared" si="5"/>
        <v>16261.583333333334</v>
      </c>
      <c r="L19" s="113">
        <f t="shared" si="5"/>
        <v>16261.583333333334</v>
      </c>
      <c r="M19" s="113">
        <f t="shared" si="5"/>
        <v>16261.583333333334</v>
      </c>
      <c r="N19" s="113">
        <f t="shared" si="5"/>
        <v>16261.583333333334</v>
      </c>
    </row>
    <row r="20" spans="1:14" x14ac:dyDescent="0.25">
      <c r="A20" s="111" t="s">
        <v>675</v>
      </c>
      <c r="B20" s="224">
        <v>8686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>
        <v>8686</v>
      </c>
    </row>
    <row r="21" spans="1:14" x14ac:dyDescent="0.25">
      <c r="A21" s="27" t="s">
        <v>256</v>
      </c>
      <c r="B21" s="81">
        <f t="shared" ref="B21:N21" si="6">SUM(B22:B23)</f>
        <v>125296</v>
      </c>
      <c r="C21" s="81">
        <f t="shared" si="6"/>
        <v>10257</v>
      </c>
      <c r="D21" s="81">
        <f t="shared" si="6"/>
        <v>10287</v>
      </c>
      <c r="E21" s="81">
        <f t="shared" si="6"/>
        <v>12355</v>
      </c>
      <c r="F21" s="81">
        <f t="shared" si="6"/>
        <v>10257</v>
      </c>
      <c r="G21" s="81">
        <f t="shared" si="6"/>
        <v>10257</v>
      </c>
      <c r="H21" s="81">
        <f t="shared" si="6"/>
        <v>10257</v>
      </c>
      <c r="I21" s="81">
        <f t="shared" si="6"/>
        <v>10257</v>
      </c>
      <c r="J21" s="81">
        <f t="shared" si="6"/>
        <v>10257</v>
      </c>
      <c r="K21" s="81">
        <f t="shared" si="6"/>
        <v>10257</v>
      </c>
      <c r="L21" s="81">
        <f t="shared" si="6"/>
        <v>10284</v>
      </c>
      <c r="M21" s="81">
        <f t="shared" si="6"/>
        <v>10314</v>
      </c>
      <c r="N21" s="81">
        <f t="shared" si="6"/>
        <v>10257</v>
      </c>
    </row>
    <row r="22" spans="1:14" x14ac:dyDescent="0.25">
      <c r="A22" s="111" t="s">
        <v>257</v>
      </c>
      <c r="B22" s="224">
        <v>123084</v>
      </c>
      <c r="C22" s="113">
        <f>$B$22/12</f>
        <v>10257</v>
      </c>
      <c r="D22" s="113">
        <f t="shared" ref="D22:N22" si="7">$B$22/12</f>
        <v>10257</v>
      </c>
      <c r="E22" s="113">
        <f t="shared" si="7"/>
        <v>10257</v>
      </c>
      <c r="F22" s="113">
        <f t="shared" si="7"/>
        <v>10257</v>
      </c>
      <c r="G22" s="113">
        <f t="shared" si="7"/>
        <v>10257</v>
      </c>
      <c r="H22" s="113">
        <f t="shared" si="7"/>
        <v>10257</v>
      </c>
      <c r="I22" s="113">
        <f t="shared" si="7"/>
        <v>10257</v>
      </c>
      <c r="J22" s="113">
        <f t="shared" si="7"/>
        <v>10257</v>
      </c>
      <c r="K22" s="113">
        <f t="shared" si="7"/>
        <v>10257</v>
      </c>
      <c r="L22" s="113">
        <f t="shared" si="7"/>
        <v>10257</v>
      </c>
      <c r="M22" s="113">
        <f t="shared" si="7"/>
        <v>10257</v>
      </c>
      <c r="N22" s="113">
        <f t="shared" si="7"/>
        <v>10257</v>
      </c>
    </row>
    <row r="23" spans="1:14" x14ac:dyDescent="0.25">
      <c r="A23" s="111" t="s">
        <v>408</v>
      </c>
      <c r="B23" s="224">
        <v>2212</v>
      </c>
      <c r="C23" s="113"/>
      <c r="D23" s="113">
        <v>30</v>
      </c>
      <c r="E23" s="113">
        <v>2098</v>
      </c>
      <c r="I23" s="113"/>
      <c r="J23" s="113"/>
      <c r="K23" s="113"/>
      <c r="L23" s="113">
        <v>27</v>
      </c>
      <c r="M23" s="113">
        <v>57</v>
      </c>
      <c r="N23" s="113"/>
    </row>
    <row r="24" spans="1:14" x14ac:dyDescent="0.25">
      <c r="A24" s="27" t="s">
        <v>258</v>
      </c>
      <c r="B24" s="81">
        <f>421+1537</f>
        <v>1958</v>
      </c>
      <c r="C24" s="95">
        <f>$B$24/12</f>
        <v>163.16666666666666</v>
      </c>
      <c r="D24" s="95">
        <f t="shared" ref="D24:N24" si="8">$B$24/12</f>
        <v>163.16666666666666</v>
      </c>
      <c r="E24" s="95">
        <f t="shared" si="8"/>
        <v>163.16666666666666</v>
      </c>
      <c r="F24" s="95">
        <f t="shared" si="8"/>
        <v>163.16666666666666</v>
      </c>
      <c r="G24" s="95">
        <f t="shared" si="8"/>
        <v>163.16666666666666</v>
      </c>
      <c r="H24" s="95">
        <f t="shared" si="8"/>
        <v>163.16666666666666</v>
      </c>
      <c r="I24" s="95">
        <f t="shared" si="8"/>
        <v>163.16666666666666</v>
      </c>
      <c r="J24" s="95">
        <f t="shared" si="8"/>
        <v>163.16666666666666</v>
      </c>
      <c r="K24" s="95">
        <f t="shared" si="8"/>
        <v>163.16666666666666</v>
      </c>
      <c r="L24" s="95">
        <f t="shared" si="8"/>
        <v>163.16666666666666</v>
      </c>
      <c r="M24" s="95">
        <f t="shared" si="8"/>
        <v>163.16666666666666</v>
      </c>
      <c r="N24" s="95">
        <f t="shared" si="8"/>
        <v>163.16666666666666</v>
      </c>
    </row>
    <row r="25" spans="1:14" x14ac:dyDescent="0.25">
      <c r="A25" s="108" t="s">
        <v>259</v>
      </c>
      <c r="B25" s="226"/>
      <c r="C25" s="227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25">
      <c r="A26" s="228" t="s">
        <v>260</v>
      </c>
      <c r="B26" s="49">
        <f>SUM(B10,B18,B21,B24)</f>
        <v>522670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4" x14ac:dyDescent="0.25">
      <c r="A27" s="229" t="s">
        <v>261</v>
      </c>
      <c r="B27" s="89"/>
      <c r="C27" s="230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ht="13.8" thickBot="1" x14ac:dyDescent="0.3">
      <c r="A28" s="231" t="s">
        <v>262</v>
      </c>
      <c r="B28" s="232">
        <v>68118</v>
      </c>
      <c r="C28" s="233">
        <f>$B$28/12</f>
        <v>5676.5</v>
      </c>
      <c r="D28" s="233">
        <f t="shared" ref="D28:M28" si="9">$B$28/12</f>
        <v>5676.5</v>
      </c>
      <c r="E28" s="233">
        <f t="shared" si="9"/>
        <v>5676.5</v>
      </c>
      <c r="F28" s="233">
        <f t="shared" si="9"/>
        <v>5676.5</v>
      </c>
      <c r="G28" s="233">
        <f t="shared" si="9"/>
        <v>5676.5</v>
      </c>
      <c r="H28" s="233">
        <f t="shared" si="9"/>
        <v>5676.5</v>
      </c>
      <c r="I28" s="233">
        <f t="shared" si="9"/>
        <v>5676.5</v>
      </c>
      <c r="J28" s="233">
        <f t="shared" si="9"/>
        <v>5676.5</v>
      </c>
      <c r="K28" s="233">
        <f t="shared" si="9"/>
        <v>5676.5</v>
      </c>
      <c r="L28" s="233">
        <v>1140</v>
      </c>
      <c r="M28" s="233">
        <f t="shared" si="9"/>
        <v>5676.5</v>
      </c>
      <c r="N28" s="233">
        <v>7140</v>
      </c>
    </row>
    <row r="29" spans="1:14" x14ac:dyDescent="0.25">
      <c r="A29" s="234" t="s">
        <v>263</v>
      </c>
      <c r="B29" s="235"/>
      <c r="C29" s="236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335"/>
    </row>
    <row r="30" spans="1:14" ht="13.8" thickBot="1" x14ac:dyDescent="0.3">
      <c r="A30" s="239" t="s">
        <v>264</v>
      </c>
      <c r="B30" s="240">
        <f>SUM(B26,B28)</f>
        <v>590788</v>
      </c>
      <c r="C30" s="240">
        <f t="shared" ref="C30:N30" si="10">SUM(C10,C18,C21,C24,C28)</f>
        <v>34838.506666666668</v>
      </c>
      <c r="D30" s="240">
        <f t="shared" si="10"/>
        <v>38303.676666666666</v>
      </c>
      <c r="E30" s="240">
        <f t="shared" si="10"/>
        <v>53111.966666666667</v>
      </c>
      <c r="F30" s="240">
        <f t="shared" si="10"/>
        <v>43210.676666666666</v>
      </c>
      <c r="G30" s="240">
        <f t="shared" si="10"/>
        <v>69391.506666666668</v>
      </c>
      <c r="H30" s="240">
        <f t="shared" si="10"/>
        <v>36687.166666666672</v>
      </c>
      <c r="I30" s="240">
        <f t="shared" si="10"/>
        <v>76023.666666666672</v>
      </c>
      <c r="J30" s="240">
        <f t="shared" si="10"/>
        <v>39854.866666666661</v>
      </c>
      <c r="K30" s="240">
        <f t="shared" si="10"/>
        <v>61749.266666666663</v>
      </c>
      <c r="L30" s="240">
        <f t="shared" si="10"/>
        <v>34615.516666666663</v>
      </c>
      <c r="M30" s="240">
        <f t="shared" si="10"/>
        <v>41882.506666666661</v>
      </c>
      <c r="N30" s="336">
        <f t="shared" si="10"/>
        <v>58045.676666666666</v>
      </c>
    </row>
    <row r="31" spans="1:14" x14ac:dyDescent="0.25"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</row>
    <row r="32" spans="1:14" x14ac:dyDescent="0.25"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</row>
    <row r="33" spans="1:15" x14ac:dyDescent="0.25"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</row>
    <row r="34" spans="1:15" x14ac:dyDescent="0.25"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</row>
    <row r="35" spans="1:15" x14ac:dyDescent="0.25">
      <c r="A35" s="110"/>
      <c r="B35" s="242"/>
      <c r="C35" s="225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337"/>
    </row>
    <row r="36" spans="1:15" x14ac:dyDescent="0.25">
      <c r="A36" s="112"/>
      <c r="B36" s="112" t="s">
        <v>605</v>
      </c>
      <c r="C36" s="21" t="s">
        <v>237</v>
      </c>
      <c r="D36" s="21" t="s">
        <v>238</v>
      </c>
      <c r="E36" s="21" t="s">
        <v>239</v>
      </c>
      <c r="F36" s="21" t="s">
        <v>240</v>
      </c>
      <c r="G36" s="21" t="s">
        <v>241</v>
      </c>
      <c r="H36" s="21" t="s">
        <v>242</v>
      </c>
      <c r="I36" s="21" t="s">
        <v>243</v>
      </c>
      <c r="J36" s="21" t="s">
        <v>244</v>
      </c>
      <c r="K36" s="21" t="s">
        <v>245</v>
      </c>
      <c r="L36" s="21" t="s">
        <v>246</v>
      </c>
      <c r="M36" s="21" t="s">
        <v>265</v>
      </c>
      <c r="N36" s="21" t="s">
        <v>248</v>
      </c>
    </row>
    <row r="37" spans="1:15" x14ac:dyDescent="0.25">
      <c r="A37" s="27" t="s">
        <v>266</v>
      </c>
      <c r="B37" s="111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</row>
    <row r="38" spans="1:15" x14ac:dyDescent="0.25">
      <c r="A38" s="27" t="s">
        <v>267</v>
      </c>
      <c r="B38" s="81">
        <f>SUM(C38:N38)</f>
        <v>197131.00000000003</v>
      </c>
      <c r="C38" s="81">
        <f t="shared" ref="C38:N38" si="11">SUM(C39:C42)</f>
        <v>16427.583333333332</v>
      </c>
      <c r="D38" s="81">
        <f t="shared" si="11"/>
        <v>16427.583333333332</v>
      </c>
      <c r="E38" s="81">
        <f t="shared" si="11"/>
        <v>16427.583333333332</v>
      </c>
      <c r="F38" s="81">
        <f t="shared" si="11"/>
        <v>16427.583333333332</v>
      </c>
      <c r="G38" s="81">
        <f t="shared" si="11"/>
        <v>16427.583333333332</v>
      </c>
      <c r="H38" s="81">
        <f t="shared" si="11"/>
        <v>16427.583333333332</v>
      </c>
      <c r="I38" s="81">
        <f t="shared" si="11"/>
        <v>16427.583333333332</v>
      </c>
      <c r="J38" s="81">
        <f t="shared" si="11"/>
        <v>16427.583333333332</v>
      </c>
      <c r="K38" s="81">
        <f t="shared" si="11"/>
        <v>16427.583333333332</v>
      </c>
      <c r="L38" s="81">
        <f t="shared" si="11"/>
        <v>16427.583333333332</v>
      </c>
      <c r="M38" s="81">
        <f t="shared" si="11"/>
        <v>16427.583333333332</v>
      </c>
      <c r="N38" s="81">
        <f t="shared" si="11"/>
        <v>16427.583333333332</v>
      </c>
    </row>
    <row r="39" spans="1:15" x14ac:dyDescent="0.25">
      <c r="A39" s="111" t="s">
        <v>268</v>
      </c>
      <c r="B39" s="48">
        <v>104753</v>
      </c>
      <c r="C39" s="113">
        <f>$B$39/12</f>
        <v>8729.4166666666661</v>
      </c>
      <c r="D39" s="113">
        <f t="shared" ref="D39:N39" si="12">$B$39/12</f>
        <v>8729.4166666666661</v>
      </c>
      <c r="E39" s="113">
        <f t="shared" si="12"/>
        <v>8729.4166666666661</v>
      </c>
      <c r="F39" s="113">
        <f t="shared" si="12"/>
        <v>8729.4166666666661</v>
      </c>
      <c r="G39" s="113">
        <f t="shared" si="12"/>
        <v>8729.4166666666661</v>
      </c>
      <c r="H39" s="113">
        <f t="shared" si="12"/>
        <v>8729.4166666666661</v>
      </c>
      <c r="I39" s="113">
        <f t="shared" si="12"/>
        <v>8729.4166666666661</v>
      </c>
      <c r="J39" s="113">
        <f t="shared" si="12"/>
        <v>8729.4166666666661</v>
      </c>
      <c r="K39" s="113">
        <f t="shared" si="12"/>
        <v>8729.4166666666661</v>
      </c>
      <c r="L39" s="113">
        <f t="shared" si="12"/>
        <v>8729.4166666666661</v>
      </c>
      <c r="M39" s="113">
        <f t="shared" si="12"/>
        <v>8729.4166666666661</v>
      </c>
      <c r="N39" s="113">
        <f t="shared" si="12"/>
        <v>8729.4166666666661</v>
      </c>
    </row>
    <row r="40" spans="1:15" x14ac:dyDescent="0.25">
      <c r="A40" s="111" t="s">
        <v>269</v>
      </c>
      <c r="B40" s="48">
        <v>15077</v>
      </c>
      <c r="C40" s="113">
        <f>$B$40/12</f>
        <v>1256.4166666666667</v>
      </c>
      <c r="D40" s="113">
        <f t="shared" ref="D40:N40" si="13">$B$40/12</f>
        <v>1256.4166666666667</v>
      </c>
      <c r="E40" s="113">
        <f t="shared" si="13"/>
        <v>1256.4166666666667</v>
      </c>
      <c r="F40" s="113">
        <f t="shared" si="13"/>
        <v>1256.4166666666667</v>
      </c>
      <c r="G40" s="113">
        <f t="shared" si="13"/>
        <v>1256.4166666666667</v>
      </c>
      <c r="H40" s="113">
        <f t="shared" si="13"/>
        <v>1256.4166666666667</v>
      </c>
      <c r="I40" s="113">
        <f t="shared" si="13"/>
        <v>1256.4166666666667</v>
      </c>
      <c r="J40" s="113">
        <f t="shared" si="13"/>
        <v>1256.4166666666667</v>
      </c>
      <c r="K40" s="113">
        <f t="shared" si="13"/>
        <v>1256.4166666666667</v>
      </c>
      <c r="L40" s="113">
        <f t="shared" si="13"/>
        <v>1256.4166666666667</v>
      </c>
      <c r="M40" s="113">
        <f t="shared" si="13"/>
        <v>1256.4166666666667</v>
      </c>
      <c r="N40" s="113">
        <f t="shared" si="13"/>
        <v>1256.4166666666667</v>
      </c>
    </row>
    <row r="41" spans="1:15" x14ac:dyDescent="0.25">
      <c r="A41" s="111" t="s">
        <v>270</v>
      </c>
      <c r="B41" s="48">
        <v>63793</v>
      </c>
      <c r="C41" s="113">
        <f>$B$41/12</f>
        <v>5316.083333333333</v>
      </c>
      <c r="D41" s="113">
        <f t="shared" ref="D41:N41" si="14">$B$41/12</f>
        <v>5316.083333333333</v>
      </c>
      <c r="E41" s="113">
        <f t="shared" si="14"/>
        <v>5316.083333333333</v>
      </c>
      <c r="F41" s="113">
        <f t="shared" si="14"/>
        <v>5316.083333333333</v>
      </c>
      <c r="G41" s="113">
        <f t="shared" si="14"/>
        <v>5316.083333333333</v>
      </c>
      <c r="H41" s="113">
        <f t="shared" si="14"/>
        <v>5316.083333333333</v>
      </c>
      <c r="I41" s="113">
        <f t="shared" si="14"/>
        <v>5316.083333333333</v>
      </c>
      <c r="J41" s="113">
        <f t="shared" si="14"/>
        <v>5316.083333333333</v>
      </c>
      <c r="K41" s="113">
        <f t="shared" si="14"/>
        <v>5316.083333333333</v>
      </c>
      <c r="L41" s="113">
        <f t="shared" si="14"/>
        <v>5316.083333333333</v>
      </c>
      <c r="M41" s="113">
        <f t="shared" si="14"/>
        <v>5316.083333333333</v>
      </c>
      <c r="N41" s="113">
        <f t="shared" si="14"/>
        <v>5316.083333333333</v>
      </c>
    </row>
    <row r="42" spans="1:15" x14ac:dyDescent="0.25">
      <c r="A42" s="111" t="s">
        <v>271</v>
      </c>
      <c r="B42" s="48">
        <v>13508</v>
      </c>
      <c r="C42" s="113">
        <f>$B$42/12</f>
        <v>1125.6666666666667</v>
      </c>
      <c r="D42" s="113">
        <f t="shared" ref="D42:N42" si="15">$B$42/12</f>
        <v>1125.6666666666667</v>
      </c>
      <c r="E42" s="113">
        <f t="shared" si="15"/>
        <v>1125.6666666666667</v>
      </c>
      <c r="F42" s="113">
        <f t="shared" si="15"/>
        <v>1125.6666666666667</v>
      </c>
      <c r="G42" s="113">
        <f t="shared" si="15"/>
        <v>1125.6666666666667</v>
      </c>
      <c r="H42" s="113">
        <f t="shared" si="15"/>
        <v>1125.6666666666667</v>
      </c>
      <c r="I42" s="113">
        <f t="shared" si="15"/>
        <v>1125.6666666666667</v>
      </c>
      <c r="J42" s="113">
        <f t="shared" si="15"/>
        <v>1125.6666666666667</v>
      </c>
      <c r="K42" s="113">
        <f t="shared" si="15"/>
        <v>1125.6666666666667</v>
      </c>
      <c r="L42" s="113">
        <f t="shared" si="15"/>
        <v>1125.6666666666667</v>
      </c>
      <c r="M42" s="113">
        <f t="shared" si="15"/>
        <v>1125.6666666666667</v>
      </c>
      <c r="N42" s="113">
        <f t="shared" si="15"/>
        <v>1125.6666666666667</v>
      </c>
    </row>
    <row r="43" spans="1:15" x14ac:dyDescent="0.25">
      <c r="A43" s="82" t="s">
        <v>272</v>
      </c>
      <c r="B43" s="81">
        <f t="shared" ref="B43:N43" si="16">SUM(B44:B45)</f>
        <v>102375</v>
      </c>
      <c r="C43" s="81">
        <f t="shared" si="16"/>
        <v>2000</v>
      </c>
      <c r="D43" s="81">
        <f t="shared" si="16"/>
        <v>1950</v>
      </c>
      <c r="E43" s="81">
        <f t="shared" si="16"/>
        <v>1114</v>
      </c>
      <c r="F43" s="81">
        <f t="shared" si="16"/>
        <v>0</v>
      </c>
      <c r="G43" s="81">
        <f t="shared" si="16"/>
        <v>15306</v>
      </c>
      <c r="H43" s="81">
        <f t="shared" si="16"/>
        <v>13356</v>
      </c>
      <c r="I43" s="81">
        <f t="shared" si="16"/>
        <v>13932</v>
      </c>
      <c r="J43" s="81">
        <f t="shared" si="16"/>
        <v>4490</v>
      </c>
      <c r="K43" s="81">
        <f t="shared" si="16"/>
        <v>5620</v>
      </c>
      <c r="L43" s="81">
        <f t="shared" si="16"/>
        <v>35672</v>
      </c>
      <c r="M43" s="81">
        <f t="shared" si="16"/>
        <v>2687</v>
      </c>
      <c r="N43" s="81">
        <f t="shared" si="16"/>
        <v>6248</v>
      </c>
    </row>
    <row r="44" spans="1:15" x14ac:dyDescent="0.25">
      <c r="A44" s="111" t="s">
        <v>273</v>
      </c>
      <c r="B44" s="224">
        <f>SUM(C44:N44)</f>
        <v>48707</v>
      </c>
      <c r="C44" s="113">
        <v>2000</v>
      </c>
      <c r="D44" s="113">
        <v>1950</v>
      </c>
      <c r="E44" s="113">
        <v>1000</v>
      </c>
      <c r="F44" s="113"/>
      <c r="G44" s="113">
        <v>1950</v>
      </c>
      <c r="H44" s="113"/>
      <c r="I44" s="113">
        <v>575</v>
      </c>
      <c r="J44" s="113">
        <v>1950</v>
      </c>
      <c r="K44" s="113">
        <v>1660</v>
      </c>
      <c r="L44" s="113">
        <v>35672</v>
      </c>
      <c r="M44" s="113">
        <v>1950</v>
      </c>
      <c r="N44" s="113"/>
    </row>
    <row r="45" spans="1:15" x14ac:dyDescent="0.25">
      <c r="A45" s="111" t="s">
        <v>274</v>
      </c>
      <c r="B45" s="224">
        <f>SUM(C45:N45)</f>
        <v>53668</v>
      </c>
      <c r="C45" s="113"/>
      <c r="D45" s="113"/>
      <c r="E45" s="113">
        <v>114</v>
      </c>
      <c r="F45" s="113"/>
      <c r="G45" s="113">
        <v>13356</v>
      </c>
      <c r="H45" s="113">
        <v>13356</v>
      </c>
      <c r="I45" s="113">
        <v>13357</v>
      </c>
      <c r="J45" s="113">
        <v>2540</v>
      </c>
      <c r="K45" s="113">
        <f>4074-114</f>
        <v>3960</v>
      </c>
      <c r="L45" s="113"/>
      <c r="M45" s="113">
        <v>737</v>
      </c>
      <c r="N45" s="113">
        <v>6248</v>
      </c>
      <c r="O45" s="313"/>
    </row>
    <row r="46" spans="1:15" x14ac:dyDescent="0.25">
      <c r="A46" s="82" t="s">
        <v>22</v>
      </c>
      <c r="B46" s="81">
        <f>E46+F46</f>
        <v>2899</v>
      </c>
      <c r="C46" s="113"/>
      <c r="D46" s="113"/>
      <c r="E46" s="113">
        <v>801</v>
      </c>
      <c r="F46" s="113">
        <v>2098</v>
      </c>
      <c r="G46" s="113"/>
      <c r="H46" s="113"/>
      <c r="I46" s="113"/>
      <c r="J46" s="113"/>
      <c r="K46" s="113"/>
      <c r="L46" s="113"/>
      <c r="M46" s="113"/>
      <c r="N46" s="113" t="s">
        <v>676</v>
      </c>
    </row>
    <row r="47" spans="1:15" x14ac:dyDescent="0.25">
      <c r="A47" s="82" t="s">
        <v>23</v>
      </c>
      <c r="B47" s="81">
        <f>SUM(C47:N47)</f>
        <v>184330</v>
      </c>
      <c r="C47" s="81">
        <f t="shared" ref="C47:N47" si="17">SUM(C48:C49)</f>
        <v>15360.833333333332</v>
      </c>
      <c r="D47" s="81">
        <f t="shared" si="17"/>
        <v>15360.833333333332</v>
      </c>
      <c r="E47" s="81">
        <f t="shared" si="17"/>
        <v>15360.833333333332</v>
      </c>
      <c r="F47" s="81">
        <f t="shared" si="17"/>
        <v>15360.833333333332</v>
      </c>
      <c r="G47" s="81">
        <f t="shared" si="17"/>
        <v>15360.833333333332</v>
      </c>
      <c r="H47" s="81">
        <f t="shared" si="17"/>
        <v>15360.833333333332</v>
      </c>
      <c r="I47" s="81">
        <f t="shared" si="17"/>
        <v>15360.833333333332</v>
      </c>
      <c r="J47" s="81">
        <f t="shared" si="17"/>
        <v>15360.833333333332</v>
      </c>
      <c r="K47" s="81">
        <f t="shared" si="17"/>
        <v>15360.833333333332</v>
      </c>
      <c r="L47" s="81">
        <f t="shared" si="17"/>
        <v>15360.833333333332</v>
      </c>
      <c r="M47" s="81">
        <f t="shared" si="17"/>
        <v>15360.833333333332</v>
      </c>
      <c r="N47" s="81">
        <f t="shared" si="17"/>
        <v>15360.833333333332</v>
      </c>
    </row>
    <row r="48" spans="1:15" x14ac:dyDescent="0.25">
      <c r="A48" s="18" t="s">
        <v>275</v>
      </c>
      <c r="B48" s="224">
        <f>87588+7333</f>
        <v>94921</v>
      </c>
      <c r="C48" s="113">
        <f>$B$48/12</f>
        <v>7910.083333333333</v>
      </c>
      <c r="D48" s="113">
        <f t="shared" ref="D48:N48" si="18">$B$48/12</f>
        <v>7910.083333333333</v>
      </c>
      <c r="E48" s="113">
        <f t="shared" si="18"/>
        <v>7910.083333333333</v>
      </c>
      <c r="F48" s="113">
        <f t="shared" si="18"/>
        <v>7910.083333333333</v>
      </c>
      <c r="G48" s="113">
        <f t="shared" si="18"/>
        <v>7910.083333333333</v>
      </c>
      <c r="H48" s="113">
        <f t="shared" si="18"/>
        <v>7910.083333333333</v>
      </c>
      <c r="I48" s="113">
        <f t="shared" si="18"/>
        <v>7910.083333333333</v>
      </c>
      <c r="J48" s="113">
        <f t="shared" si="18"/>
        <v>7910.083333333333</v>
      </c>
      <c r="K48" s="113">
        <f t="shared" si="18"/>
        <v>7910.083333333333</v>
      </c>
      <c r="L48" s="113">
        <f t="shared" si="18"/>
        <v>7910.083333333333</v>
      </c>
      <c r="M48" s="113">
        <f t="shared" si="18"/>
        <v>7910.083333333333</v>
      </c>
      <c r="N48" s="113">
        <f t="shared" si="18"/>
        <v>7910.083333333333</v>
      </c>
    </row>
    <row r="49" spans="1:14" x14ac:dyDescent="0.25">
      <c r="A49" s="111" t="s">
        <v>573</v>
      </c>
      <c r="B49" s="224">
        <v>89409</v>
      </c>
      <c r="C49" s="113">
        <f>$B$49/12</f>
        <v>7450.75</v>
      </c>
      <c r="D49" s="113">
        <f t="shared" ref="D49:N49" si="19">$B$49/12</f>
        <v>7450.75</v>
      </c>
      <c r="E49" s="113">
        <f t="shared" si="19"/>
        <v>7450.75</v>
      </c>
      <c r="F49" s="113">
        <f t="shared" si="19"/>
        <v>7450.75</v>
      </c>
      <c r="G49" s="113">
        <f t="shared" si="19"/>
        <v>7450.75</v>
      </c>
      <c r="H49" s="113">
        <f t="shared" si="19"/>
        <v>7450.75</v>
      </c>
      <c r="I49" s="113">
        <f t="shared" si="19"/>
        <v>7450.75</v>
      </c>
      <c r="J49" s="113">
        <f t="shared" si="19"/>
        <v>7450.75</v>
      </c>
      <c r="K49" s="113">
        <f t="shared" si="19"/>
        <v>7450.75</v>
      </c>
      <c r="L49" s="113">
        <f t="shared" si="19"/>
        <v>7450.75</v>
      </c>
      <c r="M49" s="113">
        <f t="shared" si="19"/>
        <v>7450.75</v>
      </c>
      <c r="N49" s="113">
        <f t="shared" si="19"/>
        <v>7450.75</v>
      </c>
    </row>
    <row r="50" spans="1:14" x14ac:dyDescent="0.25">
      <c r="A50" s="82" t="s">
        <v>276</v>
      </c>
      <c r="B50" s="81">
        <v>2000</v>
      </c>
      <c r="C50" s="113"/>
      <c r="D50" s="95"/>
      <c r="E50" s="95">
        <v>1000</v>
      </c>
      <c r="F50" s="95"/>
      <c r="G50" s="95"/>
      <c r="H50" s="95"/>
      <c r="I50" s="95"/>
      <c r="J50" s="95"/>
      <c r="K50" s="95">
        <v>1000</v>
      </c>
      <c r="L50" s="95"/>
      <c r="M50" s="95"/>
      <c r="N50" s="95"/>
    </row>
    <row r="51" spans="1:14" x14ac:dyDescent="0.25">
      <c r="A51" s="27" t="s">
        <v>328</v>
      </c>
      <c r="B51" s="81">
        <v>87124</v>
      </c>
      <c r="C51" s="113">
        <f>$B$51/12</f>
        <v>7260.333333333333</v>
      </c>
      <c r="D51" s="113">
        <f t="shared" ref="D51:M51" si="20">$B$51/12</f>
        <v>7260.333333333333</v>
      </c>
      <c r="E51" s="113">
        <f t="shared" si="20"/>
        <v>7260.333333333333</v>
      </c>
      <c r="F51" s="113">
        <f t="shared" si="20"/>
        <v>7260.333333333333</v>
      </c>
      <c r="G51" s="113">
        <f t="shared" si="20"/>
        <v>7260.333333333333</v>
      </c>
      <c r="H51" s="113">
        <f t="shared" si="20"/>
        <v>7260.333333333333</v>
      </c>
      <c r="I51" s="113">
        <f t="shared" si="20"/>
        <v>7260.333333333333</v>
      </c>
      <c r="J51" s="113">
        <f t="shared" si="20"/>
        <v>7260.333333333333</v>
      </c>
      <c r="K51" s="113">
        <f t="shared" si="20"/>
        <v>7260.333333333333</v>
      </c>
      <c r="L51" s="113">
        <f t="shared" si="20"/>
        <v>7260.333333333333</v>
      </c>
      <c r="M51" s="113">
        <f t="shared" si="20"/>
        <v>7260.333333333333</v>
      </c>
      <c r="N51" s="113">
        <f>$B$51/12</f>
        <v>7260.333333333333</v>
      </c>
    </row>
    <row r="52" spans="1:14" x14ac:dyDescent="0.25">
      <c r="A52" s="27" t="s">
        <v>500</v>
      </c>
      <c r="B52" s="81">
        <f>C52+D52+N52</f>
        <v>14929</v>
      </c>
      <c r="C52" s="113">
        <v>6243</v>
      </c>
      <c r="D52" s="113">
        <v>1821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>
        <v>6865</v>
      </c>
    </row>
    <row r="53" spans="1:14" x14ac:dyDescent="0.25">
      <c r="A53" s="27" t="s">
        <v>277</v>
      </c>
      <c r="B53" s="224">
        <f>SUM(C53:N53)</f>
        <v>0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</row>
    <row r="54" spans="1:14" ht="13.8" thickBot="1" x14ac:dyDescent="0.3">
      <c r="A54" s="245" t="s">
        <v>278</v>
      </c>
      <c r="B54" s="49">
        <f>SUM(B38,B43,B46,B47,B50,B51,B52)</f>
        <v>590788</v>
      </c>
      <c r="C54" s="49">
        <f>SUM(C38,C43,C46,C47,C50,C51,C52)</f>
        <v>47291.75</v>
      </c>
      <c r="D54" s="49">
        <f t="shared" ref="D54:N54" si="21">SUM(D38,D43,D46,D47,D50,D51)</f>
        <v>40998.75</v>
      </c>
      <c r="E54" s="49">
        <f t="shared" si="21"/>
        <v>41963.75</v>
      </c>
      <c r="F54" s="49">
        <f t="shared" si="21"/>
        <v>41146.75</v>
      </c>
      <c r="G54" s="49">
        <f t="shared" si="21"/>
        <v>54354.75</v>
      </c>
      <c r="H54" s="49">
        <f t="shared" si="21"/>
        <v>52404.75</v>
      </c>
      <c r="I54" s="49">
        <f t="shared" si="21"/>
        <v>52980.75</v>
      </c>
      <c r="J54" s="49">
        <f t="shared" si="21"/>
        <v>43538.75</v>
      </c>
      <c r="K54" s="49">
        <f t="shared" si="21"/>
        <v>45668.75</v>
      </c>
      <c r="L54" s="49">
        <f t="shared" si="21"/>
        <v>74720.749999999985</v>
      </c>
      <c r="M54" s="49">
        <f t="shared" si="21"/>
        <v>41735.75</v>
      </c>
      <c r="N54" s="49">
        <f t="shared" si="21"/>
        <v>45296.75</v>
      </c>
    </row>
    <row r="55" spans="1:14" x14ac:dyDescent="0.25">
      <c r="A55" s="222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</row>
    <row r="56" spans="1:14" x14ac:dyDescent="0.25">
      <c r="A56" s="246" t="s">
        <v>279</v>
      </c>
      <c r="B56" s="247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</row>
    <row r="57" spans="1:14" x14ac:dyDescent="0.25">
      <c r="A57" s="30" t="s">
        <v>280</v>
      </c>
      <c r="B57" s="248">
        <f t="shared" ref="B57:N57" si="22">(B30-B54)</f>
        <v>0</v>
      </c>
      <c r="C57" s="248">
        <f t="shared" si="22"/>
        <v>-12453.243333333332</v>
      </c>
      <c r="D57" s="248">
        <f t="shared" si="22"/>
        <v>-2695.0733333333337</v>
      </c>
      <c r="E57" s="248">
        <f t="shared" si="22"/>
        <v>11148.216666666667</v>
      </c>
      <c r="F57" s="248">
        <f t="shared" si="22"/>
        <v>2063.9266666666663</v>
      </c>
      <c r="G57" s="248">
        <f t="shared" si="22"/>
        <v>15036.756666666668</v>
      </c>
      <c r="H57" s="248">
        <f t="shared" si="22"/>
        <v>-15717.583333333328</v>
      </c>
      <c r="I57" s="248">
        <f t="shared" si="22"/>
        <v>23042.916666666672</v>
      </c>
      <c r="J57" s="248">
        <f t="shared" si="22"/>
        <v>-3683.8833333333387</v>
      </c>
      <c r="K57" s="248">
        <f t="shared" si="22"/>
        <v>16080.516666666663</v>
      </c>
      <c r="L57" s="248">
        <f t="shared" si="22"/>
        <v>-40105.233333333323</v>
      </c>
      <c r="M57" s="248">
        <f t="shared" si="22"/>
        <v>146.75666666666075</v>
      </c>
      <c r="N57" s="248">
        <f t="shared" si="22"/>
        <v>12748.926666666666</v>
      </c>
    </row>
    <row r="58" spans="1:14" x14ac:dyDescent="0.25">
      <c r="A58" s="1" t="s">
        <v>281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</row>
    <row r="59" spans="1:14" x14ac:dyDescent="0.25">
      <c r="A59" s="9" t="s">
        <v>282</v>
      </c>
      <c r="B59" s="35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</row>
    <row r="60" spans="1:14" x14ac:dyDescent="0.25">
      <c r="A60" s="246" t="s">
        <v>283</v>
      </c>
      <c r="B60" s="110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</row>
    <row r="61" spans="1:14" x14ac:dyDescent="0.25">
      <c r="A61" s="30" t="s">
        <v>284</v>
      </c>
      <c r="B61" s="84">
        <v>0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</row>
    <row r="62" spans="1:14" x14ac:dyDescent="0.25">
      <c r="A62" s="35" t="s">
        <v>285</v>
      </c>
      <c r="B62" s="36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</row>
    <row r="63" spans="1:14" x14ac:dyDescent="0.25">
      <c r="A63" s="249" t="s">
        <v>286</v>
      </c>
      <c r="B63" s="36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 ht="13.8" thickBot="1" x14ac:dyDescent="0.3">
      <c r="A64" s="250" t="s">
        <v>287</v>
      </c>
      <c r="B64" s="251">
        <v>0</v>
      </c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</row>
    <row r="65" spans="1:14" x14ac:dyDescent="0.25">
      <c r="A65" s="11" t="s">
        <v>288</v>
      </c>
      <c r="B65" s="23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</row>
    <row r="66" spans="1:14" x14ac:dyDescent="0.25">
      <c r="A66" s="169" t="s">
        <v>289</v>
      </c>
      <c r="B66" s="21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</row>
    <row r="67" spans="1:14" ht="13.8" thickBot="1" x14ac:dyDescent="0.3">
      <c r="A67" s="252" t="s">
        <v>290</v>
      </c>
      <c r="B67" s="55">
        <v>0</v>
      </c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</row>
    <row r="68" spans="1:14" x14ac:dyDescent="0.25"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</row>
    <row r="69" spans="1:14" x14ac:dyDescent="0.25"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</row>
  </sheetData>
  <mergeCells count="2">
    <mergeCell ref="B1:M1"/>
    <mergeCell ref="A4:N4"/>
  </mergeCells>
  <phoneticPr fontId="5" type="noConversion"/>
  <pageMargins left="0.75" right="0.75" top="1" bottom="1" header="0.5" footer="0.5"/>
  <pageSetup paperSize="9" scale="60" orientation="landscape" r:id="rId1"/>
  <headerFooter alignWithMargins="0"/>
  <rowBreaks count="1" manualBreakCount="1">
    <brk id="3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35"/>
  <sheetViews>
    <sheetView tabSelected="1" view="pageBreakPreview" zoomScaleSheetLayoutView="100" workbookViewId="0">
      <selection activeCell="C1" sqref="C1:Q1"/>
    </sheetView>
  </sheetViews>
  <sheetFormatPr defaultColWidth="9.109375" defaultRowHeight="10.199999999999999" x14ac:dyDescent="0.2"/>
  <cols>
    <col min="1" max="1" width="4.33203125" style="270" customWidth="1"/>
    <col min="2" max="2" width="31.109375" style="270" customWidth="1"/>
    <col min="3" max="5" width="10" style="270" customWidth="1"/>
    <col min="6" max="6" width="10.33203125" style="270" customWidth="1"/>
    <col min="7" max="7" width="10.5546875" style="270" bestFit="1" customWidth="1"/>
    <col min="8" max="8" width="9" style="270" customWidth="1"/>
    <col min="9" max="9" width="9.6640625" style="270" customWidth="1"/>
    <col min="10" max="14" width="9.109375" style="270"/>
    <col min="15" max="15" width="12.33203125" style="270" customWidth="1"/>
    <col min="16" max="16" width="11" style="270" customWidth="1"/>
    <col min="17" max="17" width="11.6640625" style="270" customWidth="1"/>
    <col min="18" max="16384" width="9.109375" style="255"/>
  </cols>
  <sheetData>
    <row r="1" spans="1:20" s="254" customFormat="1" ht="10.8" thickBot="1" x14ac:dyDescent="0.25">
      <c r="A1" s="253"/>
      <c r="B1" s="253"/>
      <c r="C1" s="538" t="s">
        <v>678</v>
      </c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</row>
    <row r="2" spans="1:20" ht="10.8" thickBot="1" x14ac:dyDescent="0.25">
      <c r="A2" s="539" t="s">
        <v>504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</row>
    <row r="3" spans="1:20" s="254" customFormat="1" ht="10.8" thickBot="1" x14ac:dyDescent="0.25">
      <c r="Q3" s="254" t="s">
        <v>493</v>
      </c>
    </row>
    <row r="4" spans="1:20" s="256" customFormat="1" x14ac:dyDescent="0.25">
      <c r="A4" s="531" t="s">
        <v>291</v>
      </c>
      <c r="B4" s="529"/>
      <c r="C4" s="527" t="s">
        <v>292</v>
      </c>
      <c r="D4" s="528"/>
      <c r="E4" s="528"/>
      <c r="F4" s="529"/>
      <c r="G4" s="530" t="s">
        <v>293</v>
      </c>
      <c r="H4" s="530"/>
      <c r="I4" s="530"/>
      <c r="J4" s="530"/>
      <c r="K4" s="530"/>
      <c r="L4" s="530"/>
      <c r="M4" s="530"/>
      <c r="N4" s="530"/>
      <c r="O4" s="530"/>
      <c r="P4" s="530"/>
      <c r="Q4" s="530"/>
    </row>
    <row r="5" spans="1:20" s="256" customFormat="1" ht="21" customHeight="1" x14ac:dyDescent="0.25">
      <c r="A5" s="532"/>
      <c r="B5" s="533"/>
      <c r="C5" s="536" t="s">
        <v>347</v>
      </c>
      <c r="D5" s="257"/>
      <c r="E5" s="257"/>
      <c r="F5" s="521" t="s">
        <v>494</v>
      </c>
      <c r="G5" s="282" t="s">
        <v>295</v>
      </c>
      <c r="H5" s="523" t="s">
        <v>296</v>
      </c>
      <c r="I5" s="523"/>
      <c r="J5" s="523" t="s">
        <v>297</v>
      </c>
      <c r="K5" s="523"/>
      <c r="L5" s="523"/>
      <c r="M5" s="523"/>
      <c r="N5" s="523"/>
      <c r="O5" s="524"/>
      <c r="P5" s="524"/>
      <c r="Q5" s="525" t="s">
        <v>395</v>
      </c>
      <c r="R5" s="517"/>
      <c r="S5" s="518"/>
      <c r="T5" s="518"/>
    </row>
    <row r="6" spans="1:20" s="256" customFormat="1" ht="46.5" customHeight="1" thickBot="1" x14ac:dyDescent="0.3">
      <c r="A6" s="534"/>
      <c r="B6" s="535"/>
      <c r="C6" s="537"/>
      <c r="D6" s="258" t="s">
        <v>354</v>
      </c>
      <c r="E6" s="283" t="s">
        <v>353</v>
      </c>
      <c r="F6" s="522"/>
      <c r="G6" s="259" t="s">
        <v>298</v>
      </c>
      <c r="H6" s="259" t="s">
        <v>299</v>
      </c>
      <c r="I6" s="259" t="s">
        <v>300</v>
      </c>
      <c r="J6" s="260" t="s">
        <v>358</v>
      </c>
      <c r="K6" s="260" t="s">
        <v>516</v>
      </c>
      <c r="L6" s="260" t="s">
        <v>357</v>
      </c>
      <c r="M6" s="260" t="s">
        <v>356</v>
      </c>
      <c r="N6" s="260" t="s">
        <v>355</v>
      </c>
      <c r="O6" s="260" t="s">
        <v>574</v>
      </c>
      <c r="P6" s="260" t="s">
        <v>396</v>
      </c>
      <c r="Q6" s="526"/>
      <c r="R6" s="517"/>
      <c r="S6" s="518"/>
      <c r="T6" s="518"/>
    </row>
    <row r="7" spans="1:20" ht="10.8" thickTop="1" x14ac:dyDescent="0.2">
      <c r="A7" s="261" t="s">
        <v>301</v>
      </c>
      <c r="B7" s="262" t="s">
        <v>330</v>
      </c>
      <c r="C7" s="263">
        <f>24395+318+70+400+140+1000-113-737+752+25+21-121+250</f>
        <v>26400</v>
      </c>
      <c r="D7" s="264">
        <f>801+80</f>
        <v>881</v>
      </c>
      <c r="E7" s="270">
        <f>6844+344+600+1113</f>
        <v>8901</v>
      </c>
      <c r="F7" s="289">
        <f>2540+737+997-548</f>
        <v>3726</v>
      </c>
      <c r="G7" s="265">
        <f>5095+388+1000</f>
        <v>6483</v>
      </c>
      <c r="H7" s="265"/>
      <c r="I7" s="265">
        <v>1611</v>
      </c>
      <c r="J7" s="265">
        <f>140+57</f>
        <v>197</v>
      </c>
      <c r="K7" s="265"/>
      <c r="L7" s="265">
        <v>400</v>
      </c>
      <c r="M7" s="265"/>
      <c r="N7" s="265">
        <v>400</v>
      </c>
      <c r="O7" s="265">
        <v>29882</v>
      </c>
      <c r="P7" s="265"/>
      <c r="Q7" s="285">
        <f>SUM(C7:F7)-SUM(G7:P7)</f>
        <v>935</v>
      </c>
      <c r="R7" s="519"/>
      <c r="S7" s="520"/>
      <c r="T7" s="520"/>
    </row>
    <row r="8" spans="1:20" x14ac:dyDescent="0.2">
      <c r="A8" s="377" t="s">
        <v>302</v>
      </c>
      <c r="B8" s="378" t="s">
        <v>346</v>
      </c>
      <c r="C8" s="379"/>
      <c r="D8" s="380">
        <f>62591+306+113</f>
        <v>63010</v>
      </c>
      <c r="E8" s="270">
        <f>37367+906+3300-600-17465</f>
        <v>23508</v>
      </c>
      <c r="F8" s="381">
        <f>3000+1660+2700+600+17465</f>
        <v>25425</v>
      </c>
      <c r="G8" s="382">
        <f>39754+1029</f>
        <v>40783</v>
      </c>
      <c r="H8" s="382">
        <f>14199+19+3300+1721</f>
        <v>19239</v>
      </c>
      <c r="I8" s="382">
        <f>2700+39027</f>
        <v>41727</v>
      </c>
      <c r="J8" s="382"/>
      <c r="K8" s="382"/>
      <c r="L8" s="382"/>
      <c r="M8" s="382"/>
      <c r="N8" s="382"/>
      <c r="O8" s="382"/>
      <c r="P8" s="382"/>
      <c r="Q8" s="285">
        <f t="shared" ref="Q8:Q37" si="0">SUM(C8:F8)-SUM(G8:P8)</f>
        <v>10194</v>
      </c>
      <c r="R8" s="254"/>
    </row>
    <row r="9" spans="1:20" x14ac:dyDescent="0.2">
      <c r="A9" s="377" t="s">
        <v>303</v>
      </c>
      <c r="B9" s="378" t="s">
        <v>512</v>
      </c>
      <c r="C9" s="379"/>
      <c r="D9" s="380">
        <v>272</v>
      </c>
      <c r="F9" s="381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285">
        <f t="shared" si="0"/>
        <v>272</v>
      </c>
      <c r="R9" s="254"/>
    </row>
    <row r="10" spans="1:20" x14ac:dyDescent="0.2">
      <c r="A10" s="453" t="s">
        <v>304</v>
      </c>
      <c r="B10" s="378" t="s">
        <v>513</v>
      </c>
      <c r="C10" s="379"/>
      <c r="D10" s="380">
        <v>205</v>
      </c>
      <c r="F10" s="381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285">
        <f t="shared" si="0"/>
        <v>205</v>
      </c>
      <c r="R10" s="254"/>
    </row>
    <row r="11" spans="1:20" x14ac:dyDescent="0.2">
      <c r="A11" s="377" t="s">
        <v>305</v>
      </c>
      <c r="B11" s="378" t="s">
        <v>515</v>
      </c>
      <c r="C11" s="379"/>
      <c r="D11" s="380">
        <f>6243+6865</f>
        <v>13108</v>
      </c>
      <c r="F11" s="381"/>
      <c r="G11" s="382"/>
      <c r="H11" s="382">
        <v>6865</v>
      </c>
      <c r="I11" s="382"/>
      <c r="J11" s="382"/>
      <c r="K11" s="382"/>
      <c r="L11" s="382"/>
      <c r="M11" s="382"/>
      <c r="N11" s="382"/>
      <c r="O11" s="382">
        <v>6243</v>
      </c>
      <c r="P11" s="382"/>
      <c r="Q11" s="285">
        <f t="shared" si="0"/>
        <v>0</v>
      </c>
      <c r="R11" s="254"/>
    </row>
    <row r="12" spans="1:20" x14ac:dyDescent="0.2">
      <c r="A12" s="266" t="s">
        <v>306</v>
      </c>
      <c r="B12" s="267" t="s">
        <v>331</v>
      </c>
      <c r="C12" s="268">
        <v>2208</v>
      </c>
      <c r="D12" s="269"/>
      <c r="F12" s="290"/>
      <c r="G12" s="270">
        <v>1318</v>
      </c>
      <c r="J12" s="270">
        <v>46</v>
      </c>
      <c r="K12" s="270">
        <v>530</v>
      </c>
      <c r="L12" s="270">
        <v>12</v>
      </c>
      <c r="Q12" s="285">
        <f t="shared" si="0"/>
        <v>302</v>
      </c>
    </row>
    <row r="13" spans="1:20" x14ac:dyDescent="0.2">
      <c r="A13" s="266" t="s">
        <v>307</v>
      </c>
      <c r="B13" s="267" t="s">
        <v>332</v>
      </c>
      <c r="C13" s="268">
        <f>1621+272+66+477+282+213+143+453</f>
        <v>3527</v>
      </c>
      <c r="D13" s="269"/>
      <c r="F13" s="290">
        <f>5485+1530+606</f>
        <v>7621</v>
      </c>
      <c r="I13" s="270">
        <f>4937+1</f>
        <v>4938</v>
      </c>
      <c r="J13" s="270">
        <f>143+453</f>
        <v>596</v>
      </c>
      <c r="K13" s="270">
        <f>714+282+213</f>
        <v>1209</v>
      </c>
      <c r="Q13" s="285">
        <f t="shared" si="0"/>
        <v>4405</v>
      </c>
    </row>
    <row r="14" spans="1:20" x14ac:dyDescent="0.2">
      <c r="A14" s="266" t="s">
        <v>308</v>
      </c>
      <c r="B14" s="267" t="s">
        <v>333</v>
      </c>
      <c r="C14" s="268">
        <v>400</v>
      </c>
      <c r="D14" s="269"/>
      <c r="F14" s="290"/>
      <c r="Q14" s="285">
        <f t="shared" si="0"/>
        <v>400</v>
      </c>
    </row>
    <row r="15" spans="1:20" x14ac:dyDescent="0.2">
      <c r="A15" s="266" t="s">
        <v>309</v>
      </c>
      <c r="B15" s="267" t="s">
        <v>334</v>
      </c>
      <c r="C15" s="268">
        <v>383</v>
      </c>
      <c r="D15" s="269"/>
      <c r="E15" s="270">
        <v>14992</v>
      </c>
      <c r="F15" s="290">
        <f>10913+2946</f>
        <v>13859</v>
      </c>
      <c r="G15" s="270">
        <v>2073</v>
      </c>
      <c r="I15" s="270">
        <f>14992+12632</f>
        <v>27624</v>
      </c>
      <c r="Q15" s="285">
        <f t="shared" si="0"/>
        <v>-463</v>
      </c>
    </row>
    <row r="16" spans="1:20" x14ac:dyDescent="0.2">
      <c r="A16" s="266" t="s">
        <v>310</v>
      </c>
      <c r="B16" s="267" t="s">
        <v>335</v>
      </c>
      <c r="C16" s="268">
        <v>1278</v>
      </c>
      <c r="D16" s="269"/>
      <c r="F16" s="290"/>
      <c r="Q16" s="285">
        <f t="shared" si="0"/>
        <v>1278</v>
      </c>
    </row>
    <row r="17" spans="1:17" x14ac:dyDescent="0.2">
      <c r="A17" s="266" t="s">
        <v>311</v>
      </c>
      <c r="B17" s="267" t="s">
        <v>336</v>
      </c>
      <c r="C17" s="268">
        <v>5070</v>
      </c>
      <c r="D17" s="269"/>
      <c r="F17" s="290"/>
      <c r="G17" s="270">
        <v>6976</v>
      </c>
      <c r="Q17" s="285">
        <f t="shared" si="0"/>
        <v>-1906</v>
      </c>
    </row>
    <row r="18" spans="1:17" x14ac:dyDescent="0.2">
      <c r="A18" s="266" t="s">
        <v>312</v>
      </c>
      <c r="B18" s="267" t="s">
        <v>337</v>
      </c>
      <c r="C18" s="268">
        <v>3362</v>
      </c>
      <c r="D18" s="269"/>
      <c r="F18" s="290"/>
      <c r="G18" s="270">
        <f>4906+97</f>
        <v>5003</v>
      </c>
      <c r="J18" s="270">
        <v>154</v>
      </c>
      <c r="K18" s="270">
        <v>48</v>
      </c>
      <c r="Q18" s="285">
        <f t="shared" si="0"/>
        <v>-1843</v>
      </c>
    </row>
    <row r="19" spans="1:17" x14ac:dyDescent="0.2">
      <c r="A19" s="266" t="s">
        <v>313</v>
      </c>
      <c r="B19" s="267" t="s">
        <v>338</v>
      </c>
      <c r="C19" s="268">
        <v>1429</v>
      </c>
      <c r="D19" s="269"/>
      <c r="F19" s="290">
        <v>575</v>
      </c>
      <c r="Q19" s="285">
        <f t="shared" si="0"/>
        <v>2004</v>
      </c>
    </row>
    <row r="20" spans="1:17" x14ac:dyDescent="0.2">
      <c r="A20" s="266" t="s">
        <v>314</v>
      </c>
      <c r="B20" s="267" t="s">
        <v>339</v>
      </c>
      <c r="C20" s="268">
        <f>4883+34+5</f>
        <v>4922</v>
      </c>
      <c r="D20" s="269"/>
      <c r="F20" s="290"/>
      <c r="G20" s="270">
        <v>39</v>
      </c>
      <c r="H20" s="270">
        <v>3611</v>
      </c>
      <c r="Q20" s="285">
        <f t="shared" si="0"/>
        <v>1272</v>
      </c>
    </row>
    <row r="21" spans="1:17" x14ac:dyDescent="0.2">
      <c r="A21" s="266" t="s">
        <v>316</v>
      </c>
      <c r="B21" s="267" t="s">
        <v>507</v>
      </c>
      <c r="C21" s="268">
        <v>1102</v>
      </c>
      <c r="D21" s="269">
        <f>2184+60</f>
        <v>2244</v>
      </c>
      <c r="F21" s="290">
        <v>143</v>
      </c>
      <c r="H21" s="270">
        <f>1284+143</f>
        <v>1427</v>
      </c>
      <c r="Q21" s="285">
        <f t="shared" si="0"/>
        <v>2062</v>
      </c>
    </row>
    <row r="22" spans="1:17" x14ac:dyDescent="0.2">
      <c r="A22" s="266" t="s">
        <v>317</v>
      </c>
      <c r="B22" s="267" t="s">
        <v>508</v>
      </c>
      <c r="C22" s="268">
        <f>72</f>
        <v>72</v>
      </c>
      <c r="D22" s="269">
        <v>62</v>
      </c>
      <c r="F22" s="290"/>
      <c r="H22" s="270">
        <f>122+80</f>
        <v>202</v>
      </c>
      <c r="Q22" s="285">
        <f t="shared" si="0"/>
        <v>-68</v>
      </c>
    </row>
    <row r="23" spans="1:17" x14ac:dyDescent="0.2">
      <c r="A23" s="266" t="s">
        <v>318</v>
      </c>
      <c r="B23" s="267" t="s">
        <v>341</v>
      </c>
      <c r="C23" s="268">
        <v>716</v>
      </c>
      <c r="D23" s="269"/>
      <c r="F23" s="290">
        <v>50</v>
      </c>
      <c r="Q23" s="285">
        <f t="shared" si="0"/>
        <v>766</v>
      </c>
    </row>
    <row r="24" spans="1:17" x14ac:dyDescent="0.2">
      <c r="A24" s="266" t="s">
        <v>501</v>
      </c>
      <c r="B24" s="267" t="s">
        <v>342</v>
      </c>
      <c r="C24" s="268">
        <f>8050+173+100+1275+38+24+281+476+30+467</f>
        <v>10914</v>
      </c>
      <c r="D24" s="269"/>
      <c r="F24" s="290"/>
      <c r="G24" s="270">
        <f>1867+211</f>
        <v>2078</v>
      </c>
      <c r="H24" s="270">
        <f>600+1556+467</f>
        <v>2623</v>
      </c>
      <c r="J24" s="270">
        <v>30</v>
      </c>
      <c r="K24" s="270">
        <v>30</v>
      </c>
      <c r="Q24" s="285">
        <f t="shared" si="0"/>
        <v>6153</v>
      </c>
    </row>
    <row r="25" spans="1:17" x14ac:dyDescent="0.2">
      <c r="A25" s="266" t="s">
        <v>319</v>
      </c>
      <c r="B25" s="267" t="s">
        <v>343</v>
      </c>
      <c r="C25" s="268">
        <f>1063+1234</f>
        <v>2297</v>
      </c>
      <c r="D25" s="269">
        <f>59836+747+245+353</f>
        <v>61181</v>
      </c>
      <c r="F25" s="290"/>
      <c r="G25" s="270">
        <f>54121+988+20+2221+1682+192-988+747+598+168</f>
        <v>59749</v>
      </c>
      <c r="M25" s="270">
        <v>1234</v>
      </c>
      <c r="Q25" s="285">
        <f t="shared" si="0"/>
        <v>2495</v>
      </c>
    </row>
    <row r="26" spans="1:17" x14ac:dyDescent="0.2">
      <c r="A26" s="266" t="s">
        <v>320</v>
      </c>
      <c r="B26" s="267" t="s">
        <v>344</v>
      </c>
      <c r="C26" s="268">
        <v>9076</v>
      </c>
      <c r="D26" s="269"/>
      <c r="F26" s="290"/>
      <c r="M26" s="270">
        <v>9076</v>
      </c>
      <c r="Q26" s="285">
        <f t="shared" si="0"/>
        <v>0</v>
      </c>
    </row>
    <row r="27" spans="1:17" x14ac:dyDescent="0.2">
      <c r="A27" s="266" t="s">
        <v>321</v>
      </c>
      <c r="B27" s="267" t="s">
        <v>506</v>
      </c>
      <c r="C27" s="268">
        <f>191+1394</f>
        <v>1585</v>
      </c>
      <c r="D27" s="269">
        <f>23367+1211+163+77+1887</f>
        <v>26705</v>
      </c>
      <c r="F27" s="290"/>
      <c r="G27" s="270">
        <f>22822+299+246+1211+163+77</f>
        <v>24818</v>
      </c>
      <c r="J27" s="270">
        <f>624+154</f>
        <v>778</v>
      </c>
      <c r="L27" s="270">
        <v>168</v>
      </c>
      <c r="M27" s="270">
        <v>1394</v>
      </c>
      <c r="Q27" s="285">
        <f t="shared" si="0"/>
        <v>1132</v>
      </c>
    </row>
    <row r="28" spans="1:17" x14ac:dyDescent="0.2">
      <c r="A28" s="266" t="s">
        <v>322</v>
      </c>
      <c r="B28" s="267" t="s">
        <v>315</v>
      </c>
      <c r="C28" s="268"/>
      <c r="D28" s="269"/>
      <c r="F28" s="290"/>
      <c r="J28" s="285">
        <v>150</v>
      </c>
      <c r="K28" s="285"/>
      <c r="L28" s="285">
        <v>41</v>
      </c>
      <c r="M28" s="285"/>
      <c r="N28" s="285"/>
      <c r="Q28" s="285">
        <f t="shared" si="0"/>
        <v>-191</v>
      </c>
    </row>
    <row r="29" spans="1:17" x14ac:dyDescent="0.2">
      <c r="A29" s="266" t="s">
        <v>323</v>
      </c>
      <c r="B29" s="267" t="s">
        <v>345</v>
      </c>
      <c r="C29" s="268">
        <f>22987+19511+29786+6170+2146+3277+679+5204+3669+2791+197</f>
        <v>96417</v>
      </c>
      <c r="D29" s="269">
        <v>1821</v>
      </c>
      <c r="E29" s="270">
        <v>16973</v>
      </c>
      <c r="F29" s="290">
        <f>31884+3811+3175+4</f>
        <v>38874</v>
      </c>
      <c r="H29" s="270">
        <f>8310+31465+43863+12142-2000+1821</f>
        <v>95601</v>
      </c>
      <c r="I29" s="270">
        <f>11124+18798+2631+2000+3811+3175</f>
        <v>41539</v>
      </c>
      <c r="J29" s="270">
        <f>200+197</f>
        <v>397</v>
      </c>
      <c r="L29" s="270">
        <v>54</v>
      </c>
      <c r="O29" s="270">
        <v>14274</v>
      </c>
      <c r="Q29" s="285">
        <f t="shared" si="0"/>
        <v>2220</v>
      </c>
    </row>
    <row r="30" spans="1:17" x14ac:dyDescent="0.2">
      <c r="A30" s="266" t="s">
        <v>324</v>
      </c>
      <c r="B30" s="267" t="s">
        <v>348</v>
      </c>
      <c r="C30" s="268">
        <f>15314+606+516+500+3787</f>
        <v>20723</v>
      </c>
      <c r="D30" s="269"/>
      <c r="F30" s="290"/>
      <c r="G30" s="270">
        <v>17791</v>
      </c>
      <c r="H30" s="270">
        <f>3787+606+516</f>
        <v>4909</v>
      </c>
      <c r="O30" s="270">
        <v>2863</v>
      </c>
      <c r="Q30" s="285">
        <f t="shared" si="0"/>
        <v>-4840</v>
      </c>
    </row>
    <row r="31" spans="1:17" ht="14.25" customHeight="1" x14ac:dyDescent="0.2">
      <c r="A31" s="266" t="s">
        <v>325</v>
      </c>
      <c r="B31" s="267" t="s">
        <v>349</v>
      </c>
      <c r="C31" s="268">
        <v>38</v>
      </c>
      <c r="D31" s="269">
        <f>2098+1381</f>
        <v>3479</v>
      </c>
      <c r="E31" s="270">
        <f>13467+1389</f>
        <v>14856</v>
      </c>
      <c r="F31" s="290">
        <f>5800+4238</f>
        <v>10038</v>
      </c>
      <c r="H31" s="270">
        <f>2098+1381+27</f>
        <v>3506</v>
      </c>
      <c r="I31" s="270">
        <f>5800+4238</f>
        <v>10038</v>
      </c>
      <c r="O31" s="270">
        <f>13467+1389</f>
        <v>14856</v>
      </c>
      <c r="Q31" s="285">
        <f t="shared" si="0"/>
        <v>11</v>
      </c>
    </row>
    <row r="32" spans="1:17" x14ac:dyDescent="0.2">
      <c r="A32" s="266" t="s">
        <v>326</v>
      </c>
      <c r="B32" s="267" t="s">
        <v>350</v>
      </c>
      <c r="C32" s="268"/>
      <c r="D32" s="269"/>
      <c r="F32" s="290">
        <v>2000</v>
      </c>
      <c r="I32" s="270">
        <v>2000</v>
      </c>
      <c r="Q32" s="285">
        <f t="shared" si="0"/>
        <v>0</v>
      </c>
    </row>
    <row r="33" spans="1:20" x14ac:dyDescent="0.2">
      <c r="A33" s="266" t="s">
        <v>622</v>
      </c>
      <c r="B33" s="267" t="s">
        <v>505</v>
      </c>
      <c r="C33" s="268"/>
      <c r="D33" s="269">
        <f>22422-365-150+1092+2225-500</f>
        <v>24724</v>
      </c>
      <c r="F33" s="290"/>
      <c r="G33" s="270">
        <f>15222+1427+2430+78+95-365-150+1092+2225+187</f>
        <v>22241</v>
      </c>
      <c r="Q33" s="285">
        <f t="shared" si="0"/>
        <v>2483</v>
      </c>
    </row>
    <row r="34" spans="1:20" x14ac:dyDescent="0.2">
      <c r="A34" s="266" t="s">
        <v>623</v>
      </c>
      <c r="B34" s="267" t="s">
        <v>351</v>
      </c>
      <c r="C34" s="268"/>
      <c r="D34" s="269">
        <v>1320</v>
      </c>
      <c r="F34" s="290"/>
      <c r="Q34" s="285">
        <f t="shared" si="0"/>
        <v>1320</v>
      </c>
    </row>
    <row r="35" spans="1:20" x14ac:dyDescent="0.2">
      <c r="A35" s="266" t="s">
        <v>624</v>
      </c>
      <c r="B35" s="267" t="s">
        <v>607</v>
      </c>
      <c r="C35" s="268"/>
      <c r="D35" s="269">
        <v>386</v>
      </c>
      <c r="F35" s="290"/>
      <c r="Q35" s="285">
        <f t="shared" si="0"/>
        <v>386</v>
      </c>
    </row>
    <row r="36" spans="1:20" x14ac:dyDescent="0.2">
      <c r="A36" s="266" t="s">
        <v>625</v>
      </c>
      <c r="B36" s="267" t="s">
        <v>511</v>
      </c>
      <c r="C36" s="268"/>
      <c r="D36" s="269">
        <v>60</v>
      </c>
      <c r="F36" s="290"/>
      <c r="Q36" s="285">
        <f t="shared" si="0"/>
        <v>60</v>
      </c>
    </row>
    <row r="37" spans="1:20" ht="10.8" thickBot="1" x14ac:dyDescent="0.25">
      <c r="A37" s="286" t="s">
        <v>626</v>
      </c>
      <c r="B37" s="287" t="s">
        <v>495</v>
      </c>
      <c r="C37" s="288"/>
      <c r="D37" s="254"/>
      <c r="E37" s="270">
        <v>4917</v>
      </c>
      <c r="F37" s="254"/>
      <c r="G37" s="288"/>
      <c r="H37" s="288"/>
      <c r="I37" s="288"/>
      <c r="J37" s="288"/>
      <c r="K37" s="288"/>
      <c r="L37" s="288"/>
      <c r="M37" s="288"/>
      <c r="N37" s="288"/>
      <c r="O37" s="288"/>
      <c r="P37" s="288">
        <f>37650+4917</f>
        <v>42567</v>
      </c>
      <c r="Q37" s="285">
        <f t="shared" si="0"/>
        <v>-37650</v>
      </c>
    </row>
    <row r="38" spans="1:20" s="274" customFormat="1" ht="11.4" thickTop="1" thickBot="1" x14ac:dyDescent="0.25">
      <c r="A38" s="271"/>
      <c r="B38" s="272" t="s">
        <v>97</v>
      </c>
      <c r="C38" s="273">
        <f t="shared" ref="C38:P38" si="1">SUM(C7:C37)</f>
        <v>191919</v>
      </c>
      <c r="D38" s="273">
        <f t="shared" si="1"/>
        <v>199458</v>
      </c>
      <c r="E38" s="273">
        <f t="shared" si="1"/>
        <v>84147</v>
      </c>
      <c r="F38" s="273">
        <f t="shared" si="1"/>
        <v>102311</v>
      </c>
      <c r="G38" s="273">
        <f t="shared" si="1"/>
        <v>189352</v>
      </c>
      <c r="H38" s="273">
        <f t="shared" si="1"/>
        <v>137983</v>
      </c>
      <c r="I38" s="273">
        <f t="shared" si="1"/>
        <v>129477</v>
      </c>
      <c r="J38" s="273">
        <f t="shared" si="1"/>
        <v>2348</v>
      </c>
      <c r="K38" s="273">
        <f t="shared" si="1"/>
        <v>1817</v>
      </c>
      <c r="L38" s="273">
        <f t="shared" si="1"/>
        <v>675</v>
      </c>
      <c r="M38" s="273">
        <f t="shared" si="1"/>
        <v>11704</v>
      </c>
      <c r="N38" s="273">
        <f t="shared" si="1"/>
        <v>400</v>
      </c>
      <c r="O38" s="273">
        <f t="shared" si="1"/>
        <v>68118</v>
      </c>
      <c r="P38" s="273">
        <f t="shared" si="1"/>
        <v>42567</v>
      </c>
      <c r="Q38" s="285">
        <f>SUM(C38:F38)- SUM(G38:P38)</f>
        <v>-6606</v>
      </c>
    </row>
    <row r="39" spans="1:20" s="254" customFormat="1" x14ac:dyDescent="0.2">
      <c r="A39" s="275"/>
      <c r="B39" s="275"/>
      <c r="C39" s="275"/>
      <c r="D39" s="275"/>
      <c r="E39" s="275"/>
      <c r="F39" s="275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0"/>
    </row>
    <row r="40" spans="1:20" s="254" customFormat="1" x14ac:dyDescent="0.2">
      <c r="E40" s="254">
        <f>SUM(C38:F38)</f>
        <v>577835</v>
      </c>
      <c r="J40" s="254">
        <f>SUM(G38:P38)</f>
        <v>584441</v>
      </c>
    </row>
    <row r="41" spans="1:20" s="254" customFormat="1" ht="10.8" thickBot="1" x14ac:dyDescent="0.25"/>
    <row r="42" spans="1:20" s="256" customFormat="1" x14ac:dyDescent="0.25">
      <c r="A42" s="531" t="s">
        <v>404</v>
      </c>
      <c r="B42" s="529"/>
      <c r="C42" s="527" t="s">
        <v>292</v>
      </c>
      <c r="D42" s="528"/>
      <c r="E42" s="528"/>
      <c r="F42" s="529"/>
      <c r="G42" s="530" t="s">
        <v>293</v>
      </c>
      <c r="H42" s="530"/>
      <c r="I42" s="530"/>
      <c r="J42" s="530"/>
      <c r="K42" s="530"/>
      <c r="L42" s="530"/>
      <c r="M42" s="530"/>
      <c r="N42" s="530"/>
      <c r="O42" s="530"/>
      <c r="P42" s="530"/>
      <c r="Q42" s="530"/>
    </row>
    <row r="43" spans="1:20" s="256" customFormat="1" ht="21" customHeight="1" x14ac:dyDescent="0.25">
      <c r="A43" s="532"/>
      <c r="B43" s="533"/>
      <c r="C43" s="536" t="s">
        <v>347</v>
      </c>
      <c r="D43" s="257"/>
      <c r="E43" s="257"/>
      <c r="F43" s="521" t="s">
        <v>294</v>
      </c>
      <c r="G43" s="282" t="s">
        <v>295</v>
      </c>
      <c r="H43" s="523" t="s">
        <v>296</v>
      </c>
      <c r="I43" s="523"/>
      <c r="J43" s="523" t="s">
        <v>297</v>
      </c>
      <c r="K43" s="523"/>
      <c r="L43" s="523"/>
      <c r="M43" s="523"/>
      <c r="N43" s="523"/>
      <c r="O43" s="524"/>
      <c r="P43" s="524"/>
      <c r="Q43" s="525" t="s">
        <v>395</v>
      </c>
      <c r="R43" s="517"/>
      <c r="S43" s="518"/>
      <c r="T43" s="518"/>
    </row>
    <row r="44" spans="1:20" s="256" customFormat="1" ht="46.5" customHeight="1" thickBot="1" x14ac:dyDescent="0.3">
      <c r="A44" s="534"/>
      <c r="B44" s="535"/>
      <c r="C44" s="537"/>
      <c r="D44" s="258" t="s">
        <v>354</v>
      </c>
      <c r="E44" s="283" t="s">
        <v>353</v>
      </c>
      <c r="F44" s="522"/>
      <c r="G44" s="259" t="s">
        <v>298</v>
      </c>
      <c r="H44" s="259" t="s">
        <v>299</v>
      </c>
      <c r="I44" s="259" t="s">
        <v>300</v>
      </c>
      <c r="J44" s="260" t="s">
        <v>358</v>
      </c>
      <c r="K44" s="260"/>
      <c r="L44" s="260" t="s">
        <v>357</v>
      </c>
      <c r="M44" s="260" t="s">
        <v>356</v>
      </c>
      <c r="N44" s="260" t="s">
        <v>355</v>
      </c>
      <c r="O44" s="260" t="s">
        <v>574</v>
      </c>
      <c r="P44" s="260" t="s">
        <v>396</v>
      </c>
      <c r="Q44" s="526"/>
      <c r="R44" s="517"/>
      <c r="S44" s="518"/>
      <c r="T44" s="518"/>
    </row>
    <row r="45" spans="1:20" ht="10.8" thickTop="1" x14ac:dyDescent="0.2">
      <c r="A45" s="266" t="s">
        <v>301</v>
      </c>
      <c r="B45" s="267" t="s">
        <v>327</v>
      </c>
      <c r="C45" s="268">
        <f>3947+121+27+221</f>
        <v>4316</v>
      </c>
      <c r="D45" s="269"/>
      <c r="E45" s="270">
        <v>1190</v>
      </c>
      <c r="F45" s="290">
        <v>64</v>
      </c>
      <c r="G45" s="270">
        <f>148+221</f>
        <v>369</v>
      </c>
      <c r="H45" s="270">
        <v>1080</v>
      </c>
      <c r="J45" s="270">
        <f>1500+1190</f>
        <v>2690</v>
      </c>
      <c r="Q45" s="285">
        <f t="shared" ref="Q45:Q50" si="2">SUM(C45:F45)- SUM(G45:P45)</f>
        <v>1431</v>
      </c>
    </row>
    <row r="46" spans="1:20" x14ac:dyDescent="0.2">
      <c r="A46" s="266" t="s">
        <v>302</v>
      </c>
      <c r="B46" s="267" t="s">
        <v>340</v>
      </c>
      <c r="C46" s="268">
        <v>896</v>
      </c>
      <c r="D46" s="269">
        <v>1200</v>
      </c>
      <c r="F46" s="290"/>
      <c r="Q46" s="285">
        <f t="shared" si="2"/>
        <v>2096</v>
      </c>
    </row>
    <row r="47" spans="1:20" x14ac:dyDescent="0.2">
      <c r="A47" s="266" t="s">
        <v>303</v>
      </c>
      <c r="B47" s="267" t="s">
        <v>509</v>
      </c>
      <c r="C47" s="268"/>
      <c r="D47" s="269">
        <v>700</v>
      </c>
      <c r="E47" s="270">
        <v>250</v>
      </c>
      <c r="F47" s="290"/>
      <c r="G47" s="270">
        <v>250</v>
      </c>
      <c r="Q47" s="285">
        <f t="shared" si="2"/>
        <v>700</v>
      </c>
    </row>
    <row r="48" spans="1:20" x14ac:dyDescent="0.2">
      <c r="A48" s="266" t="s">
        <v>304</v>
      </c>
      <c r="B48" s="267" t="s">
        <v>352</v>
      </c>
      <c r="C48" s="268"/>
      <c r="D48" s="269">
        <v>2000</v>
      </c>
      <c r="E48" s="270">
        <v>1537</v>
      </c>
      <c r="F48" s="290"/>
      <c r="I48" s="270">
        <f>421+1537</f>
        <v>1958</v>
      </c>
      <c r="Q48" s="285">
        <f t="shared" si="2"/>
        <v>1579</v>
      </c>
    </row>
    <row r="49" spans="1:17" x14ac:dyDescent="0.2">
      <c r="A49" s="268" t="s">
        <v>305</v>
      </c>
      <c r="B49" s="394" t="s">
        <v>514</v>
      </c>
      <c r="C49" s="268"/>
      <c r="D49" s="269">
        <v>800</v>
      </c>
      <c r="F49" s="269"/>
      <c r="Q49" s="285">
        <f t="shared" si="2"/>
        <v>800</v>
      </c>
    </row>
    <row r="50" spans="1:17" s="456" customFormat="1" x14ac:dyDescent="0.2">
      <c r="A50" s="454"/>
      <c r="B50" s="454" t="s">
        <v>97</v>
      </c>
      <c r="C50" s="454">
        <f>SUM(C45:C49)</f>
        <v>5212</v>
      </c>
      <c r="D50" s="454">
        <f t="shared" ref="D50:F50" si="3">SUM(D45:D49)</f>
        <v>4700</v>
      </c>
      <c r="E50" s="454">
        <f t="shared" si="3"/>
        <v>2977</v>
      </c>
      <c r="F50" s="454">
        <f t="shared" si="3"/>
        <v>64</v>
      </c>
      <c r="G50" s="454">
        <f t="shared" ref="G50:P50" si="4">SUM(G45:G48)</f>
        <v>619</v>
      </c>
      <c r="H50" s="454">
        <f t="shared" si="4"/>
        <v>1080</v>
      </c>
      <c r="I50" s="454">
        <f t="shared" si="4"/>
        <v>1958</v>
      </c>
      <c r="J50" s="454">
        <f t="shared" si="4"/>
        <v>2690</v>
      </c>
      <c r="K50" s="454">
        <f t="shared" si="4"/>
        <v>0</v>
      </c>
      <c r="L50" s="454">
        <f t="shared" si="4"/>
        <v>0</v>
      </c>
      <c r="M50" s="454">
        <f t="shared" si="4"/>
        <v>0</v>
      </c>
      <c r="N50" s="454">
        <f t="shared" si="4"/>
        <v>0</v>
      </c>
      <c r="O50" s="454">
        <f t="shared" si="4"/>
        <v>0</v>
      </c>
      <c r="P50" s="454">
        <f t="shared" si="4"/>
        <v>0</v>
      </c>
      <c r="Q50" s="455">
        <f t="shared" si="2"/>
        <v>6606</v>
      </c>
    </row>
    <row r="51" spans="1:17" s="254" customFormat="1" x14ac:dyDescent="0.2"/>
    <row r="52" spans="1:17" s="456" customFormat="1" x14ac:dyDescent="0.2">
      <c r="A52" s="454"/>
      <c r="B52" s="454" t="s">
        <v>405</v>
      </c>
      <c r="C52" s="454">
        <f t="shared" ref="C52:Q52" si="5">C38+C50</f>
        <v>197131</v>
      </c>
      <c r="D52" s="454">
        <f t="shared" si="5"/>
        <v>204158</v>
      </c>
      <c r="E52" s="454">
        <f>E38+E50</f>
        <v>87124</v>
      </c>
      <c r="F52" s="454">
        <f t="shared" si="5"/>
        <v>102375</v>
      </c>
      <c r="G52" s="454">
        <f t="shared" si="5"/>
        <v>189971</v>
      </c>
      <c r="H52" s="454">
        <f t="shared" si="5"/>
        <v>139063</v>
      </c>
      <c r="I52" s="454">
        <f t="shared" si="5"/>
        <v>131435</v>
      </c>
      <c r="J52" s="454">
        <f t="shared" si="5"/>
        <v>5038</v>
      </c>
      <c r="K52" s="454">
        <f t="shared" si="5"/>
        <v>1817</v>
      </c>
      <c r="L52" s="454">
        <f t="shared" si="5"/>
        <v>675</v>
      </c>
      <c r="M52" s="454">
        <f t="shared" si="5"/>
        <v>11704</v>
      </c>
      <c r="N52" s="454">
        <f t="shared" si="5"/>
        <v>400</v>
      </c>
      <c r="O52" s="454">
        <f t="shared" si="5"/>
        <v>68118</v>
      </c>
      <c r="P52" s="454">
        <f t="shared" si="5"/>
        <v>42567</v>
      </c>
      <c r="Q52" s="454">
        <f t="shared" si="5"/>
        <v>0</v>
      </c>
    </row>
    <row r="53" spans="1:17" s="254" customFormat="1" x14ac:dyDescent="0.2"/>
    <row r="54" spans="1:17" s="254" customFormat="1" x14ac:dyDescent="0.2">
      <c r="E54" s="254">
        <f>SUM(C52:F52)</f>
        <v>590788</v>
      </c>
      <c r="J54" s="254">
        <f>SUM(G52:P52)</f>
        <v>590788</v>
      </c>
    </row>
    <row r="55" spans="1:17" s="254" customFormat="1" x14ac:dyDescent="0.2"/>
    <row r="56" spans="1:17" s="254" customFormat="1" x14ac:dyDescent="0.2"/>
    <row r="57" spans="1:17" s="254" customFormat="1" x14ac:dyDescent="0.2"/>
    <row r="58" spans="1:17" s="254" customFormat="1" x14ac:dyDescent="0.2"/>
    <row r="59" spans="1:17" s="254" customFormat="1" x14ac:dyDescent="0.2"/>
    <row r="60" spans="1:17" s="254" customFormat="1" x14ac:dyDescent="0.2"/>
    <row r="61" spans="1:17" s="254" customFormat="1" x14ac:dyDescent="0.2"/>
    <row r="62" spans="1:17" s="254" customFormat="1" x14ac:dyDescent="0.2"/>
    <row r="63" spans="1:17" s="254" customFormat="1" x14ac:dyDescent="0.2"/>
    <row r="64" spans="1:17" s="254" customFormat="1" x14ac:dyDescent="0.2"/>
    <row r="65" s="254" customFormat="1" x14ac:dyDescent="0.2"/>
    <row r="66" s="254" customFormat="1" x14ac:dyDescent="0.2"/>
    <row r="67" s="254" customFormat="1" x14ac:dyDescent="0.2"/>
    <row r="68" s="254" customFormat="1" x14ac:dyDescent="0.2"/>
    <row r="69" s="254" customFormat="1" x14ac:dyDescent="0.2"/>
    <row r="70" s="254" customFormat="1" x14ac:dyDescent="0.2"/>
    <row r="71" s="254" customFormat="1" x14ac:dyDescent="0.2"/>
    <row r="72" s="254" customFormat="1" x14ac:dyDescent="0.2"/>
    <row r="73" s="254" customFormat="1" x14ac:dyDescent="0.2"/>
    <row r="74" s="254" customFormat="1" x14ac:dyDescent="0.2"/>
    <row r="75" s="254" customFormat="1" x14ac:dyDescent="0.2"/>
    <row r="76" s="254" customFormat="1" x14ac:dyDescent="0.2"/>
    <row r="77" s="254" customFormat="1" x14ac:dyDescent="0.2"/>
    <row r="78" s="254" customFormat="1" x14ac:dyDescent="0.2"/>
    <row r="79" s="254" customFormat="1" x14ac:dyDescent="0.2"/>
    <row r="80" s="254" customFormat="1" x14ac:dyDescent="0.2"/>
    <row r="81" s="254" customFormat="1" x14ac:dyDescent="0.2"/>
    <row r="82" s="254" customFormat="1" x14ac:dyDescent="0.2"/>
    <row r="83" s="254" customFormat="1" x14ac:dyDescent="0.2"/>
    <row r="84" s="254" customFormat="1" x14ac:dyDescent="0.2"/>
    <row r="85" s="254" customFormat="1" x14ac:dyDescent="0.2"/>
    <row r="86" s="254" customFormat="1" x14ac:dyDescent="0.2"/>
    <row r="87" s="254" customFormat="1" x14ac:dyDescent="0.2"/>
    <row r="88" s="254" customFormat="1" x14ac:dyDescent="0.2"/>
    <row r="89" s="254" customFormat="1" x14ac:dyDescent="0.2"/>
    <row r="90" s="254" customFormat="1" x14ac:dyDescent="0.2"/>
    <row r="91" s="254" customFormat="1" x14ac:dyDescent="0.2"/>
    <row r="92" s="254" customFormat="1" x14ac:dyDescent="0.2"/>
    <row r="93" s="254" customFormat="1" x14ac:dyDescent="0.2"/>
    <row r="94" s="254" customFormat="1" x14ac:dyDescent="0.2"/>
    <row r="95" s="254" customFormat="1" x14ac:dyDescent="0.2"/>
    <row r="96" s="254" customFormat="1" x14ac:dyDescent="0.2"/>
    <row r="97" s="254" customFormat="1" x14ac:dyDescent="0.2"/>
    <row r="98" s="254" customFormat="1" x14ac:dyDescent="0.2"/>
    <row r="99" s="254" customFormat="1" x14ac:dyDescent="0.2"/>
    <row r="100" s="254" customFormat="1" x14ac:dyDescent="0.2"/>
    <row r="101" s="254" customFormat="1" x14ac:dyDescent="0.2"/>
    <row r="102" s="254" customFormat="1" x14ac:dyDescent="0.2"/>
    <row r="103" s="254" customFormat="1" x14ac:dyDescent="0.2"/>
    <row r="104" s="254" customFormat="1" x14ac:dyDescent="0.2"/>
    <row r="105" s="254" customFormat="1" x14ac:dyDescent="0.2"/>
    <row r="106" s="254" customFormat="1" x14ac:dyDescent="0.2"/>
    <row r="107" s="254" customFormat="1" x14ac:dyDescent="0.2"/>
    <row r="108" s="254" customFormat="1" x14ac:dyDescent="0.2"/>
    <row r="109" s="254" customFormat="1" x14ac:dyDescent="0.2"/>
    <row r="110" s="254" customFormat="1" x14ac:dyDescent="0.2"/>
    <row r="111" s="254" customFormat="1" x14ac:dyDescent="0.2"/>
    <row r="112" s="254" customFormat="1" x14ac:dyDescent="0.2"/>
    <row r="113" s="254" customFormat="1" x14ac:dyDescent="0.2"/>
    <row r="114" s="254" customFormat="1" x14ac:dyDescent="0.2"/>
    <row r="115" s="254" customFormat="1" x14ac:dyDescent="0.2"/>
    <row r="116" s="254" customFormat="1" x14ac:dyDescent="0.2"/>
    <row r="117" s="254" customFormat="1" x14ac:dyDescent="0.2"/>
    <row r="118" s="254" customFormat="1" x14ac:dyDescent="0.2"/>
    <row r="119" s="254" customFormat="1" x14ac:dyDescent="0.2"/>
    <row r="120" s="254" customFormat="1" x14ac:dyDescent="0.2"/>
    <row r="121" s="254" customFormat="1" x14ac:dyDescent="0.2"/>
    <row r="122" s="254" customFormat="1" x14ac:dyDescent="0.2"/>
    <row r="123" s="254" customFormat="1" x14ac:dyDescent="0.2"/>
    <row r="124" s="254" customFormat="1" x14ac:dyDescent="0.2"/>
    <row r="125" s="254" customFormat="1" x14ac:dyDescent="0.2"/>
    <row r="126" s="254" customFormat="1" x14ac:dyDescent="0.2"/>
    <row r="127" s="254" customFormat="1" x14ac:dyDescent="0.2"/>
    <row r="128" s="254" customFormat="1" x14ac:dyDescent="0.2"/>
    <row r="129" s="254" customFormat="1" x14ac:dyDescent="0.2"/>
    <row r="130" s="254" customFormat="1" x14ac:dyDescent="0.2"/>
    <row r="131" s="254" customFormat="1" x14ac:dyDescent="0.2"/>
    <row r="132" s="254" customFormat="1" x14ac:dyDescent="0.2"/>
    <row r="133" s="254" customFormat="1" x14ac:dyDescent="0.2"/>
    <row r="134" s="254" customFormat="1" x14ac:dyDescent="0.2"/>
    <row r="135" s="254" customFormat="1" x14ac:dyDescent="0.2"/>
  </sheetData>
  <mergeCells count="21">
    <mergeCell ref="A42:B44"/>
    <mergeCell ref="Q43:Q44"/>
    <mergeCell ref="C43:C44"/>
    <mergeCell ref="C5:C6"/>
    <mergeCell ref="C1:Q1"/>
    <mergeCell ref="A2:Q2"/>
    <mergeCell ref="A4:B6"/>
    <mergeCell ref="C4:F4"/>
    <mergeCell ref="G4:Q4"/>
    <mergeCell ref="R43:T44"/>
    <mergeCell ref="R5:T6"/>
    <mergeCell ref="R7:T7"/>
    <mergeCell ref="F5:F6"/>
    <mergeCell ref="J43:P43"/>
    <mergeCell ref="J5:P5"/>
    <mergeCell ref="H43:I43"/>
    <mergeCell ref="Q5:Q6"/>
    <mergeCell ref="H5:I5"/>
    <mergeCell ref="F43:F44"/>
    <mergeCell ref="C42:F42"/>
    <mergeCell ref="G42:Q42"/>
  </mergeCells>
  <phoneticPr fontId="5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view="pageBreakPreview" topLeftCell="A2" workbookViewId="0">
      <selection activeCell="A2" sqref="A2:D2"/>
    </sheetView>
  </sheetViews>
  <sheetFormatPr defaultRowHeight="13.2" x14ac:dyDescent="0.25"/>
  <cols>
    <col min="1" max="1" width="62.5546875" customWidth="1"/>
    <col min="2" max="2" width="28.5546875" style="313" customWidth="1"/>
    <col min="3" max="3" width="17" style="313" customWidth="1"/>
    <col min="4" max="4" width="17.33203125" customWidth="1"/>
    <col min="5" max="5" width="10" bestFit="1" customWidth="1"/>
    <col min="6" max="6" width="10.109375" bestFit="1" customWidth="1"/>
  </cols>
  <sheetData>
    <row r="1" spans="1:4" ht="20.25" customHeight="1" x14ac:dyDescent="0.25">
      <c r="A1" s="477" t="s">
        <v>224</v>
      </c>
      <c r="B1" s="477"/>
      <c r="C1" s="477"/>
      <c r="D1" s="477"/>
    </row>
    <row r="2" spans="1:4" ht="26.25" customHeight="1" x14ac:dyDescent="0.25">
      <c r="A2" s="476" t="s">
        <v>679</v>
      </c>
      <c r="B2" s="476"/>
      <c r="C2" s="476"/>
      <c r="D2" s="476"/>
    </row>
    <row r="3" spans="1:4" ht="18" customHeight="1" thickBot="1" x14ac:dyDescent="0.3">
      <c r="A3" s="344"/>
      <c r="B3" s="344"/>
      <c r="D3" s="395" t="s">
        <v>446</v>
      </c>
    </row>
    <row r="4" spans="1:4" ht="33" customHeight="1" x14ac:dyDescent="0.25">
      <c r="A4" s="284" t="s">
        <v>521</v>
      </c>
      <c r="B4" s="426" t="s">
        <v>576</v>
      </c>
      <c r="C4" s="425" t="s">
        <v>575</v>
      </c>
      <c r="D4" s="427" t="s">
        <v>577</v>
      </c>
    </row>
    <row r="5" spans="1:4" ht="15.6" x14ac:dyDescent="0.25">
      <c r="A5" s="217"/>
      <c r="B5" s="422"/>
      <c r="C5" s="457"/>
      <c r="D5" s="214"/>
    </row>
    <row r="6" spans="1:4" ht="19.5" customHeight="1" x14ac:dyDescent="0.25">
      <c r="A6" s="218" t="s">
        <v>225</v>
      </c>
      <c r="B6" s="423"/>
      <c r="C6" s="457"/>
      <c r="D6" s="214"/>
    </row>
    <row r="7" spans="1:4" ht="22.5" customHeight="1" thickBot="1" x14ac:dyDescent="0.3">
      <c r="A7" s="216" t="s">
        <v>226</v>
      </c>
      <c r="B7" s="424"/>
      <c r="C7" s="458"/>
      <c r="D7" s="252"/>
    </row>
    <row r="8" spans="1:4" ht="23.25" customHeight="1" x14ac:dyDescent="0.25">
      <c r="A8" s="217" t="s">
        <v>227</v>
      </c>
      <c r="B8" s="312"/>
      <c r="C8" s="310"/>
      <c r="D8" s="238"/>
    </row>
    <row r="9" spans="1:4" ht="18.75" customHeight="1" x14ac:dyDescent="0.25">
      <c r="A9" s="217" t="s">
        <v>522</v>
      </c>
      <c r="B9" s="312">
        <v>39754400</v>
      </c>
      <c r="C9" s="310"/>
      <c r="D9" s="235">
        <f>B9+C9</f>
        <v>39754400</v>
      </c>
    </row>
    <row r="10" spans="1:4" ht="19.5" customHeight="1" x14ac:dyDescent="0.25">
      <c r="A10" s="217" t="s">
        <v>228</v>
      </c>
      <c r="B10" s="312"/>
      <c r="C10" s="310"/>
      <c r="D10" s="235">
        <f t="shared" ref="D10:D56" si="0">B10+C10</f>
        <v>0</v>
      </c>
    </row>
    <row r="11" spans="1:4" ht="20.25" customHeight="1" x14ac:dyDescent="0.25">
      <c r="A11" s="217" t="s">
        <v>364</v>
      </c>
      <c r="B11" s="312">
        <v>4906000</v>
      </c>
      <c r="C11" s="310"/>
      <c r="D11" s="235">
        <f t="shared" si="0"/>
        <v>4906000</v>
      </c>
    </row>
    <row r="12" spans="1:4" ht="18" customHeight="1" x14ac:dyDescent="0.25">
      <c r="A12" s="217" t="s">
        <v>365</v>
      </c>
      <c r="B12" s="312">
        <v>6976000</v>
      </c>
      <c r="C12" s="310"/>
      <c r="D12" s="235">
        <f t="shared" si="0"/>
        <v>6976000</v>
      </c>
    </row>
    <row r="13" spans="1:4" ht="19.5" customHeight="1" x14ac:dyDescent="0.25">
      <c r="A13" s="217" t="s">
        <v>363</v>
      </c>
      <c r="B13" s="312">
        <v>1317762</v>
      </c>
      <c r="C13" s="310"/>
      <c r="D13" s="235">
        <f t="shared" si="0"/>
        <v>1317762</v>
      </c>
    </row>
    <row r="14" spans="1:4" ht="18" customHeight="1" x14ac:dyDescent="0.25">
      <c r="A14" s="217" t="s">
        <v>362</v>
      </c>
      <c r="B14" s="312">
        <v>2072510</v>
      </c>
      <c r="C14" s="310"/>
      <c r="D14" s="235">
        <f t="shared" si="0"/>
        <v>2072510</v>
      </c>
    </row>
    <row r="15" spans="1:4" ht="20.25" customHeight="1" x14ac:dyDescent="0.25">
      <c r="A15" s="217" t="s">
        <v>3</v>
      </c>
      <c r="B15" s="312"/>
      <c r="C15" s="310"/>
      <c r="D15" s="235">
        <f t="shared" si="0"/>
        <v>0</v>
      </c>
    </row>
    <row r="16" spans="1:4" ht="18" customHeight="1" x14ac:dyDescent="0.25">
      <c r="A16" s="277" t="s">
        <v>523</v>
      </c>
      <c r="B16" s="312">
        <v>5095231</v>
      </c>
      <c r="C16" s="310"/>
      <c r="D16" s="235">
        <f t="shared" si="0"/>
        <v>5095231</v>
      </c>
    </row>
    <row r="17" spans="1:4" ht="18" customHeight="1" x14ac:dyDescent="0.25">
      <c r="A17" s="277" t="s">
        <v>361</v>
      </c>
      <c r="B17" s="312">
        <v>96900</v>
      </c>
      <c r="C17" s="310"/>
      <c r="D17" s="235">
        <f t="shared" si="0"/>
        <v>96900</v>
      </c>
    </row>
    <row r="18" spans="1:4" ht="18" customHeight="1" x14ac:dyDescent="0.25">
      <c r="A18" s="277" t="s">
        <v>608</v>
      </c>
      <c r="B18" s="312"/>
      <c r="C18" s="310">
        <v>181864</v>
      </c>
      <c r="D18" s="235">
        <v>182000</v>
      </c>
    </row>
    <row r="19" spans="1:4" ht="18" customHeight="1" x14ac:dyDescent="0.25">
      <c r="A19" s="277" t="s">
        <v>609</v>
      </c>
      <c r="B19" s="312"/>
      <c r="C19" s="310">
        <v>1000000</v>
      </c>
      <c r="D19" s="235">
        <v>1000000</v>
      </c>
    </row>
    <row r="20" spans="1:4" s="99" customFormat="1" ht="18" customHeight="1" thickBot="1" x14ac:dyDescent="0.3">
      <c r="A20" s="218" t="s">
        <v>360</v>
      </c>
      <c r="B20" s="314">
        <f>SUM(B9:B19)</f>
        <v>60218803</v>
      </c>
      <c r="C20" s="314">
        <f>SUM(C9:C19)</f>
        <v>1181864</v>
      </c>
      <c r="D20" s="55">
        <f t="shared" si="0"/>
        <v>61400667</v>
      </c>
    </row>
    <row r="21" spans="1:4" ht="33.75" customHeight="1" x14ac:dyDescent="0.25">
      <c r="A21" s="317" t="s">
        <v>229</v>
      </c>
      <c r="B21" s="318"/>
      <c r="C21" s="319"/>
      <c r="D21" s="428">
        <f t="shared" si="0"/>
        <v>0</v>
      </c>
    </row>
    <row r="22" spans="1:4" ht="18.75" customHeight="1" x14ac:dyDescent="0.25">
      <c r="A22" s="217" t="s">
        <v>230</v>
      </c>
      <c r="B22" s="312"/>
      <c r="C22" s="310"/>
      <c r="D22" s="235">
        <f t="shared" si="0"/>
        <v>0</v>
      </c>
    </row>
    <row r="23" spans="1:4" ht="18" customHeight="1" x14ac:dyDescent="0.25">
      <c r="A23" s="217" t="s">
        <v>524</v>
      </c>
      <c r="B23" s="312">
        <v>24435453</v>
      </c>
      <c r="C23" s="310">
        <f>-297993+167567</f>
        <v>-130426</v>
      </c>
      <c r="D23" s="235">
        <f t="shared" si="0"/>
        <v>24305027</v>
      </c>
    </row>
    <row r="24" spans="1:4" ht="18.75" customHeight="1" x14ac:dyDescent="0.25">
      <c r="A24" s="217" t="s">
        <v>525</v>
      </c>
      <c r="B24" s="312">
        <v>10578763</v>
      </c>
      <c r="C24" s="310">
        <f>2085954+595986</f>
        <v>2681940</v>
      </c>
      <c r="D24" s="235">
        <f t="shared" si="0"/>
        <v>13260703</v>
      </c>
    </row>
    <row r="25" spans="1:4" ht="19.5" customHeight="1" x14ac:dyDescent="0.25">
      <c r="A25" s="217" t="s">
        <v>526</v>
      </c>
      <c r="B25" s="312">
        <v>7200000</v>
      </c>
      <c r="C25" s="310"/>
      <c r="D25" s="235">
        <f t="shared" si="0"/>
        <v>7200000</v>
      </c>
    </row>
    <row r="26" spans="1:4" ht="21" customHeight="1" x14ac:dyDescent="0.25">
      <c r="A26" s="217" t="s">
        <v>527</v>
      </c>
      <c r="B26" s="312">
        <v>3600000</v>
      </c>
      <c r="C26" s="310"/>
      <c r="D26" s="235">
        <f t="shared" si="0"/>
        <v>3600000</v>
      </c>
    </row>
    <row r="27" spans="1:4" ht="20.25" customHeight="1" x14ac:dyDescent="0.25">
      <c r="A27" s="217" t="s">
        <v>528</v>
      </c>
      <c r="B27" s="312">
        <v>271220</v>
      </c>
      <c r="C27" s="310">
        <f>53480+15280</f>
        <v>68760</v>
      </c>
      <c r="D27" s="235">
        <f t="shared" si="0"/>
        <v>339980</v>
      </c>
    </row>
    <row r="28" spans="1:4" ht="18" customHeight="1" x14ac:dyDescent="0.25">
      <c r="A28" s="217" t="s">
        <v>529</v>
      </c>
      <c r="B28" s="312"/>
      <c r="C28" s="310"/>
      <c r="D28" s="235">
        <f t="shared" si="0"/>
        <v>0</v>
      </c>
    </row>
    <row r="29" spans="1:4" ht="19.5" customHeight="1" x14ac:dyDescent="0.25">
      <c r="A29" s="217" t="s">
        <v>530</v>
      </c>
      <c r="B29" s="312">
        <v>4139467</v>
      </c>
      <c r="C29" s="310">
        <v>-54467</v>
      </c>
      <c r="D29" s="235">
        <f t="shared" si="0"/>
        <v>4085000</v>
      </c>
    </row>
    <row r="30" spans="1:4" ht="17.25" customHeight="1" x14ac:dyDescent="0.25">
      <c r="A30" s="217" t="s">
        <v>531</v>
      </c>
      <c r="B30" s="312">
        <v>1879100</v>
      </c>
      <c r="C30" s="310">
        <f>245100+136167</f>
        <v>381267</v>
      </c>
      <c r="D30" s="235">
        <f t="shared" si="0"/>
        <v>2260367</v>
      </c>
    </row>
    <row r="31" spans="1:4" ht="18.75" customHeight="1" x14ac:dyDescent="0.25">
      <c r="A31" s="217" t="s">
        <v>2</v>
      </c>
      <c r="B31" s="312"/>
      <c r="C31" s="310"/>
      <c r="D31" s="235">
        <f t="shared" si="0"/>
        <v>0</v>
      </c>
    </row>
    <row r="32" spans="1:4" s="320" customFormat="1" ht="18.75" customHeight="1" x14ac:dyDescent="0.25">
      <c r="A32" s="217" t="s">
        <v>532</v>
      </c>
      <c r="B32" s="312">
        <v>1386000</v>
      </c>
      <c r="C32" s="310"/>
      <c r="D32" s="235">
        <f t="shared" si="0"/>
        <v>1386000</v>
      </c>
    </row>
    <row r="33" spans="1:6" s="320" customFormat="1" ht="17.25" customHeight="1" x14ac:dyDescent="0.25">
      <c r="A33" s="217" t="s">
        <v>533</v>
      </c>
      <c r="B33" s="312">
        <v>630000</v>
      </c>
      <c r="C33" s="310">
        <v>189000</v>
      </c>
      <c r="D33" s="235">
        <f t="shared" si="0"/>
        <v>819000</v>
      </c>
    </row>
    <row r="34" spans="1:6" s="320" customFormat="1" ht="17.25" customHeight="1" x14ac:dyDescent="0.25">
      <c r="A34" s="217" t="s">
        <v>634</v>
      </c>
      <c r="B34" s="312"/>
      <c r="C34" s="310">
        <v>2035000</v>
      </c>
      <c r="D34" s="235">
        <v>2035000</v>
      </c>
    </row>
    <row r="35" spans="1:6" s="99" customFormat="1" ht="16.5" customHeight="1" thickBot="1" x14ac:dyDescent="0.3">
      <c r="A35" s="321" t="s">
        <v>97</v>
      </c>
      <c r="B35" s="322">
        <f>SUM(B23:B33)</f>
        <v>54120003</v>
      </c>
      <c r="C35" s="322">
        <f>SUM(C23:C34)</f>
        <v>5171074</v>
      </c>
      <c r="D35" s="55">
        <f t="shared" si="0"/>
        <v>59291077</v>
      </c>
      <c r="F35" s="459"/>
    </row>
    <row r="36" spans="1:6" ht="20.25" customHeight="1" x14ac:dyDescent="0.25">
      <c r="A36" s="217" t="s">
        <v>4</v>
      </c>
      <c r="B36" s="312"/>
      <c r="C36" s="312"/>
      <c r="D36" s="428">
        <f t="shared" si="0"/>
        <v>0</v>
      </c>
    </row>
    <row r="37" spans="1:6" ht="18.75" customHeight="1" x14ac:dyDescent="0.25">
      <c r="A37" s="217" t="s">
        <v>366</v>
      </c>
      <c r="B37" s="312">
        <v>17791000</v>
      </c>
      <c r="C37" s="312"/>
      <c r="D37" s="235">
        <f t="shared" si="0"/>
        <v>17791000</v>
      </c>
    </row>
    <row r="38" spans="1:6" ht="18" customHeight="1" x14ac:dyDescent="0.25">
      <c r="A38" s="217" t="s">
        <v>367</v>
      </c>
      <c r="B38" s="312"/>
      <c r="C38" s="310"/>
      <c r="D38" s="235">
        <f t="shared" si="0"/>
        <v>0</v>
      </c>
    </row>
    <row r="39" spans="1:6" ht="19.5" customHeight="1" x14ac:dyDescent="0.25">
      <c r="A39" s="217" t="s">
        <v>231</v>
      </c>
      <c r="B39" s="312"/>
      <c r="C39" s="310"/>
      <c r="D39" s="235">
        <f t="shared" si="0"/>
        <v>0</v>
      </c>
    </row>
    <row r="40" spans="1:6" ht="17.25" customHeight="1" x14ac:dyDescent="0.25">
      <c r="A40" s="217" t="s">
        <v>534</v>
      </c>
      <c r="B40" s="312">
        <v>5115264</v>
      </c>
      <c r="C40" s="310">
        <v>-365376</v>
      </c>
      <c r="D40" s="235">
        <f t="shared" si="0"/>
        <v>4749888</v>
      </c>
    </row>
    <row r="41" spans="1:6" ht="16.5" customHeight="1" x14ac:dyDescent="0.25">
      <c r="A41" s="217" t="s">
        <v>232</v>
      </c>
      <c r="B41" s="312"/>
      <c r="C41" s="310"/>
      <c r="D41" s="235">
        <f t="shared" si="0"/>
        <v>0</v>
      </c>
    </row>
    <row r="42" spans="1:6" ht="18.75" customHeight="1" x14ac:dyDescent="0.25">
      <c r="A42" s="217" t="s">
        <v>536</v>
      </c>
      <c r="B42" s="312">
        <v>9282000</v>
      </c>
      <c r="C42" s="310">
        <f>2730000+1092000</f>
        <v>3822000</v>
      </c>
      <c r="D42" s="235">
        <f t="shared" si="0"/>
        <v>13104000</v>
      </c>
    </row>
    <row r="43" spans="1:6" ht="18.75" customHeight="1" x14ac:dyDescent="0.25">
      <c r="A43" s="217" t="s">
        <v>535</v>
      </c>
      <c r="B43" s="312">
        <v>825000</v>
      </c>
      <c r="C43" s="310">
        <f>-300000-150000</f>
        <v>-450000</v>
      </c>
      <c r="D43" s="235">
        <f t="shared" si="0"/>
        <v>375000</v>
      </c>
    </row>
    <row r="44" spans="1:6" ht="18.75" customHeight="1" x14ac:dyDescent="0.25">
      <c r="A44" s="217" t="s">
        <v>537</v>
      </c>
      <c r="B44" s="312">
        <v>988200</v>
      </c>
      <c r="C44" s="310">
        <v>-988200</v>
      </c>
      <c r="D44" s="235">
        <f t="shared" si="0"/>
        <v>0</v>
      </c>
    </row>
    <row r="45" spans="1:6" ht="18" customHeight="1" x14ac:dyDescent="0.25">
      <c r="A45" s="217" t="s">
        <v>0</v>
      </c>
      <c r="B45" s="312"/>
      <c r="C45" s="310"/>
      <c r="D45" s="235">
        <f t="shared" si="0"/>
        <v>0</v>
      </c>
    </row>
    <row r="46" spans="1:6" ht="18" customHeight="1" x14ac:dyDescent="0.25">
      <c r="A46" s="217" t="s">
        <v>635</v>
      </c>
      <c r="B46" s="312">
        <v>10412160</v>
      </c>
      <c r="C46" s="312">
        <f>261120+163200</f>
        <v>424320</v>
      </c>
      <c r="D46" s="235">
        <f t="shared" si="0"/>
        <v>10836480</v>
      </c>
    </row>
    <row r="47" spans="1:6" ht="18" customHeight="1" x14ac:dyDescent="0.25">
      <c r="A47" s="217" t="s">
        <v>636</v>
      </c>
      <c r="B47" s="312">
        <v>11609689</v>
      </c>
      <c r="C47" s="312">
        <v>1211484</v>
      </c>
      <c r="D47" s="235">
        <f t="shared" si="0"/>
        <v>12821173</v>
      </c>
    </row>
    <row r="48" spans="1:6" ht="19.5" customHeight="1" x14ac:dyDescent="0.25">
      <c r="A48" s="217" t="s">
        <v>637</v>
      </c>
      <c r="B48" s="312">
        <v>800280</v>
      </c>
      <c r="C48" s="312">
        <f>37620+76380</f>
        <v>114000</v>
      </c>
      <c r="D48" s="235">
        <f t="shared" si="0"/>
        <v>914280</v>
      </c>
    </row>
    <row r="49" spans="1:4" ht="18" customHeight="1" x14ac:dyDescent="0.25">
      <c r="A49" s="217" t="s">
        <v>655</v>
      </c>
      <c r="B49" s="312">
        <v>1447000</v>
      </c>
      <c r="C49" s="312">
        <f>95000+187000</f>
        <v>282000</v>
      </c>
      <c r="D49" s="235">
        <f t="shared" si="0"/>
        <v>1729000</v>
      </c>
    </row>
    <row r="50" spans="1:4" ht="18" customHeight="1" thickBot="1" x14ac:dyDescent="0.3">
      <c r="A50" s="217" t="s">
        <v>656</v>
      </c>
      <c r="B50" s="312"/>
      <c r="C50" s="312">
        <v>245000</v>
      </c>
      <c r="D50" s="235">
        <v>245000</v>
      </c>
    </row>
    <row r="51" spans="1:4" s="99" customFormat="1" ht="18" customHeight="1" thickBot="1" x14ac:dyDescent="0.3">
      <c r="A51" s="321" t="s">
        <v>1</v>
      </c>
      <c r="B51" s="322">
        <f>SUM(B37:B49)</f>
        <v>58270593</v>
      </c>
      <c r="C51" s="322">
        <f>SUM(C37:C50)</f>
        <v>4295228</v>
      </c>
      <c r="D51" s="429">
        <f t="shared" si="0"/>
        <v>62565821</v>
      </c>
    </row>
    <row r="52" spans="1:4" ht="18" customHeight="1" x14ac:dyDescent="0.25">
      <c r="A52" s="217" t="s">
        <v>233</v>
      </c>
      <c r="B52" s="312"/>
      <c r="C52" s="312"/>
      <c r="D52" s="428">
        <f t="shared" si="0"/>
        <v>0</v>
      </c>
    </row>
    <row r="53" spans="1:4" ht="20.25" customHeight="1" x14ac:dyDescent="0.25">
      <c r="A53" s="219" t="s">
        <v>234</v>
      </c>
      <c r="B53" s="315"/>
      <c r="C53" s="312"/>
      <c r="D53" s="235">
        <f t="shared" si="0"/>
        <v>0</v>
      </c>
    </row>
    <row r="54" spans="1:4" ht="17.25" customHeight="1" thickBot="1" x14ac:dyDescent="0.3">
      <c r="A54" s="220" t="s">
        <v>444</v>
      </c>
      <c r="B54" s="334">
        <v>1867320</v>
      </c>
      <c r="C54" s="311"/>
      <c r="D54" s="241">
        <f t="shared" si="0"/>
        <v>1867320</v>
      </c>
    </row>
    <row r="55" spans="1:4" ht="17.25" customHeight="1" thickBot="1" x14ac:dyDescent="0.3">
      <c r="A55" s="220" t="s">
        <v>657</v>
      </c>
      <c r="B55" s="334"/>
      <c r="C55" s="311">
        <v>211000</v>
      </c>
      <c r="D55" s="241">
        <f>C55</f>
        <v>211000</v>
      </c>
    </row>
    <row r="56" spans="1:4" ht="18.75" customHeight="1" thickBot="1" x14ac:dyDescent="0.3">
      <c r="A56" s="221" t="s">
        <v>620</v>
      </c>
      <c r="B56" s="316">
        <f>B54+B51+B35+B20</f>
        <v>174476719</v>
      </c>
      <c r="C56" s="316">
        <f>C54+C51+C35+C20+C55</f>
        <v>10859166</v>
      </c>
      <c r="D56" s="429">
        <f t="shared" si="0"/>
        <v>185335885</v>
      </c>
    </row>
  </sheetData>
  <mergeCells count="2">
    <mergeCell ref="A2:D2"/>
    <mergeCell ref="A1:D1"/>
  </mergeCells>
  <phoneticPr fontId="5" type="noConversion"/>
  <pageMargins left="0.75" right="0.75" top="1" bottom="1" header="0.5" footer="0.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425"/>
  <sheetViews>
    <sheetView view="pageBreakPreview" zoomScaleSheetLayoutView="100" workbookViewId="0">
      <selection activeCell="A3" sqref="A3:D3"/>
    </sheetView>
  </sheetViews>
  <sheetFormatPr defaultColWidth="9.109375" defaultRowHeight="13.2" x14ac:dyDescent="0.25"/>
  <cols>
    <col min="1" max="1" width="53.5546875" style="1" customWidth="1"/>
    <col min="2" max="2" width="14.33203125" style="2" customWidth="1"/>
    <col min="3" max="3" width="13.109375" style="1" customWidth="1"/>
    <col min="4" max="4" width="14.109375" style="1" customWidth="1"/>
    <col min="5" max="5" width="14.44140625" style="291" bestFit="1" customWidth="1"/>
    <col min="6" max="6" width="9.5546875" style="1" bestFit="1" customWidth="1"/>
    <col min="7" max="8" width="9.109375" style="1"/>
    <col min="9" max="9" width="8.44140625" style="1" customWidth="1"/>
    <col min="10" max="16384" width="9.109375" style="1"/>
  </cols>
  <sheetData>
    <row r="1" spans="1:5" x14ac:dyDescent="0.25">
      <c r="A1" s="481" t="s">
        <v>56</v>
      </c>
      <c r="B1" s="482"/>
      <c r="C1" s="482"/>
      <c r="D1" s="482"/>
    </row>
    <row r="2" spans="1:5" x14ac:dyDescent="0.25">
      <c r="A2" s="481" t="s">
        <v>551</v>
      </c>
      <c r="B2" s="482"/>
      <c r="C2" s="482"/>
      <c r="D2" s="482"/>
    </row>
    <row r="3" spans="1:5" ht="30.75" customHeight="1" x14ac:dyDescent="0.25">
      <c r="A3" s="476" t="s">
        <v>679</v>
      </c>
      <c r="B3" s="476"/>
      <c r="C3" s="476"/>
      <c r="D3" s="476"/>
    </row>
    <row r="4" spans="1:5" x14ac:dyDescent="0.25">
      <c r="C4" s="342"/>
      <c r="D4" s="342" t="s">
        <v>445</v>
      </c>
    </row>
    <row r="5" spans="1:5" ht="13.8" thickBot="1" x14ac:dyDescent="0.3">
      <c r="C5" s="342"/>
      <c r="D5" s="342" t="s">
        <v>448</v>
      </c>
    </row>
    <row r="6" spans="1:5" ht="13.8" thickBot="1" x14ac:dyDescent="0.3">
      <c r="A6" s="3" t="s">
        <v>24</v>
      </c>
      <c r="B6" s="4"/>
      <c r="C6" s="5"/>
      <c r="D6" s="5"/>
      <c r="E6" s="292"/>
    </row>
    <row r="7" spans="1:5" x14ac:dyDescent="0.25">
      <c r="A7" s="11" t="s">
        <v>26</v>
      </c>
      <c r="B7" s="12" t="s">
        <v>27</v>
      </c>
      <c r="C7" s="13"/>
      <c r="D7" s="138" t="s">
        <v>28</v>
      </c>
      <c r="E7" s="483" t="s">
        <v>158</v>
      </c>
    </row>
    <row r="8" spans="1:5" ht="13.8" thickBot="1" x14ac:dyDescent="0.3">
      <c r="A8" s="177"/>
      <c r="B8" s="178" t="s">
        <v>70</v>
      </c>
      <c r="C8" s="179" t="s">
        <v>29</v>
      </c>
      <c r="D8" s="166"/>
      <c r="E8" s="484"/>
    </row>
    <row r="9" spans="1:5" s="99" customFormat="1" x14ac:dyDescent="0.25">
      <c r="A9" s="330" t="s">
        <v>368</v>
      </c>
      <c r="B9" s="331">
        <f>B10+B17</f>
        <v>201799</v>
      </c>
      <c r="C9" s="331">
        <f>C10+C17</f>
        <v>318223</v>
      </c>
      <c r="D9" s="332"/>
      <c r="E9" s="328"/>
    </row>
    <row r="10" spans="1:5" x14ac:dyDescent="0.25">
      <c r="A10" s="137" t="s">
        <v>369</v>
      </c>
      <c r="B10" s="29">
        <f>SUM(B11:B16)</f>
        <v>174477</v>
      </c>
      <c r="C10" s="29">
        <f>SUM(C11:C16)</f>
        <v>195139</v>
      </c>
      <c r="D10" s="142">
        <f>SUM(D11:D16)</f>
        <v>0</v>
      </c>
      <c r="E10" s="301"/>
    </row>
    <row r="11" spans="1:5" x14ac:dyDescent="0.25">
      <c r="A11" s="70" t="s">
        <v>134</v>
      </c>
      <c r="B11" s="26">
        <v>60219</v>
      </c>
      <c r="C11" s="26">
        <f>B11+182+1000</f>
        <v>61401</v>
      </c>
      <c r="D11" s="93"/>
      <c r="E11" s="295"/>
    </row>
    <row r="12" spans="1:5" x14ac:dyDescent="0.25">
      <c r="A12" s="70" t="s">
        <v>135</v>
      </c>
      <c r="B12" s="26">
        <v>54120</v>
      </c>
      <c r="C12" s="26">
        <f>B12+2221+747+2035+168</f>
        <v>59291</v>
      </c>
      <c r="D12" s="93"/>
      <c r="E12" s="295"/>
    </row>
    <row r="13" spans="1:5" x14ac:dyDescent="0.25">
      <c r="A13" s="70" t="s">
        <v>136</v>
      </c>
      <c r="B13" s="26">
        <v>56824</v>
      </c>
      <c r="C13" s="26">
        <f>B13+2430-988+299-365-150+1092+163+77+1211+245</f>
        <v>60838</v>
      </c>
      <c r="D13" s="93"/>
      <c r="E13" s="295"/>
    </row>
    <row r="14" spans="1:5" x14ac:dyDescent="0.25">
      <c r="A14" s="70" t="s">
        <v>435</v>
      </c>
      <c r="B14" s="26">
        <f>20+1427</f>
        <v>1447</v>
      </c>
      <c r="C14" s="26">
        <f>B14+95+187</f>
        <v>1729</v>
      </c>
      <c r="D14" s="93"/>
      <c r="E14" s="295"/>
    </row>
    <row r="15" spans="1:5" x14ac:dyDescent="0.25">
      <c r="A15" s="70" t="s">
        <v>137</v>
      </c>
      <c r="B15" s="26">
        <v>1867</v>
      </c>
      <c r="C15" s="26">
        <f>B15+211</f>
        <v>2078</v>
      </c>
      <c r="D15" s="93"/>
      <c r="E15" s="295"/>
    </row>
    <row r="16" spans="1:5" x14ac:dyDescent="0.25">
      <c r="A16" s="70" t="s">
        <v>610</v>
      </c>
      <c r="B16" s="26"/>
      <c r="C16" s="26">
        <f>2376-95+1550+1381+3787+2446+245+353+250-211-245-2035</f>
        <v>9802</v>
      </c>
      <c r="D16" s="93"/>
      <c r="E16" s="295"/>
    </row>
    <row r="17" spans="1:6" x14ac:dyDescent="0.25">
      <c r="A17" s="137" t="s">
        <v>370</v>
      </c>
      <c r="B17" s="29">
        <f>SUM(B18:B22)</f>
        <v>27322</v>
      </c>
      <c r="C17" s="29">
        <f>SUM(C18:C24)</f>
        <v>123084</v>
      </c>
      <c r="D17" s="29">
        <f>SUM(D18:D22)</f>
        <v>0</v>
      </c>
      <c r="E17" s="301"/>
      <c r="F17" s="291"/>
    </row>
    <row r="18" spans="1:6" x14ac:dyDescent="0.25">
      <c r="A18" s="79" t="s">
        <v>371</v>
      </c>
      <c r="B18" s="48">
        <v>3733</v>
      </c>
      <c r="C18" s="48">
        <f>B18+1284+80+143</f>
        <v>5240</v>
      </c>
      <c r="D18" s="147"/>
      <c r="E18" s="295"/>
    </row>
    <row r="19" spans="1:6" x14ac:dyDescent="0.25">
      <c r="A19" s="79" t="s">
        <v>372</v>
      </c>
      <c r="B19" s="396">
        <v>8310</v>
      </c>
      <c r="C19" s="48">
        <f>B19+1556+600+31465+43863+12142+467-2000</f>
        <v>96403</v>
      </c>
      <c r="D19" s="147"/>
      <c r="E19" s="295"/>
    </row>
    <row r="20" spans="1:6" x14ac:dyDescent="0.25">
      <c r="A20" s="79" t="s">
        <v>376</v>
      </c>
      <c r="B20" s="48">
        <v>1080</v>
      </c>
      <c r="C20" s="48">
        <v>1080</v>
      </c>
      <c r="D20" s="147"/>
      <c r="E20" s="295"/>
    </row>
    <row r="21" spans="1:6" x14ac:dyDescent="0.25">
      <c r="A21" s="79" t="s">
        <v>377</v>
      </c>
      <c r="B21" s="48"/>
      <c r="C21" s="48"/>
      <c r="D21" s="48"/>
      <c r="E21" s="295"/>
    </row>
    <row r="22" spans="1:6" x14ac:dyDescent="0.25">
      <c r="A22" s="79" t="s">
        <v>378</v>
      </c>
      <c r="B22" s="48">
        <v>14199</v>
      </c>
      <c r="C22" s="48">
        <f>B22+19</f>
        <v>14218</v>
      </c>
      <c r="D22" s="48"/>
      <c r="E22" s="295"/>
    </row>
    <row r="23" spans="1:6" x14ac:dyDescent="0.25">
      <c r="A23" s="430" t="s">
        <v>578</v>
      </c>
      <c r="B23" s="48"/>
      <c r="C23" s="48">
        <f>3300+1721</f>
        <v>5021</v>
      </c>
      <c r="D23" s="48"/>
      <c r="E23" s="445"/>
    </row>
    <row r="24" spans="1:6" x14ac:dyDescent="0.25">
      <c r="A24" s="430" t="s">
        <v>612</v>
      </c>
      <c r="B24" s="48"/>
      <c r="C24" s="224">
        <f>606+509.5+6.5</f>
        <v>1122</v>
      </c>
      <c r="D24" s="48"/>
      <c r="E24" s="445"/>
    </row>
    <row r="25" spans="1:6" ht="13.8" thickBot="1" x14ac:dyDescent="0.3">
      <c r="A25" s="62"/>
      <c r="B25" s="63"/>
      <c r="C25" s="63"/>
      <c r="D25" s="63"/>
      <c r="E25" s="327"/>
    </row>
    <row r="26" spans="1:6" ht="12.75" customHeight="1" x14ac:dyDescent="0.25">
      <c r="A26" s="440" t="s">
        <v>374</v>
      </c>
      <c r="B26" s="441">
        <v>0</v>
      </c>
      <c r="C26" s="442">
        <f>SUM(C27:C31)</f>
        <v>110890</v>
      </c>
      <c r="D26" s="443"/>
      <c r="E26" s="431"/>
    </row>
    <row r="27" spans="1:6" ht="12.75" customHeight="1" x14ac:dyDescent="0.25">
      <c r="A27" s="32" t="s">
        <v>579</v>
      </c>
      <c r="B27" s="436"/>
      <c r="C27" s="437">
        <v>2700</v>
      </c>
      <c r="D27" s="438"/>
      <c r="E27" s="439"/>
    </row>
    <row r="28" spans="1:6" ht="12.75" customHeight="1" x14ac:dyDescent="0.25">
      <c r="A28" s="32" t="s">
        <v>580</v>
      </c>
      <c r="B28" s="436"/>
      <c r="C28" s="437">
        <v>39027</v>
      </c>
      <c r="D28" s="438"/>
      <c r="E28" s="439"/>
    </row>
    <row r="29" spans="1:6" ht="12.75" customHeight="1" x14ac:dyDescent="0.25">
      <c r="A29" s="32" t="s">
        <v>581</v>
      </c>
      <c r="B29" s="436"/>
      <c r="C29" s="437">
        <f>11124+18798+2631+3811+3175+2000</f>
        <v>41539</v>
      </c>
      <c r="D29" s="438"/>
      <c r="E29" s="439"/>
    </row>
    <row r="30" spans="1:6" ht="12.75" customHeight="1" x14ac:dyDescent="0.25">
      <c r="A30" s="32" t="s">
        <v>611</v>
      </c>
      <c r="B30" s="436"/>
      <c r="C30" s="437">
        <v>14992</v>
      </c>
      <c r="D30" s="438"/>
      <c r="E30" s="439"/>
    </row>
    <row r="31" spans="1:6" ht="12.75" customHeight="1" x14ac:dyDescent="0.25">
      <c r="A31" s="32" t="s">
        <v>628</v>
      </c>
      <c r="B31" s="436"/>
      <c r="C31" s="437">
        <v>12632</v>
      </c>
      <c r="D31" s="438"/>
      <c r="E31" s="439"/>
    </row>
    <row r="32" spans="1:6" x14ac:dyDescent="0.25">
      <c r="A32" s="249"/>
      <c r="B32" s="432"/>
      <c r="C32" s="433"/>
      <c r="D32" s="434"/>
      <c r="E32" s="435"/>
    </row>
    <row r="33" spans="1:5" x14ac:dyDescent="0.25">
      <c r="A33" s="180" t="s">
        <v>375</v>
      </c>
      <c r="B33" s="150">
        <f>SUM(B34+B39+B41)</f>
        <v>37650</v>
      </c>
      <c r="C33" s="150">
        <f>SUM(C34+C39+C41+C42)</f>
        <v>42567</v>
      </c>
      <c r="D33" s="150">
        <f>SUM(D34+D39+D41)</f>
        <v>0</v>
      </c>
      <c r="E33" s="297"/>
    </row>
    <row r="34" spans="1:5" x14ac:dyDescent="0.25">
      <c r="A34" s="80" t="s">
        <v>125</v>
      </c>
      <c r="B34" s="81">
        <f>B35+B36+B37+B38</f>
        <v>34150</v>
      </c>
      <c r="C34" s="81">
        <f>SUM(C35:C38)</f>
        <v>36746</v>
      </c>
      <c r="D34" s="117">
        <f>SUM(D35:D38)</f>
        <v>0</v>
      </c>
      <c r="E34" s="296"/>
    </row>
    <row r="35" spans="1:5" x14ac:dyDescent="0.25">
      <c r="A35" s="70" t="s">
        <v>126</v>
      </c>
      <c r="B35" s="26">
        <v>1500</v>
      </c>
      <c r="C35" s="26">
        <f>1500+249</f>
        <v>1749</v>
      </c>
      <c r="D35" s="93"/>
      <c r="E35" s="296"/>
    </row>
    <row r="36" spans="1:5" x14ac:dyDescent="0.25">
      <c r="A36" s="70" t="s">
        <v>127</v>
      </c>
      <c r="B36" s="26">
        <v>4500</v>
      </c>
      <c r="C36" s="26">
        <f>4500+1105</f>
        <v>5605</v>
      </c>
      <c r="D36" s="93"/>
      <c r="E36" s="295"/>
    </row>
    <row r="37" spans="1:5" x14ac:dyDescent="0.25">
      <c r="A37" s="70" t="s">
        <v>128</v>
      </c>
      <c r="B37" s="26">
        <v>28000</v>
      </c>
      <c r="C37" s="26">
        <f>28000+1051</f>
        <v>29051</v>
      </c>
      <c r="D37" s="93"/>
      <c r="E37" s="295"/>
    </row>
    <row r="38" spans="1:5" x14ac:dyDescent="0.25">
      <c r="A38" s="70" t="s">
        <v>129</v>
      </c>
      <c r="B38" s="26">
        <v>150</v>
      </c>
      <c r="C38" s="26">
        <f>150+191</f>
        <v>341</v>
      </c>
      <c r="D38" s="93"/>
      <c r="E38" s="295"/>
    </row>
    <row r="39" spans="1:5" x14ac:dyDescent="0.25">
      <c r="A39" s="80" t="s">
        <v>130</v>
      </c>
      <c r="B39" s="81">
        <v>3500</v>
      </c>
      <c r="C39" s="81">
        <f>SUM(C40:C40)</f>
        <v>5094</v>
      </c>
      <c r="D39" s="117">
        <f>SUM(D40:D40)</f>
        <v>0</v>
      </c>
      <c r="E39" s="294"/>
    </row>
    <row r="40" spans="1:5" x14ac:dyDescent="0.25">
      <c r="A40" s="70" t="s">
        <v>373</v>
      </c>
      <c r="B40" s="26">
        <v>3500</v>
      </c>
      <c r="C40" s="26">
        <f>3500+1594</f>
        <v>5094</v>
      </c>
      <c r="D40" s="93"/>
      <c r="E40" s="295"/>
    </row>
    <row r="41" spans="1:5" x14ac:dyDescent="0.25">
      <c r="A41" s="80" t="s">
        <v>131</v>
      </c>
      <c r="B41" s="81">
        <v>0</v>
      </c>
      <c r="C41" s="81">
        <v>12</v>
      </c>
      <c r="D41" s="117"/>
      <c r="E41" s="294"/>
    </row>
    <row r="42" spans="1:5" x14ac:dyDescent="0.25">
      <c r="A42" s="186" t="s">
        <v>629</v>
      </c>
      <c r="B42" s="89"/>
      <c r="C42" s="89">
        <v>715</v>
      </c>
      <c r="D42" s="325"/>
      <c r="E42" s="326"/>
    </row>
    <row r="43" spans="1:5" x14ac:dyDescent="0.25">
      <c r="A43" s="186"/>
      <c r="B43" s="89"/>
      <c r="C43" s="89"/>
      <c r="D43" s="325"/>
      <c r="E43" s="326"/>
    </row>
    <row r="44" spans="1:5" x14ac:dyDescent="0.25">
      <c r="A44" s="136" t="s">
        <v>380</v>
      </c>
      <c r="B44" s="333">
        <f>B46+B61+B51+B65+B59+B56+B45+B53</f>
        <v>12801</v>
      </c>
      <c r="C44" s="333">
        <f>C46+C61+C51+C65+C59+C56+C45+C53+C52+C66</f>
        <v>19547</v>
      </c>
      <c r="D44" s="333">
        <f>D46+D61+D51+D65+D59+D56+D45+D53</f>
        <v>0</v>
      </c>
      <c r="E44" s="293"/>
    </row>
    <row r="45" spans="1:5" x14ac:dyDescent="0.25">
      <c r="A45" s="80" t="s">
        <v>379</v>
      </c>
      <c r="B45" s="95">
        <v>200</v>
      </c>
      <c r="C45" s="95">
        <f>200+197</f>
        <v>397</v>
      </c>
      <c r="D45" s="125">
        <v>0</v>
      </c>
      <c r="E45" s="294"/>
    </row>
    <row r="46" spans="1:5" x14ac:dyDescent="0.25">
      <c r="A46" s="80" t="s">
        <v>381</v>
      </c>
      <c r="B46" s="21">
        <f>SUM(B47+B48)</f>
        <v>196</v>
      </c>
      <c r="C46" s="21">
        <f>SUM(C47+C48+C49+C50)</f>
        <v>974</v>
      </c>
      <c r="D46" s="21">
        <f>SUM(D47+D48)</f>
        <v>0</v>
      </c>
      <c r="E46" s="294"/>
    </row>
    <row r="47" spans="1:5" x14ac:dyDescent="0.25">
      <c r="A47" s="70" t="s">
        <v>382</v>
      </c>
      <c r="B47" s="20">
        <v>150</v>
      </c>
      <c r="C47" s="20">
        <v>150</v>
      </c>
      <c r="D47" s="140"/>
      <c r="E47" s="295"/>
    </row>
    <row r="48" spans="1:5" x14ac:dyDescent="0.25">
      <c r="A48" s="70" t="s">
        <v>518</v>
      </c>
      <c r="B48" s="20">
        <v>46</v>
      </c>
      <c r="C48" s="20">
        <v>46</v>
      </c>
      <c r="D48" s="140"/>
      <c r="E48" s="295"/>
    </row>
    <row r="49" spans="1:5" x14ac:dyDescent="0.25">
      <c r="A49" s="70" t="s">
        <v>582</v>
      </c>
      <c r="B49" s="20"/>
      <c r="C49" s="20">
        <v>624</v>
      </c>
      <c r="D49" s="140"/>
      <c r="E49" s="295"/>
    </row>
    <row r="50" spans="1:5" x14ac:dyDescent="0.25">
      <c r="A50" s="70" t="s">
        <v>638</v>
      </c>
      <c r="B50" s="20"/>
      <c r="C50" s="20">
        <v>154</v>
      </c>
      <c r="D50" s="140"/>
      <c r="E50" s="295"/>
    </row>
    <row r="51" spans="1:5" x14ac:dyDescent="0.25">
      <c r="A51" s="80" t="s">
        <v>383</v>
      </c>
      <c r="B51" s="95">
        <v>9076</v>
      </c>
      <c r="C51" s="95">
        <f>B51+140+1394+1234-140</f>
        <v>11704</v>
      </c>
      <c r="D51" s="125"/>
      <c r="E51" s="294"/>
    </row>
    <row r="52" spans="1:5" x14ac:dyDescent="0.25">
      <c r="A52" s="80" t="s">
        <v>630</v>
      </c>
      <c r="B52" s="95"/>
      <c r="C52" s="95">
        <v>154</v>
      </c>
      <c r="D52" s="125"/>
      <c r="E52" s="294"/>
    </row>
    <row r="53" spans="1:5" x14ac:dyDescent="0.25">
      <c r="A53" s="80" t="s">
        <v>384</v>
      </c>
      <c r="B53" s="95">
        <f>B54+B55</f>
        <v>744</v>
      </c>
      <c r="C53" s="95">
        <f>C54+C55</f>
        <v>1239</v>
      </c>
      <c r="D53" s="125"/>
      <c r="E53" s="294"/>
    </row>
    <row r="54" spans="1:5" x14ac:dyDescent="0.25">
      <c r="A54" s="70" t="s">
        <v>385</v>
      </c>
      <c r="B54" s="20">
        <v>197</v>
      </c>
      <c r="C54" s="20">
        <f>B54+100</f>
        <v>297</v>
      </c>
      <c r="D54" s="140"/>
      <c r="E54" s="295"/>
    </row>
    <row r="55" spans="1:5" x14ac:dyDescent="0.25">
      <c r="A55" s="70" t="s">
        <v>386</v>
      </c>
      <c r="B55" s="20">
        <v>547</v>
      </c>
      <c r="C55" s="20">
        <f>B55+182+213</f>
        <v>942</v>
      </c>
      <c r="D55" s="140"/>
      <c r="E55" s="295"/>
    </row>
    <row r="56" spans="1:5" x14ac:dyDescent="0.25">
      <c r="A56" s="80" t="s">
        <v>387</v>
      </c>
      <c r="B56" s="21">
        <f>SUM(B57:B57)</f>
        <v>107</v>
      </c>
      <c r="C56" s="21">
        <f>SUM(C57:C58)</f>
        <v>675</v>
      </c>
      <c r="D56" s="127">
        <f>SUM(D57:D57)</f>
        <v>0</v>
      </c>
      <c r="E56" s="294"/>
    </row>
    <row r="57" spans="1:5" x14ac:dyDescent="0.25">
      <c r="A57" s="72" t="s">
        <v>388</v>
      </c>
      <c r="B57" s="23">
        <v>107</v>
      </c>
      <c r="C57" s="23">
        <f>B57+168+182</f>
        <v>457</v>
      </c>
      <c r="D57" s="141"/>
      <c r="E57" s="296"/>
    </row>
    <row r="58" spans="1:5" x14ac:dyDescent="0.25">
      <c r="A58" s="444" t="s">
        <v>583</v>
      </c>
      <c r="B58" s="23"/>
      <c r="C58" s="23">
        <f>400-182</f>
        <v>218</v>
      </c>
      <c r="D58" s="141"/>
      <c r="E58" s="296"/>
    </row>
    <row r="59" spans="1:5" x14ac:dyDescent="0.25">
      <c r="A59" s="80" t="s">
        <v>389</v>
      </c>
      <c r="B59" s="95">
        <f>SUM(B60:B60)</f>
        <v>400</v>
      </c>
      <c r="C59" s="95">
        <f>SUM(C60:C60)</f>
        <v>400</v>
      </c>
      <c r="D59" s="125">
        <f>SUM(D60:D60)</f>
        <v>0</v>
      </c>
      <c r="E59" s="294"/>
    </row>
    <row r="60" spans="1:5" x14ac:dyDescent="0.25">
      <c r="A60" s="70" t="s">
        <v>123</v>
      </c>
      <c r="B60" s="20">
        <v>400</v>
      </c>
      <c r="C60" s="20">
        <v>400</v>
      </c>
      <c r="D60" s="140"/>
      <c r="E60" s="295"/>
    </row>
    <row r="61" spans="1:5" x14ac:dyDescent="0.25">
      <c r="A61" s="80" t="s">
        <v>390</v>
      </c>
      <c r="B61" s="21">
        <f>SUM(B62:B64)</f>
        <v>2078</v>
      </c>
      <c r="C61" s="21">
        <f>SUM(C62:C64)</f>
        <v>3268</v>
      </c>
      <c r="D61" s="127">
        <f>SUM(D62:D64)</f>
        <v>0</v>
      </c>
      <c r="E61" s="294"/>
    </row>
    <row r="62" spans="1:5" x14ac:dyDescent="0.25">
      <c r="A62" s="135" t="s">
        <v>393</v>
      </c>
      <c r="B62" s="20">
        <v>1500</v>
      </c>
      <c r="C62" s="20">
        <f>1500+537+653</f>
        <v>2690</v>
      </c>
      <c r="D62" s="140"/>
      <c r="E62" s="295"/>
    </row>
    <row r="63" spans="1:5" x14ac:dyDescent="0.25">
      <c r="A63" s="135" t="s">
        <v>391</v>
      </c>
      <c r="B63" s="20">
        <v>48</v>
      </c>
      <c r="C63" s="20">
        <v>48</v>
      </c>
      <c r="D63" s="140"/>
      <c r="E63" s="295"/>
    </row>
    <row r="64" spans="1:5" x14ac:dyDescent="0.25">
      <c r="A64" s="70" t="s">
        <v>392</v>
      </c>
      <c r="B64" s="20">
        <v>530</v>
      </c>
      <c r="C64" s="20">
        <v>530</v>
      </c>
      <c r="D64" s="140"/>
      <c r="E64" s="295"/>
    </row>
    <row r="65" spans="1:5" x14ac:dyDescent="0.25">
      <c r="A65" s="80" t="s">
        <v>394</v>
      </c>
      <c r="B65" s="95">
        <v>0</v>
      </c>
      <c r="C65" s="95">
        <v>143</v>
      </c>
      <c r="D65" s="125"/>
      <c r="E65" s="294"/>
    </row>
    <row r="66" spans="1:5" x14ac:dyDescent="0.25">
      <c r="A66" s="82" t="s">
        <v>631</v>
      </c>
      <c r="B66" s="95"/>
      <c r="C66" s="95">
        <v>593</v>
      </c>
      <c r="D66" s="95"/>
      <c r="E66" s="469"/>
    </row>
    <row r="67" spans="1:5" x14ac:dyDescent="0.25">
      <c r="A67" s="181"/>
      <c r="B67" s="182"/>
      <c r="C67" s="182"/>
      <c r="D67" s="182"/>
      <c r="E67" s="298"/>
    </row>
    <row r="68" spans="1:5" x14ac:dyDescent="0.25">
      <c r="A68" s="180" t="s">
        <v>124</v>
      </c>
      <c r="B68" s="150">
        <f>SUM(B69:B70)</f>
        <v>7800</v>
      </c>
      <c r="C68" s="150">
        <f>SUM(C69:C70)</f>
        <v>12038</v>
      </c>
      <c r="D68" s="153">
        <f>SUM(D69:D70)</f>
        <v>0</v>
      </c>
      <c r="E68" s="299"/>
    </row>
    <row r="69" spans="1:5" x14ac:dyDescent="0.25">
      <c r="A69" s="70" t="s">
        <v>132</v>
      </c>
      <c r="B69" s="26">
        <v>5800</v>
      </c>
      <c r="C69" s="26">
        <f>5800+4238</f>
        <v>10038</v>
      </c>
      <c r="D69" s="93"/>
      <c r="E69" s="295"/>
    </row>
    <row r="70" spans="1:5" x14ac:dyDescent="0.25">
      <c r="A70" s="70" t="s">
        <v>133</v>
      </c>
      <c r="B70" s="26">
        <v>2000</v>
      </c>
      <c r="C70" s="26">
        <v>2000</v>
      </c>
      <c r="D70" s="93"/>
      <c r="E70" s="295"/>
    </row>
    <row r="71" spans="1:5" x14ac:dyDescent="0.25">
      <c r="A71" s="181"/>
      <c r="B71" s="163"/>
      <c r="C71" s="163"/>
      <c r="D71" s="163"/>
      <c r="E71" s="300"/>
    </row>
    <row r="72" spans="1:5" x14ac:dyDescent="0.25">
      <c r="A72" s="446" t="s">
        <v>584</v>
      </c>
      <c r="B72" s="447"/>
      <c r="C72" s="447">
        <f>C73+C74+C75</f>
        <v>2212</v>
      </c>
      <c r="D72" s="447"/>
      <c r="E72" s="300"/>
    </row>
    <row r="73" spans="1:5" x14ac:dyDescent="0.25">
      <c r="A73" s="18" t="s">
        <v>586</v>
      </c>
      <c r="B73" s="26"/>
      <c r="C73" s="26">
        <v>30</v>
      </c>
      <c r="D73" s="26"/>
      <c r="E73" s="445"/>
    </row>
    <row r="74" spans="1:5" x14ac:dyDescent="0.25">
      <c r="A74" s="18" t="s">
        <v>585</v>
      </c>
      <c r="B74" s="26"/>
      <c r="C74" s="26">
        <f>2098+27</f>
        <v>2125</v>
      </c>
      <c r="D74" s="26"/>
      <c r="E74" s="445"/>
    </row>
    <row r="75" spans="1:5" x14ac:dyDescent="0.25">
      <c r="A75" s="18" t="s">
        <v>632</v>
      </c>
      <c r="B75" s="26"/>
      <c r="C75" s="26">
        <v>57</v>
      </c>
      <c r="D75" s="26"/>
      <c r="E75" s="445"/>
    </row>
    <row r="76" spans="1:5" x14ac:dyDescent="0.25">
      <c r="A76" s="184"/>
      <c r="B76" s="185"/>
      <c r="C76" s="185"/>
      <c r="D76" s="185"/>
      <c r="E76" s="302"/>
    </row>
    <row r="77" spans="1:5" x14ac:dyDescent="0.25">
      <c r="A77" s="144" t="s">
        <v>138</v>
      </c>
      <c r="B77" s="145">
        <f>+B78</f>
        <v>421</v>
      </c>
      <c r="C77" s="145">
        <f>+C78+C79+C81+C80</f>
        <v>8507</v>
      </c>
      <c r="D77" s="145">
        <f>+D78</f>
        <v>0</v>
      </c>
      <c r="E77" s="301"/>
    </row>
    <row r="78" spans="1:5" x14ac:dyDescent="0.25">
      <c r="A78" s="70" t="s">
        <v>142</v>
      </c>
      <c r="B78" s="26">
        <v>421</v>
      </c>
      <c r="C78" s="26">
        <f>421+1537</f>
        <v>1958</v>
      </c>
      <c r="D78" s="93"/>
      <c r="E78" s="295"/>
    </row>
    <row r="79" spans="1:5" x14ac:dyDescent="0.25">
      <c r="A79" s="18" t="s">
        <v>587</v>
      </c>
      <c r="B79" s="26"/>
      <c r="C79" s="26">
        <v>4937</v>
      </c>
      <c r="D79" s="163"/>
      <c r="E79" s="445"/>
    </row>
    <row r="80" spans="1:5" x14ac:dyDescent="0.25">
      <c r="A80" s="18" t="s">
        <v>639</v>
      </c>
      <c r="B80" s="26"/>
      <c r="C80" s="26">
        <v>1611</v>
      </c>
      <c r="D80" s="93"/>
      <c r="E80" s="445"/>
    </row>
    <row r="81" spans="1:5" x14ac:dyDescent="0.25">
      <c r="A81" s="18" t="s">
        <v>640</v>
      </c>
      <c r="B81" s="26"/>
      <c r="C81" s="26">
        <v>1</v>
      </c>
      <c r="D81" s="93"/>
      <c r="E81" s="445"/>
    </row>
    <row r="82" spans="1:5" x14ac:dyDescent="0.25">
      <c r="A82" s="181"/>
      <c r="B82" s="163"/>
      <c r="C82" s="163"/>
      <c r="D82" s="163"/>
      <c r="E82" s="300"/>
    </row>
    <row r="83" spans="1:5" x14ac:dyDescent="0.25">
      <c r="A83" s="392" t="s">
        <v>633</v>
      </c>
      <c r="B83" s="393"/>
      <c r="C83" s="465">
        <v>8686</v>
      </c>
      <c r="D83" s="393"/>
      <c r="E83" s="445"/>
    </row>
    <row r="84" spans="1:5" x14ac:dyDescent="0.25">
      <c r="A84" s="181"/>
      <c r="B84" s="163"/>
      <c r="C84" s="163"/>
      <c r="D84" s="163"/>
      <c r="E84" s="300"/>
    </row>
    <row r="85" spans="1:5" x14ac:dyDescent="0.25">
      <c r="A85" s="137" t="s">
        <v>139</v>
      </c>
      <c r="B85" s="29">
        <f>B77+B17+B10+B68+B33+B44</f>
        <v>260471</v>
      </c>
      <c r="C85" s="29">
        <f>C77+C17+C26+C10+C68+C33+C72+C44+C83</f>
        <v>522670</v>
      </c>
      <c r="D85" s="29">
        <f>D77+D17+D10+D68+D33+D44</f>
        <v>0</v>
      </c>
      <c r="E85" s="301"/>
    </row>
    <row r="86" spans="1:5" x14ac:dyDescent="0.25">
      <c r="A86" s="187"/>
      <c r="B86" s="188"/>
      <c r="C86" s="188"/>
      <c r="D86" s="188"/>
      <c r="E86" s="303"/>
    </row>
    <row r="87" spans="1:5" x14ac:dyDescent="0.25">
      <c r="A87" s="137" t="s">
        <v>140</v>
      </c>
      <c r="B87" s="29">
        <f>SUM(B88:B89)</f>
        <v>68118</v>
      </c>
      <c r="C87" s="29">
        <f>SUM(C88:C89)</f>
        <v>68118</v>
      </c>
      <c r="D87" s="142">
        <f>D88+D89</f>
        <v>0</v>
      </c>
      <c r="E87" s="304"/>
    </row>
    <row r="88" spans="1:5" ht="39.6" x14ac:dyDescent="0.25">
      <c r="A88" s="281" t="s">
        <v>520</v>
      </c>
      <c r="B88" s="26">
        <v>54651</v>
      </c>
      <c r="C88" s="26">
        <v>54651</v>
      </c>
      <c r="D88" s="93">
        <v>0</v>
      </c>
      <c r="E88" s="295"/>
    </row>
    <row r="89" spans="1:5" x14ac:dyDescent="0.25">
      <c r="A89" s="281" t="s">
        <v>519</v>
      </c>
      <c r="B89" s="26">
        <v>13467</v>
      </c>
      <c r="C89" s="26">
        <v>13467</v>
      </c>
      <c r="D89" s="93">
        <v>0</v>
      </c>
      <c r="E89" s="295"/>
    </row>
    <row r="90" spans="1:5" x14ac:dyDescent="0.25">
      <c r="A90" s="181"/>
      <c r="B90" s="163"/>
      <c r="C90" s="163"/>
      <c r="D90" s="163"/>
      <c r="E90" s="300"/>
    </row>
    <row r="91" spans="1:5" x14ac:dyDescent="0.25">
      <c r="A91" s="189"/>
      <c r="B91" s="190"/>
      <c r="C91" s="190"/>
      <c r="D91" s="190"/>
      <c r="E91" s="300"/>
    </row>
    <row r="92" spans="1:5" x14ac:dyDescent="0.25">
      <c r="A92" s="151" t="s">
        <v>141</v>
      </c>
      <c r="B92" s="29">
        <f>B85+B87</f>
        <v>328589</v>
      </c>
      <c r="C92" s="29">
        <f>C85+C87</f>
        <v>590788</v>
      </c>
      <c r="D92" s="29">
        <f>D85+D87</f>
        <v>0</v>
      </c>
      <c r="E92" s="301"/>
    </row>
    <row r="93" spans="1:5" x14ac:dyDescent="0.25">
      <c r="A93" s="187"/>
      <c r="B93" s="188"/>
      <c r="C93" s="188"/>
      <c r="D93" s="188"/>
      <c r="E93" s="470"/>
    </row>
    <row r="94" spans="1:5" x14ac:dyDescent="0.25">
      <c r="A94" s="386" t="s">
        <v>658</v>
      </c>
      <c r="B94" s="387">
        <v>61767</v>
      </c>
      <c r="C94" s="387">
        <v>63424</v>
      </c>
      <c r="D94" s="387"/>
      <c r="E94" s="470"/>
    </row>
    <row r="95" spans="1:5" x14ac:dyDescent="0.25">
      <c r="A95" s="386" t="s">
        <v>539</v>
      </c>
      <c r="B95" s="387">
        <v>42012</v>
      </c>
      <c r="C95" s="387">
        <v>48611</v>
      </c>
      <c r="D95" s="387"/>
      <c r="E95" s="470"/>
    </row>
    <row r="96" spans="1:5" x14ac:dyDescent="0.25">
      <c r="A96" s="187"/>
      <c r="B96" s="188"/>
      <c r="C96" s="188"/>
      <c r="D96" s="188"/>
      <c r="E96" s="303"/>
    </row>
    <row r="97" spans="1:5" x14ac:dyDescent="0.25">
      <c r="A97" s="144" t="s">
        <v>540</v>
      </c>
      <c r="B97" s="145">
        <f>61562+22822</f>
        <v>84384</v>
      </c>
      <c r="C97" s="145">
        <v>89409</v>
      </c>
      <c r="D97" s="145"/>
      <c r="E97" s="301"/>
    </row>
    <row r="98" spans="1:5" x14ac:dyDescent="0.25">
      <c r="A98" s="193"/>
      <c r="B98" s="194"/>
      <c r="C98" s="194"/>
      <c r="D98" s="194"/>
      <c r="E98" s="303"/>
    </row>
    <row r="99" spans="1:5" ht="13.8" thickBot="1" x14ac:dyDescent="0.3">
      <c r="A99" s="191" t="s">
        <v>541</v>
      </c>
      <c r="B99" s="192">
        <f>B92+B94+B95-B97</f>
        <v>347984</v>
      </c>
      <c r="C99" s="192">
        <f>C92+C94+C95-C97</f>
        <v>613414</v>
      </c>
      <c r="D99" s="192">
        <f>SUM(D92:D97)</f>
        <v>0</v>
      </c>
      <c r="E99" s="305"/>
    </row>
    <row r="100" spans="1:5" x14ac:dyDescent="0.25">
      <c r="C100" s="2"/>
      <c r="D100" s="2"/>
    </row>
    <row r="101" spans="1:5" x14ac:dyDescent="0.25">
      <c r="C101" s="2"/>
      <c r="D101" s="2"/>
    </row>
    <row r="102" spans="1:5" x14ac:dyDescent="0.25">
      <c r="C102" s="2"/>
      <c r="D102" s="2"/>
    </row>
    <row r="103" spans="1:5" x14ac:dyDescent="0.25">
      <c r="C103" s="2"/>
      <c r="D103" s="2"/>
    </row>
    <row r="104" spans="1:5" x14ac:dyDescent="0.25">
      <c r="C104" s="2"/>
      <c r="D104" s="2"/>
    </row>
    <row r="216" spans="5:47" s="22" customFormat="1" x14ac:dyDescent="0.25">
      <c r="E216" s="306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</row>
    <row r="217" spans="5:47" s="90" customFormat="1" x14ac:dyDescent="0.25">
      <c r="E217" s="307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</row>
    <row r="218" spans="5:47" s="28" customFormat="1" x14ac:dyDescent="0.25">
      <c r="E218" s="306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</row>
    <row r="291" spans="1:13" x14ac:dyDescent="0.25">
      <c r="A291"/>
      <c r="B291"/>
      <c r="C291"/>
      <c r="D291"/>
      <c r="E291" s="308"/>
      <c r="F291"/>
      <c r="G291"/>
      <c r="H291"/>
      <c r="I291"/>
      <c r="J291"/>
      <c r="K291"/>
      <c r="L291"/>
      <c r="M291"/>
    </row>
    <row r="292" spans="1:13" x14ac:dyDescent="0.25">
      <c r="A292"/>
      <c r="B292"/>
      <c r="C292"/>
      <c r="D292"/>
      <c r="E292" s="308"/>
      <c r="F292"/>
      <c r="G292"/>
      <c r="H292"/>
      <c r="I292"/>
      <c r="J292"/>
      <c r="K292"/>
      <c r="L292"/>
      <c r="M292"/>
    </row>
    <row r="293" spans="1:13" x14ac:dyDescent="0.25">
      <c r="A293"/>
      <c r="B293"/>
      <c r="C293"/>
      <c r="D293"/>
      <c r="E293" s="308"/>
      <c r="F293"/>
      <c r="G293"/>
      <c r="H293"/>
      <c r="I293"/>
      <c r="J293" t="s">
        <v>77</v>
      </c>
      <c r="K293"/>
      <c r="L293"/>
      <c r="M293"/>
    </row>
    <row r="294" spans="1:13" x14ac:dyDescent="0.25">
      <c r="A294"/>
      <c r="B294"/>
      <c r="C294"/>
      <c r="D294"/>
      <c r="E294" s="308"/>
      <c r="F294"/>
      <c r="G294"/>
      <c r="H294"/>
      <c r="I294"/>
      <c r="J294" s="478"/>
      <c r="K294" s="479"/>
      <c r="L294"/>
      <c r="M294"/>
    </row>
    <row r="295" spans="1:13" x14ac:dyDescent="0.25">
      <c r="A295"/>
      <c r="B295"/>
      <c r="C295"/>
      <c r="D295"/>
      <c r="E295" s="308"/>
      <c r="F295"/>
      <c r="G295"/>
      <c r="H295"/>
      <c r="I295"/>
      <c r="J295"/>
      <c r="K295"/>
      <c r="L295"/>
      <c r="M295"/>
    </row>
    <row r="296" spans="1:13" ht="13.8" x14ac:dyDescent="0.25">
      <c r="A296"/>
      <c r="B296"/>
      <c r="C296"/>
      <c r="D296" s="98"/>
      <c r="E296" s="309"/>
      <c r="F296" s="98"/>
      <c r="G296" s="98"/>
      <c r="H296" s="98"/>
      <c r="I296" s="98"/>
      <c r="J296" s="98"/>
      <c r="K296"/>
      <c r="L296"/>
      <c r="M296"/>
    </row>
    <row r="297" spans="1:13" ht="13.8" x14ac:dyDescent="0.25">
      <c r="A297"/>
      <c r="B297"/>
      <c r="C297"/>
      <c r="D297" s="98"/>
      <c r="E297" s="309"/>
      <c r="F297" s="98"/>
      <c r="G297" s="98"/>
      <c r="H297" s="98"/>
      <c r="I297" s="98"/>
      <c r="J297" s="98"/>
      <c r="K297"/>
      <c r="L297"/>
      <c r="M297"/>
    </row>
    <row r="298" spans="1:13" x14ac:dyDescent="0.25">
      <c r="A298"/>
      <c r="B298"/>
      <c r="C298"/>
      <c r="D298"/>
      <c r="E298" s="308"/>
      <c r="F298"/>
      <c r="G298"/>
      <c r="H298"/>
      <c r="I298"/>
      <c r="J298"/>
      <c r="K298"/>
      <c r="L298"/>
      <c r="M298"/>
    </row>
    <row r="299" spans="1:13" ht="13.5" customHeight="1" x14ac:dyDescent="0.25">
      <c r="A299"/>
      <c r="B299"/>
      <c r="C299"/>
      <c r="D299"/>
      <c r="E299" s="308"/>
      <c r="F299" s="480"/>
      <c r="G299" s="479"/>
      <c r="H299" s="479"/>
      <c r="I299" s="479"/>
      <c r="J299"/>
      <c r="K299"/>
      <c r="L299"/>
      <c r="M299"/>
    </row>
    <row r="300" spans="1:13" ht="13.5" customHeight="1" x14ac:dyDescent="0.25">
      <c r="A300" s="99"/>
      <c r="B300" s="99"/>
      <c r="C300" s="99"/>
      <c r="D300"/>
      <c r="E300" s="308"/>
      <c r="F300"/>
      <c r="G300"/>
      <c r="H300"/>
      <c r="I300"/>
      <c r="J300"/>
      <c r="K300"/>
      <c r="L300"/>
      <c r="M300"/>
    </row>
    <row r="301" spans="1:13" ht="13.5" customHeight="1" x14ac:dyDescent="0.25">
      <c r="A301" s="99"/>
      <c r="B301" s="99"/>
      <c r="C301" s="99"/>
      <c r="D301"/>
      <c r="E301" s="308"/>
      <c r="F301"/>
      <c r="G301"/>
      <c r="H301"/>
      <c r="I301"/>
      <c r="J301"/>
      <c r="K301"/>
      <c r="L301"/>
      <c r="M301"/>
    </row>
    <row r="302" spans="1:13" ht="13.5" customHeight="1" x14ac:dyDescent="0.25">
      <c r="A302"/>
      <c r="B302"/>
      <c r="C302"/>
      <c r="D302"/>
      <c r="E302" s="308"/>
      <c r="F302"/>
      <c r="G302"/>
      <c r="H302"/>
      <c r="I302"/>
      <c r="J302"/>
      <c r="K302"/>
      <c r="L302"/>
      <c r="M302"/>
    </row>
    <row r="303" spans="1:13" x14ac:dyDescent="0.25">
      <c r="A303" s="66"/>
      <c r="B303" s="63"/>
      <c r="C303" s="63"/>
      <c r="D303" s="62"/>
    </row>
    <row r="304" spans="1:13" x14ac:dyDescent="0.25">
      <c r="A304" s="66"/>
      <c r="B304" s="63"/>
      <c r="C304" s="62"/>
      <c r="D304" s="62"/>
    </row>
    <row r="305" spans="1:4" x14ac:dyDescent="0.25">
      <c r="A305" s="66"/>
      <c r="B305" s="63"/>
      <c r="C305" s="62"/>
      <c r="D305" s="62"/>
    </row>
    <row r="306" spans="1:4" x14ac:dyDescent="0.25">
      <c r="A306" s="62"/>
      <c r="B306" s="63"/>
      <c r="C306" s="62"/>
      <c r="D306" s="62"/>
    </row>
    <row r="307" spans="1:4" x14ac:dyDescent="0.25">
      <c r="A307" s="66"/>
      <c r="B307" s="63"/>
      <c r="C307" s="62"/>
      <c r="D307" s="62"/>
    </row>
    <row r="308" spans="1:4" x14ac:dyDescent="0.25">
      <c r="A308" s="62"/>
      <c r="B308" s="63"/>
      <c r="C308" s="63"/>
      <c r="D308" s="62"/>
    </row>
    <row r="309" spans="1:4" x14ac:dyDescent="0.25">
      <c r="A309" s="62"/>
      <c r="B309" s="63"/>
      <c r="C309" s="62"/>
      <c r="D309" s="62"/>
    </row>
    <row r="310" spans="1:4" x14ac:dyDescent="0.25">
      <c r="A310" s="62"/>
      <c r="B310" s="63"/>
      <c r="C310" s="63"/>
      <c r="D310" s="62"/>
    </row>
    <row r="311" spans="1:4" x14ac:dyDescent="0.25">
      <c r="A311" s="62"/>
      <c r="B311" s="63"/>
      <c r="C311" s="62"/>
      <c r="D311" s="62"/>
    </row>
    <row r="312" spans="1:4" x14ac:dyDescent="0.25">
      <c r="A312" s="62"/>
      <c r="B312" s="63"/>
      <c r="C312" s="62"/>
      <c r="D312" s="62"/>
    </row>
    <row r="313" spans="1:4" x14ac:dyDescent="0.25">
      <c r="A313" s="62"/>
      <c r="B313" s="63"/>
      <c r="C313" s="63"/>
      <c r="D313" s="62"/>
    </row>
    <row r="314" spans="1:4" x14ac:dyDescent="0.25">
      <c r="A314" s="62"/>
      <c r="B314" s="63"/>
      <c r="C314" s="62"/>
      <c r="D314" s="62"/>
    </row>
    <row r="315" spans="1:4" x14ac:dyDescent="0.25">
      <c r="A315" s="66"/>
      <c r="B315" s="63"/>
      <c r="C315" s="62"/>
      <c r="D315" s="62"/>
    </row>
    <row r="316" spans="1:4" x14ac:dyDescent="0.25">
      <c r="A316" s="66"/>
      <c r="B316" s="63"/>
      <c r="C316" s="62"/>
      <c r="D316" s="62"/>
    </row>
    <row r="317" spans="1:4" x14ac:dyDescent="0.25">
      <c r="A317" s="66"/>
      <c r="B317" s="63"/>
      <c r="C317" s="62"/>
      <c r="D317" s="62"/>
    </row>
    <row r="318" spans="1:4" x14ac:dyDescent="0.25">
      <c r="A318" s="62"/>
      <c r="B318" s="63"/>
      <c r="C318" s="62"/>
      <c r="D318" s="62"/>
    </row>
    <row r="319" spans="1:4" x14ac:dyDescent="0.25">
      <c r="A319" s="66"/>
      <c r="B319" s="63"/>
      <c r="C319" s="62"/>
      <c r="D319" s="62"/>
    </row>
    <row r="320" spans="1:4" x14ac:dyDescent="0.25">
      <c r="A320" s="62"/>
      <c r="B320" s="63"/>
      <c r="C320" s="62"/>
      <c r="D320" s="62"/>
    </row>
    <row r="321" spans="1:4" x14ac:dyDescent="0.25">
      <c r="A321" s="66"/>
      <c r="B321" s="63"/>
      <c r="C321" s="62"/>
      <c r="D321" s="62"/>
    </row>
    <row r="322" spans="1:4" x14ac:dyDescent="0.25">
      <c r="A322" s="62"/>
      <c r="B322" s="63"/>
      <c r="C322" s="62"/>
      <c r="D322" s="62"/>
    </row>
    <row r="323" spans="1:4" x14ac:dyDescent="0.25">
      <c r="A323" s="62"/>
      <c r="B323" s="63"/>
      <c r="C323" s="62"/>
      <c r="D323" s="62"/>
    </row>
    <row r="324" spans="1:4" x14ac:dyDescent="0.25">
      <c r="A324" s="66"/>
      <c r="B324" s="63"/>
      <c r="C324" s="63"/>
      <c r="D324" s="62"/>
    </row>
    <row r="325" spans="1:4" x14ac:dyDescent="0.25">
      <c r="A325" s="66"/>
      <c r="B325" s="63"/>
      <c r="C325" s="63"/>
      <c r="D325" s="62"/>
    </row>
    <row r="326" spans="1:4" x14ac:dyDescent="0.25">
      <c r="A326" s="66"/>
      <c r="B326" s="63"/>
      <c r="C326" s="63"/>
      <c r="D326" s="62"/>
    </row>
    <row r="327" spans="1:4" x14ac:dyDescent="0.25">
      <c r="A327" s="66"/>
      <c r="B327" s="63"/>
      <c r="C327" s="63"/>
      <c r="D327" s="62"/>
    </row>
    <row r="328" spans="1:4" x14ac:dyDescent="0.25">
      <c r="A328" s="66"/>
      <c r="B328" s="63"/>
      <c r="C328" s="63"/>
      <c r="D328" s="62"/>
    </row>
    <row r="329" spans="1:4" x14ac:dyDescent="0.25">
      <c r="A329" s="64"/>
      <c r="B329" s="63"/>
      <c r="C329" s="62"/>
      <c r="D329" s="62"/>
    </row>
    <row r="330" spans="1:4" x14ac:dyDescent="0.25">
      <c r="A330" s="62"/>
      <c r="B330" s="65"/>
      <c r="C330" s="65"/>
      <c r="D330" s="65"/>
    </row>
    <row r="331" spans="1:4" x14ac:dyDescent="0.25">
      <c r="A331" s="62"/>
      <c r="B331" s="63"/>
      <c r="C331" s="62"/>
      <c r="D331" s="62"/>
    </row>
    <row r="332" spans="1:4" x14ac:dyDescent="0.25">
      <c r="A332" s="62"/>
      <c r="B332" s="63"/>
      <c r="C332" s="62"/>
      <c r="D332" s="62"/>
    </row>
    <row r="333" spans="1:4" x14ac:dyDescent="0.25">
      <c r="A333" s="62"/>
      <c r="B333" s="63"/>
      <c r="C333" s="62"/>
      <c r="D333" s="62"/>
    </row>
    <row r="334" spans="1:4" x14ac:dyDescent="0.25">
      <c r="A334" s="62"/>
      <c r="B334" s="63"/>
      <c r="C334" s="62"/>
      <c r="D334" s="62"/>
    </row>
    <row r="335" spans="1:4" x14ac:dyDescent="0.25">
      <c r="A335" s="62"/>
      <c r="B335" s="63"/>
      <c r="C335" s="62"/>
      <c r="D335" s="62"/>
    </row>
    <row r="336" spans="1:4" x14ac:dyDescent="0.25">
      <c r="A336" s="62"/>
      <c r="B336" s="63"/>
      <c r="C336" s="62"/>
      <c r="D336" s="62"/>
    </row>
    <row r="337" spans="1:4" x14ac:dyDescent="0.25">
      <c r="A337" s="62"/>
      <c r="B337" s="63"/>
      <c r="C337" s="62"/>
      <c r="D337" s="62"/>
    </row>
    <row r="338" spans="1:4" x14ac:dyDescent="0.25">
      <c r="A338" s="62"/>
      <c r="B338" s="63"/>
      <c r="C338" s="62"/>
      <c r="D338" s="62"/>
    </row>
    <row r="339" spans="1:4" x14ac:dyDescent="0.25">
      <c r="A339" s="62"/>
      <c r="B339" s="63"/>
      <c r="C339" s="62"/>
      <c r="D339" s="62"/>
    </row>
    <row r="340" spans="1:4" x14ac:dyDescent="0.25">
      <c r="A340" s="62"/>
      <c r="B340" s="63"/>
      <c r="C340" s="62"/>
      <c r="D340" s="62"/>
    </row>
    <row r="341" spans="1:4" x14ac:dyDescent="0.25">
      <c r="A341" s="62"/>
      <c r="B341" s="63"/>
      <c r="C341" s="62"/>
      <c r="D341" s="62"/>
    </row>
    <row r="342" spans="1:4" x14ac:dyDescent="0.25">
      <c r="A342" s="62"/>
      <c r="B342" s="63"/>
      <c r="C342" s="62"/>
      <c r="D342" s="62"/>
    </row>
    <row r="343" spans="1:4" x14ac:dyDescent="0.25">
      <c r="A343" s="64"/>
      <c r="B343" s="63"/>
      <c r="C343" s="62"/>
      <c r="D343" s="62"/>
    </row>
    <row r="344" spans="1:4" x14ac:dyDescent="0.25">
      <c r="A344" s="64"/>
      <c r="B344" s="65"/>
      <c r="C344" s="64"/>
      <c r="D344" s="62"/>
    </row>
    <row r="345" spans="1:4" x14ac:dyDescent="0.25">
      <c r="A345" s="62"/>
      <c r="B345" s="65"/>
      <c r="C345" s="64"/>
      <c r="D345" s="62"/>
    </row>
    <row r="346" spans="1:4" x14ac:dyDescent="0.25">
      <c r="A346" s="62"/>
      <c r="B346" s="63"/>
      <c r="C346" s="62"/>
      <c r="D346" s="62"/>
    </row>
    <row r="347" spans="1:4" x14ac:dyDescent="0.25">
      <c r="A347" s="62"/>
      <c r="B347" s="63"/>
      <c r="C347" s="62"/>
      <c r="D347" s="62"/>
    </row>
    <row r="348" spans="1:4" x14ac:dyDescent="0.25">
      <c r="A348" s="64"/>
      <c r="B348" s="63"/>
      <c r="C348" s="62"/>
      <c r="D348" s="62"/>
    </row>
    <row r="349" spans="1:4" x14ac:dyDescent="0.25">
      <c r="A349" s="64"/>
      <c r="B349" s="65"/>
      <c r="C349" s="64"/>
      <c r="D349" s="64"/>
    </row>
    <row r="350" spans="1:4" x14ac:dyDescent="0.25">
      <c r="A350" s="64"/>
      <c r="B350" s="65"/>
      <c r="C350" s="64"/>
      <c r="D350" s="64"/>
    </row>
    <row r="351" spans="1:4" x14ac:dyDescent="0.25">
      <c r="A351" s="64"/>
      <c r="B351" s="63"/>
      <c r="C351" s="62"/>
      <c r="D351" s="62"/>
    </row>
    <row r="352" spans="1:4" x14ac:dyDescent="0.25">
      <c r="A352" s="64"/>
      <c r="B352" s="63"/>
      <c r="C352" s="62"/>
      <c r="D352" s="62"/>
    </row>
    <row r="353" spans="1:4" x14ac:dyDescent="0.25">
      <c r="A353" s="62"/>
      <c r="B353" s="63"/>
      <c r="C353" s="62"/>
      <c r="D353" s="62"/>
    </row>
    <row r="354" spans="1:4" x14ac:dyDescent="0.25">
      <c r="A354" s="64"/>
      <c r="B354" s="63"/>
      <c r="C354" s="62"/>
      <c r="D354" s="62"/>
    </row>
    <row r="355" spans="1:4" x14ac:dyDescent="0.25">
      <c r="A355" s="62"/>
      <c r="B355" s="65"/>
      <c r="C355" s="64"/>
      <c r="D355" s="64"/>
    </row>
    <row r="356" spans="1:4" x14ac:dyDescent="0.25">
      <c r="A356" s="62"/>
      <c r="B356" s="63"/>
      <c r="C356" s="62"/>
      <c r="D356" s="62"/>
    </row>
    <row r="357" spans="1:4" x14ac:dyDescent="0.25">
      <c r="A357" s="66"/>
      <c r="B357" s="63"/>
      <c r="C357" s="63"/>
      <c r="D357" s="62"/>
    </row>
    <row r="358" spans="1:4" x14ac:dyDescent="0.25">
      <c r="A358" s="66"/>
      <c r="B358" s="63"/>
      <c r="C358" s="63"/>
      <c r="D358" s="63"/>
    </row>
    <row r="359" spans="1:4" x14ac:dyDescent="0.25">
      <c r="A359" s="66"/>
      <c r="B359" s="63"/>
      <c r="C359" s="62"/>
      <c r="D359" s="62"/>
    </row>
    <row r="360" spans="1:4" x14ac:dyDescent="0.25">
      <c r="A360" s="66"/>
      <c r="B360" s="63"/>
      <c r="C360" s="62"/>
      <c r="D360" s="62"/>
    </row>
    <row r="361" spans="1:4" x14ac:dyDescent="0.25">
      <c r="A361" s="66"/>
      <c r="B361" s="63"/>
      <c r="C361" s="63"/>
      <c r="D361" s="63"/>
    </row>
    <row r="362" spans="1:4" x14ac:dyDescent="0.25">
      <c r="A362" s="62"/>
      <c r="B362" s="63"/>
      <c r="C362" s="62"/>
      <c r="D362" s="62"/>
    </row>
    <row r="363" spans="1:4" x14ac:dyDescent="0.25">
      <c r="A363" s="62"/>
      <c r="B363" s="63"/>
      <c r="C363" s="62"/>
      <c r="D363" s="62"/>
    </row>
    <row r="364" spans="1:4" x14ac:dyDescent="0.25">
      <c r="A364" s="66"/>
      <c r="B364" s="63"/>
      <c r="C364" s="62"/>
      <c r="D364" s="62"/>
    </row>
    <row r="365" spans="1:4" x14ac:dyDescent="0.25">
      <c r="A365" s="66"/>
      <c r="B365" s="63"/>
      <c r="C365" s="63"/>
      <c r="D365" s="63"/>
    </row>
    <row r="366" spans="1:4" x14ac:dyDescent="0.25">
      <c r="A366" s="66"/>
      <c r="B366" s="67"/>
      <c r="C366" s="63"/>
      <c r="D366" s="62"/>
    </row>
    <row r="367" spans="1:4" x14ac:dyDescent="0.25">
      <c r="A367" s="66"/>
      <c r="B367" s="67"/>
      <c r="C367" s="63"/>
      <c r="D367" s="62"/>
    </row>
    <row r="368" spans="1:4" x14ac:dyDescent="0.25">
      <c r="A368" s="66"/>
      <c r="B368" s="67"/>
      <c r="C368" s="63"/>
      <c r="D368" s="62"/>
    </row>
    <row r="369" spans="1:4" x14ac:dyDescent="0.25">
      <c r="A369" s="66"/>
      <c r="B369" s="63"/>
      <c r="C369" s="63"/>
      <c r="D369" s="62"/>
    </row>
    <row r="370" spans="1:4" x14ac:dyDescent="0.25">
      <c r="A370" s="66"/>
      <c r="B370" s="63"/>
      <c r="C370" s="63"/>
      <c r="D370" s="63"/>
    </row>
    <row r="371" spans="1:4" x14ac:dyDescent="0.25">
      <c r="A371" s="66"/>
      <c r="B371" s="63"/>
      <c r="C371" s="63"/>
      <c r="D371" s="62"/>
    </row>
    <row r="372" spans="1:4" x14ac:dyDescent="0.25">
      <c r="A372" s="62"/>
      <c r="B372" s="63"/>
      <c r="C372" s="63"/>
      <c r="D372" s="62"/>
    </row>
    <row r="373" spans="1:4" x14ac:dyDescent="0.25">
      <c r="A373" s="62"/>
      <c r="B373" s="63"/>
      <c r="C373" s="63"/>
      <c r="D373" s="62"/>
    </row>
    <row r="374" spans="1:4" x14ac:dyDescent="0.25">
      <c r="A374" s="62"/>
      <c r="B374" s="63"/>
      <c r="C374" s="63"/>
      <c r="D374" s="63"/>
    </row>
    <row r="375" spans="1:4" x14ac:dyDescent="0.25">
      <c r="A375" s="62"/>
      <c r="B375" s="63"/>
      <c r="C375" s="62"/>
      <c r="D375" s="62"/>
    </row>
    <row r="376" spans="1:4" x14ac:dyDescent="0.25">
      <c r="A376" s="62"/>
      <c r="B376" s="63"/>
      <c r="C376" s="62"/>
      <c r="D376" s="62"/>
    </row>
    <row r="377" spans="1:4" x14ac:dyDescent="0.25">
      <c r="A377" s="62"/>
      <c r="B377" s="63"/>
      <c r="C377" s="62"/>
      <c r="D377" s="62"/>
    </row>
    <row r="378" spans="1:4" x14ac:dyDescent="0.25">
      <c r="A378" s="66"/>
      <c r="B378" s="63"/>
      <c r="C378" s="62"/>
      <c r="D378" s="62"/>
    </row>
    <row r="379" spans="1:4" x14ac:dyDescent="0.25">
      <c r="A379" s="66"/>
      <c r="B379" s="63"/>
      <c r="C379" s="63"/>
      <c r="D379" s="63"/>
    </row>
    <row r="380" spans="1:4" x14ac:dyDescent="0.25">
      <c r="A380" s="66"/>
      <c r="B380" s="63"/>
      <c r="C380" s="68"/>
      <c r="D380" s="62"/>
    </row>
    <row r="381" spans="1:4" x14ac:dyDescent="0.25">
      <c r="A381" s="62"/>
      <c r="B381" s="63"/>
      <c r="C381" s="63"/>
      <c r="D381" s="62"/>
    </row>
    <row r="382" spans="1:4" x14ac:dyDescent="0.25">
      <c r="A382" s="64"/>
      <c r="B382" s="63"/>
      <c r="C382" s="62"/>
      <c r="D382" s="62"/>
    </row>
    <row r="383" spans="1:4" x14ac:dyDescent="0.25">
      <c r="A383" s="9"/>
      <c r="B383" s="65"/>
      <c r="C383" s="65"/>
      <c r="D383" s="65"/>
    </row>
    <row r="384" spans="1:4" x14ac:dyDescent="0.25">
      <c r="A384" s="9"/>
      <c r="B384" s="8"/>
      <c r="C384" s="9"/>
      <c r="D384" s="9"/>
    </row>
    <row r="385" spans="1:4" x14ac:dyDescent="0.25">
      <c r="A385" s="9"/>
      <c r="B385" s="8"/>
      <c r="C385" s="9"/>
      <c r="D385" s="9"/>
    </row>
    <row r="386" spans="1:4" x14ac:dyDescent="0.25">
      <c r="A386" s="9"/>
      <c r="B386" s="8"/>
      <c r="C386" s="9"/>
      <c r="D386" s="9"/>
    </row>
    <row r="387" spans="1:4" x14ac:dyDescent="0.25">
      <c r="A387" s="9"/>
      <c r="B387" s="8"/>
      <c r="C387" s="9"/>
      <c r="D387" s="9"/>
    </row>
    <row r="388" spans="1:4" x14ac:dyDescent="0.25">
      <c r="A388" s="9"/>
      <c r="B388" s="8"/>
      <c r="C388" s="9"/>
      <c r="D388" s="9"/>
    </row>
    <row r="389" spans="1:4" x14ac:dyDescent="0.25">
      <c r="A389" s="9"/>
      <c r="B389" s="8"/>
      <c r="C389" s="9"/>
      <c r="D389" s="9"/>
    </row>
    <row r="390" spans="1:4" x14ac:dyDescent="0.25">
      <c r="A390" s="9"/>
      <c r="B390" s="8"/>
      <c r="C390" s="9"/>
      <c r="D390" s="9"/>
    </row>
    <row r="391" spans="1:4" x14ac:dyDescent="0.25">
      <c r="A391" s="9"/>
      <c r="B391" s="8"/>
      <c r="C391" s="9"/>
      <c r="D391" s="9"/>
    </row>
    <row r="392" spans="1:4" x14ac:dyDescent="0.25">
      <c r="A392" s="9"/>
      <c r="B392" s="8"/>
      <c r="C392" s="9"/>
      <c r="D392" s="9"/>
    </row>
    <row r="393" spans="1:4" x14ac:dyDescent="0.25">
      <c r="A393" s="9"/>
      <c r="B393" s="8"/>
      <c r="C393" s="9"/>
      <c r="D393" s="9"/>
    </row>
    <row r="394" spans="1:4" x14ac:dyDescent="0.25">
      <c r="A394" s="9"/>
      <c r="B394" s="8"/>
      <c r="C394" s="9"/>
      <c r="D394" s="9"/>
    </row>
    <row r="395" spans="1:4" x14ac:dyDescent="0.25">
      <c r="A395" s="9"/>
      <c r="B395" s="8"/>
      <c r="C395" s="9"/>
      <c r="D395" s="9"/>
    </row>
    <row r="396" spans="1:4" x14ac:dyDescent="0.25">
      <c r="A396" s="9"/>
      <c r="B396" s="8"/>
      <c r="C396" s="9"/>
      <c r="D396" s="9"/>
    </row>
    <row r="397" spans="1:4" x14ac:dyDescent="0.25">
      <c r="A397" s="9"/>
      <c r="B397" s="8"/>
      <c r="C397" s="9"/>
      <c r="D397" s="9"/>
    </row>
    <row r="398" spans="1:4" x14ac:dyDescent="0.25">
      <c r="A398" s="9"/>
      <c r="B398" s="8"/>
      <c r="C398" s="9"/>
      <c r="D398" s="9"/>
    </row>
    <row r="399" spans="1:4" x14ac:dyDescent="0.25">
      <c r="A399" s="9"/>
      <c r="B399" s="8"/>
      <c r="C399" s="9"/>
      <c r="D399" s="9"/>
    </row>
    <row r="400" spans="1:4" x14ac:dyDescent="0.25">
      <c r="A400" s="9"/>
      <c r="B400" s="8"/>
      <c r="C400" s="9"/>
      <c r="D400" s="9"/>
    </row>
    <row r="401" spans="1:4" x14ac:dyDescent="0.25">
      <c r="A401" s="9"/>
      <c r="B401" s="8"/>
      <c r="C401" s="9"/>
      <c r="D401" s="9"/>
    </row>
    <row r="402" spans="1:4" x14ac:dyDescent="0.25">
      <c r="A402" s="9"/>
      <c r="B402" s="8"/>
      <c r="C402" s="9"/>
      <c r="D402" s="9"/>
    </row>
    <row r="403" spans="1:4" x14ac:dyDescent="0.25">
      <c r="A403" s="9"/>
      <c r="B403" s="8"/>
      <c r="C403" s="9"/>
      <c r="D403" s="9"/>
    </row>
    <row r="404" spans="1:4" x14ac:dyDescent="0.25">
      <c r="A404" s="9"/>
      <c r="B404" s="8"/>
      <c r="C404" s="9"/>
      <c r="D404" s="9"/>
    </row>
    <row r="405" spans="1:4" x14ac:dyDescent="0.25">
      <c r="A405" s="9"/>
      <c r="B405" s="8"/>
      <c r="C405" s="9"/>
      <c r="D405" s="9"/>
    </row>
    <row r="406" spans="1:4" x14ac:dyDescent="0.25">
      <c r="A406" s="9"/>
      <c r="B406" s="8"/>
      <c r="C406" s="9"/>
      <c r="D406" s="9"/>
    </row>
    <row r="407" spans="1:4" x14ac:dyDescent="0.25">
      <c r="A407" s="9"/>
      <c r="B407" s="8"/>
      <c r="C407" s="9"/>
      <c r="D407" s="9"/>
    </row>
    <row r="408" spans="1:4" x14ac:dyDescent="0.25">
      <c r="A408" s="9"/>
      <c r="B408" s="8"/>
      <c r="C408" s="9"/>
      <c r="D408" s="9"/>
    </row>
    <row r="409" spans="1:4" x14ac:dyDescent="0.25">
      <c r="A409" s="9"/>
      <c r="B409" s="8"/>
      <c r="C409" s="9"/>
      <c r="D409" s="9"/>
    </row>
    <row r="410" spans="1:4" x14ac:dyDescent="0.25">
      <c r="A410" s="9"/>
      <c r="B410" s="8"/>
      <c r="C410" s="9"/>
      <c r="D410" s="9"/>
    </row>
    <row r="411" spans="1:4" x14ac:dyDescent="0.25">
      <c r="A411" s="9"/>
      <c r="B411" s="8"/>
      <c r="C411" s="9"/>
      <c r="D411" s="9"/>
    </row>
    <row r="412" spans="1:4" x14ac:dyDescent="0.25">
      <c r="A412" s="9"/>
      <c r="B412" s="8"/>
      <c r="C412" s="9"/>
      <c r="D412" s="9"/>
    </row>
    <row r="413" spans="1:4" x14ac:dyDescent="0.25">
      <c r="A413" s="9"/>
      <c r="B413" s="8"/>
      <c r="C413" s="9"/>
      <c r="D413" s="9"/>
    </row>
    <row r="414" spans="1:4" x14ac:dyDescent="0.25">
      <c r="A414" s="9"/>
      <c r="B414" s="8"/>
      <c r="C414" s="9"/>
      <c r="D414" s="9"/>
    </row>
    <row r="415" spans="1:4" x14ac:dyDescent="0.25">
      <c r="A415" s="9"/>
      <c r="B415" s="8"/>
      <c r="C415" s="9"/>
      <c r="D415" s="9"/>
    </row>
    <row r="416" spans="1:4" x14ac:dyDescent="0.25">
      <c r="A416" s="9"/>
      <c r="B416" s="8"/>
      <c r="C416" s="9"/>
      <c r="D416" s="9"/>
    </row>
    <row r="417" spans="1:4" x14ac:dyDescent="0.25">
      <c r="A417" s="9"/>
      <c r="B417" s="8"/>
      <c r="C417" s="9"/>
      <c r="D417" s="9"/>
    </row>
    <row r="418" spans="1:4" x14ac:dyDescent="0.25">
      <c r="A418" s="9"/>
      <c r="B418" s="8"/>
      <c r="C418" s="9"/>
      <c r="D418" s="9"/>
    </row>
    <row r="419" spans="1:4" x14ac:dyDescent="0.25">
      <c r="A419" s="9"/>
      <c r="B419" s="8"/>
      <c r="C419" s="9"/>
      <c r="D419" s="9"/>
    </row>
    <row r="420" spans="1:4" x14ac:dyDescent="0.25">
      <c r="A420" s="9"/>
      <c r="B420" s="8"/>
      <c r="C420" s="9"/>
      <c r="D420" s="9"/>
    </row>
    <row r="421" spans="1:4" x14ac:dyDescent="0.25">
      <c r="A421" s="9"/>
      <c r="B421" s="8"/>
      <c r="C421" s="9"/>
      <c r="D421" s="9"/>
    </row>
    <row r="422" spans="1:4" x14ac:dyDescent="0.25">
      <c r="A422" s="9"/>
      <c r="B422" s="8"/>
      <c r="C422" s="9"/>
      <c r="D422" s="9"/>
    </row>
    <row r="423" spans="1:4" x14ac:dyDescent="0.25">
      <c r="A423" s="9"/>
      <c r="B423" s="8"/>
      <c r="C423" s="9"/>
      <c r="D423" s="9"/>
    </row>
    <row r="424" spans="1:4" x14ac:dyDescent="0.25">
      <c r="A424" s="9"/>
      <c r="B424" s="8"/>
      <c r="C424" s="9"/>
      <c r="D424" s="9"/>
    </row>
    <row r="425" spans="1:4" x14ac:dyDescent="0.25">
      <c r="B425" s="8"/>
      <c r="C425" s="9"/>
      <c r="D425" s="9"/>
    </row>
  </sheetData>
  <mergeCells count="6">
    <mergeCell ref="J294:K294"/>
    <mergeCell ref="F299:I299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9" orientation="portrait" r:id="rId1"/>
  <headerFooter alignWithMargins="0"/>
  <rowBreaks count="6" manualBreakCount="6">
    <brk id="60" max="3" man="1"/>
    <brk id="103" max="4" man="1"/>
    <brk id="164" max="16383" man="1"/>
    <brk id="189" max="16383" man="1"/>
    <brk id="234" max="16383" man="1"/>
    <brk id="29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view="pageBreakPreview" zoomScaleSheetLayoutView="100" workbookViewId="0">
      <selection activeCell="A3" sqref="A3:D3"/>
    </sheetView>
  </sheetViews>
  <sheetFormatPr defaultRowHeight="13.2" x14ac:dyDescent="0.25"/>
  <cols>
    <col min="1" max="1" width="52.5546875" customWidth="1"/>
    <col min="2" max="2" width="14.44140625" customWidth="1"/>
    <col min="3" max="4" width="13.109375" customWidth="1"/>
    <col min="5" max="5" width="14.6640625" bestFit="1" customWidth="1"/>
  </cols>
  <sheetData>
    <row r="1" spans="1:7" x14ac:dyDescent="0.25">
      <c r="A1" s="491" t="s">
        <v>60</v>
      </c>
      <c r="B1" s="477"/>
      <c r="C1" s="477"/>
      <c r="D1" s="477"/>
    </row>
    <row r="2" spans="1:7" x14ac:dyDescent="0.25">
      <c r="A2" s="491" t="s">
        <v>551</v>
      </c>
      <c r="B2" s="477"/>
      <c r="C2" s="477"/>
      <c r="D2" s="477"/>
    </row>
    <row r="3" spans="1:7" ht="27.75" customHeight="1" x14ac:dyDescent="0.25">
      <c r="A3" s="476" t="s">
        <v>680</v>
      </c>
      <c r="B3" s="476"/>
      <c r="C3" s="476"/>
      <c r="D3" s="476"/>
    </row>
    <row r="4" spans="1:7" x14ac:dyDescent="0.25">
      <c r="A4" s="1"/>
      <c r="B4" s="2"/>
      <c r="C4" s="492" t="s">
        <v>447</v>
      </c>
      <c r="D4" s="492"/>
    </row>
    <row r="5" spans="1:7" ht="13.8" thickBot="1" x14ac:dyDescent="0.3">
      <c r="A5" s="1"/>
      <c r="B5" s="2"/>
      <c r="C5" s="490" t="s">
        <v>450</v>
      </c>
      <c r="D5" s="490"/>
    </row>
    <row r="6" spans="1:7" ht="13.8" thickBot="1" x14ac:dyDescent="0.3">
      <c r="A6" s="485" t="s">
        <v>156</v>
      </c>
      <c r="B6" s="486"/>
      <c r="C6" s="486"/>
      <c r="D6" s="486"/>
      <c r="E6" s="487"/>
    </row>
    <row r="7" spans="1:7" x14ac:dyDescent="0.25">
      <c r="A7" s="169" t="s">
        <v>31</v>
      </c>
      <c r="B7" s="170" t="s">
        <v>27</v>
      </c>
      <c r="C7" s="171"/>
      <c r="D7" s="172" t="s">
        <v>28</v>
      </c>
      <c r="E7" s="488" t="s">
        <v>149</v>
      </c>
    </row>
    <row r="8" spans="1:7" ht="13.8" thickBot="1" x14ac:dyDescent="0.3">
      <c r="A8" s="15"/>
      <c r="B8" s="25" t="s">
        <v>70</v>
      </c>
      <c r="C8" s="16" t="s">
        <v>29</v>
      </c>
      <c r="D8" s="139"/>
      <c r="E8" s="489"/>
    </row>
    <row r="9" spans="1:7" x14ac:dyDescent="0.25">
      <c r="A9" s="9"/>
      <c r="B9" s="167"/>
      <c r="C9" s="168"/>
      <c r="D9" s="166"/>
      <c r="E9" s="173"/>
    </row>
    <row r="10" spans="1:7" x14ac:dyDescent="0.25">
      <c r="A10" s="149" t="s">
        <v>32</v>
      </c>
      <c r="B10" s="150">
        <f>SUM(B11:B13)</f>
        <v>93167</v>
      </c>
      <c r="C10" s="150">
        <f>SUM(C11:C13)</f>
        <v>183623</v>
      </c>
      <c r="D10" s="153">
        <f>SUM(D11:D13)</f>
        <v>0</v>
      </c>
      <c r="E10" s="156"/>
    </row>
    <row r="11" spans="1:7" x14ac:dyDescent="0.25">
      <c r="A11" s="18" t="s">
        <v>144</v>
      </c>
      <c r="B11" s="26">
        <v>45720</v>
      </c>
      <c r="C11" s="26">
        <f>B11+121+34+100+19511+29786+6170+173+318+1275+272+181+368-113+752+60+25</f>
        <v>104753</v>
      </c>
      <c r="D11" s="148"/>
      <c r="E11" s="155"/>
      <c r="G11" s="313"/>
    </row>
    <row r="12" spans="1:7" x14ac:dyDescent="0.25">
      <c r="A12" s="18" t="s">
        <v>145</v>
      </c>
      <c r="B12" s="26">
        <v>8054</v>
      </c>
      <c r="C12" s="26">
        <f>B12+5+24+2146+3277+679+38+70+281+27+66+40+250+99+21</f>
        <v>15077</v>
      </c>
      <c r="D12" s="148"/>
      <c r="E12" s="155"/>
      <c r="G12" s="313"/>
    </row>
    <row r="13" spans="1:7" x14ac:dyDescent="0.25">
      <c r="A13" s="134" t="s">
        <v>146</v>
      </c>
      <c r="B13" s="26">
        <v>39393</v>
      </c>
      <c r="C13" s="26">
        <f>B13+282+30+140+2628+477+400+476+5204+3669+2791+1000+213+197+143+453+7215-737-60-121</f>
        <v>63793</v>
      </c>
      <c r="D13" s="148"/>
      <c r="E13" s="155"/>
      <c r="G13" s="313"/>
    </row>
    <row r="14" spans="1:7" x14ac:dyDescent="0.25">
      <c r="A14" s="162"/>
      <c r="B14" s="163"/>
      <c r="C14" s="163"/>
      <c r="D14" s="164"/>
      <c r="E14" s="165"/>
    </row>
    <row r="15" spans="1:7" x14ac:dyDescent="0.25">
      <c r="A15" s="151" t="s">
        <v>33</v>
      </c>
      <c r="B15" s="29">
        <v>15314</v>
      </c>
      <c r="C15" s="29">
        <f>15314+606+516-3428+500</f>
        <v>13508</v>
      </c>
      <c r="D15" s="153"/>
      <c r="E15" s="156"/>
    </row>
    <row r="16" spans="1:7" x14ac:dyDescent="0.25">
      <c r="A16" s="151" t="s">
        <v>34</v>
      </c>
      <c r="B16" s="29">
        <v>10914</v>
      </c>
      <c r="C16" s="29">
        <f>B16+11588+19976+320+2700+1660+1166+4319+2540+575+3811+3175+10913+2946+143+4238+1530+13752+3713+737+106+997+4+600+500-548</f>
        <v>102375</v>
      </c>
      <c r="D16" s="153"/>
      <c r="E16" s="156"/>
      <c r="G16" s="313"/>
    </row>
    <row r="17" spans="1:5" x14ac:dyDescent="0.25">
      <c r="A17" s="151" t="s">
        <v>157</v>
      </c>
      <c r="B17" s="29">
        <v>801</v>
      </c>
      <c r="C17" s="29">
        <f>B17+2098</f>
        <v>2899</v>
      </c>
      <c r="D17" s="153"/>
      <c r="E17" s="156"/>
    </row>
    <row r="18" spans="1:5" x14ac:dyDescent="0.25">
      <c r="A18" s="174"/>
      <c r="B18" s="175"/>
      <c r="C18" s="175"/>
      <c r="D18" s="175"/>
      <c r="E18" s="176"/>
    </row>
    <row r="19" spans="1:5" x14ac:dyDescent="0.25">
      <c r="A19" s="151" t="s">
        <v>51</v>
      </c>
      <c r="B19" s="29">
        <f>B20+B25+B30</f>
        <v>76837</v>
      </c>
      <c r="C19" s="29">
        <f>C20+C25+C30</f>
        <v>87588</v>
      </c>
      <c r="D19" s="142">
        <f>D20+D25+D30</f>
        <v>0</v>
      </c>
      <c r="E19" s="156"/>
    </row>
    <row r="20" spans="1:5" s="99" customFormat="1" x14ac:dyDescent="0.25">
      <c r="A20" s="82" t="s">
        <v>52</v>
      </c>
      <c r="B20" s="81">
        <f>SUM(B21:B22)</f>
        <v>477</v>
      </c>
      <c r="C20" s="81">
        <f>SUM(C21:C24)</f>
        <v>883</v>
      </c>
      <c r="D20" s="117">
        <f>SUM(D21:D22)</f>
        <v>0</v>
      </c>
      <c r="E20" s="155"/>
    </row>
    <row r="21" spans="1:5" x14ac:dyDescent="0.25">
      <c r="A21" s="18" t="s">
        <v>329</v>
      </c>
      <c r="B21" s="48">
        <v>272</v>
      </c>
      <c r="C21" s="48">
        <v>272</v>
      </c>
      <c r="D21" s="148"/>
      <c r="E21" s="155"/>
    </row>
    <row r="22" spans="1:5" x14ac:dyDescent="0.25">
      <c r="A22" s="18" t="s">
        <v>118</v>
      </c>
      <c r="B22" s="48">
        <v>205</v>
      </c>
      <c r="C22" s="48">
        <v>205</v>
      </c>
      <c r="D22" s="148"/>
      <c r="E22" s="155"/>
    </row>
    <row r="23" spans="1:5" x14ac:dyDescent="0.25">
      <c r="A23" s="18" t="s">
        <v>589</v>
      </c>
      <c r="B23" s="48"/>
      <c r="C23" s="48">
        <f>306+60</f>
        <v>366</v>
      </c>
      <c r="D23" s="148"/>
      <c r="E23" s="155"/>
    </row>
    <row r="24" spans="1:5" x14ac:dyDescent="0.25">
      <c r="A24" s="18" t="s">
        <v>614</v>
      </c>
      <c r="B24" s="48"/>
      <c r="C24" s="48">
        <v>40</v>
      </c>
      <c r="D24" s="148"/>
      <c r="E24" s="155"/>
    </row>
    <row r="25" spans="1:5" s="99" customFormat="1" x14ac:dyDescent="0.25">
      <c r="A25" s="82" t="s">
        <v>143</v>
      </c>
      <c r="B25" s="81">
        <f>SUM(B26:B29)</f>
        <v>75560</v>
      </c>
      <c r="C25" s="81">
        <f>SUM(C26:C29)</f>
        <v>85905</v>
      </c>
      <c r="D25" s="117">
        <f>SUM(D26:D29)</f>
        <v>0</v>
      </c>
      <c r="E25" s="155"/>
    </row>
    <row r="26" spans="1:5" x14ac:dyDescent="0.25">
      <c r="A26" s="18" t="s">
        <v>79</v>
      </c>
      <c r="B26" s="26">
        <f>53510+988+743</f>
        <v>55241</v>
      </c>
      <c r="C26" s="26">
        <f>B26+2221+1682+192+747+598</f>
        <v>60681</v>
      </c>
      <c r="D26" s="148"/>
      <c r="E26" s="155"/>
    </row>
    <row r="27" spans="1:5" ht="15" customHeight="1" x14ac:dyDescent="0.25">
      <c r="A27" s="134" t="s">
        <v>147</v>
      </c>
      <c r="B27" s="26">
        <v>500</v>
      </c>
      <c r="C27" s="26">
        <v>500</v>
      </c>
      <c r="D27" s="148"/>
      <c r="E27" s="155"/>
    </row>
    <row r="28" spans="1:5" x14ac:dyDescent="0.25">
      <c r="A28" s="18" t="s">
        <v>80</v>
      </c>
      <c r="B28" s="100">
        <v>15222</v>
      </c>
      <c r="C28" s="48">
        <f>B28+2430+95+78+577+2225</f>
        <v>20627</v>
      </c>
      <c r="D28" s="148"/>
      <c r="E28" s="155"/>
    </row>
    <row r="29" spans="1:5" x14ac:dyDescent="0.25">
      <c r="A29" s="18" t="s">
        <v>81</v>
      </c>
      <c r="B29" s="48">
        <v>4597</v>
      </c>
      <c r="C29" s="48">
        <f>4597-500</f>
        <v>4097</v>
      </c>
      <c r="D29" s="148"/>
      <c r="E29" s="155"/>
    </row>
    <row r="30" spans="1:5" s="99" customFormat="1" x14ac:dyDescent="0.25">
      <c r="A30" s="82" t="s">
        <v>148</v>
      </c>
      <c r="B30" s="81">
        <v>800</v>
      </c>
      <c r="C30" s="81">
        <v>800</v>
      </c>
      <c r="D30" s="126"/>
      <c r="E30" s="155"/>
    </row>
    <row r="31" spans="1:5" s="99" customFormat="1" x14ac:dyDescent="0.25">
      <c r="A31" s="195"/>
      <c r="B31" s="182"/>
      <c r="C31" s="182"/>
      <c r="D31" s="182"/>
      <c r="E31" s="165"/>
    </row>
    <row r="32" spans="1:5" x14ac:dyDescent="0.25">
      <c r="A32" s="144" t="s">
        <v>53</v>
      </c>
      <c r="B32" s="145">
        <f>B33+B40</f>
        <v>3328</v>
      </c>
      <c r="C32" s="145">
        <f>C33+C40+C45</f>
        <v>7333</v>
      </c>
      <c r="D32" s="145">
        <f>D33+D41</f>
        <v>0</v>
      </c>
      <c r="E32" s="154"/>
    </row>
    <row r="33" spans="1:5" s="99" customFormat="1" x14ac:dyDescent="0.25">
      <c r="A33" s="82" t="s">
        <v>67</v>
      </c>
      <c r="B33" s="81">
        <f>SUM(B34:B38)</f>
        <v>1528</v>
      </c>
      <c r="C33" s="81">
        <f>SUM(C34:C39)</f>
        <v>5393</v>
      </c>
      <c r="D33" s="117">
        <f>SUM(D34:D40)</f>
        <v>0</v>
      </c>
      <c r="E33" s="155"/>
    </row>
    <row r="34" spans="1:5" x14ac:dyDescent="0.25">
      <c r="A34" s="18" t="s">
        <v>88</v>
      </c>
      <c r="B34" s="26">
        <v>1320</v>
      </c>
      <c r="C34" s="18">
        <v>1320</v>
      </c>
      <c r="D34" s="148"/>
      <c r="E34" s="155"/>
    </row>
    <row r="35" spans="1:5" x14ac:dyDescent="0.25">
      <c r="A35" s="18" t="s">
        <v>89</v>
      </c>
      <c r="B35" s="26">
        <v>86</v>
      </c>
      <c r="C35" s="18">
        <f>86+300</f>
        <v>386</v>
      </c>
      <c r="D35" s="148"/>
      <c r="E35" s="155"/>
    </row>
    <row r="36" spans="1:5" x14ac:dyDescent="0.25">
      <c r="A36" s="18" t="s">
        <v>590</v>
      </c>
      <c r="B36" s="26"/>
      <c r="C36" s="18">
        <f>1284+900</f>
        <v>2184</v>
      </c>
      <c r="D36" s="148"/>
      <c r="E36" s="155"/>
    </row>
    <row r="37" spans="1:5" x14ac:dyDescent="0.25">
      <c r="A37" s="18" t="s">
        <v>90</v>
      </c>
      <c r="B37" s="26">
        <v>62</v>
      </c>
      <c r="C37" s="18">
        <v>62</v>
      </c>
      <c r="D37" s="148"/>
      <c r="E37" s="155"/>
    </row>
    <row r="38" spans="1:5" x14ac:dyDescent="0.25">
      <c r="A38" s="18" t="s">
        <v>510</v>
      </c>
      <c r="B38" s="26">
        <v>60</v>
      </c>
      <c r="C38" s="18">
        <v>60</v>
      </c>
      <c r="D38" s="148"/>
      <c r="E38" s="155"/>
    </row>
    <row r="39" spans="1:5" x14ac:dyDescent="0.25">
      <c r="A39" s="18" t="s">
        <v>613</v>
      </c>
      <c r="B39" s="26"/>
      <c r="C39" s="18">
        <v>1381</v>
      </c>
      <c r="D39" s="148"/>
      <c r="E39" s="155"/>
    </row>
    <row r="40" spans="1:5" x14ac:dyDescent="0.25">
      <c r="A40" s="82" t="s">
        <v>436</v>
      </c>
      <c r="B40" s="81">
        <f>SUM(B41:B43)</f>
        <v>1800</v>
      </c>
      <c r="C40" s="81">
        <f>SUM(C41:C44)</f>
        <v>1900</v>
      </c>
      <c r="D40" s="148"/>
      <c r="E40" s="155"/>
    </row>
    <row r="41" spans="1:5" s="99" customFormat="1" x14ac:dyDescent="0.25">
      <c r="A41" s="18" t="s">
        <v>64</v>
      </c>
      <c r="B41" s="26">
        <v>1200</v>
      </c>
      <c r="C41" s="347">
        <v>1200</v>
      </c>
      <c r="D41" s="117">
        <f>SUM(D42:D46)</f>
        <v>0</v>
      </c>
      <c r="E41" s="155"/>
    </row>
    <row r="42" spans="1:5" x14ac:dyDescent="0.25">
      <c r="A42" s="18" t="s">
        <v>65</v>
      </c>
      <c r="B42" s="26">
        <v>200</v>
      </c>
      <c r="C42" s="26">
        <v>200</v>
      </c>
      <c r="D42" s="148"/>
      <c r="E42" s="155"/>
    </row>
    <row r="43" spans="1:5" x14ac:dyDescent="0.25">
      <c r="A43" s="18" t="s">
        <v>66</v>
      </c>
      <c r="B43" s="26">
        <v>400</v>
      </c>
      <c r="C43" s="93">
        <v>400</v>
      </c>
      <c r="D43" s="148"/>
      <c r="E43" s="155"/>
    </row>
    <row r="44" spans="1:5" x14ac:dyDescent="0.25">
      <c r="A44" s="181" t="s">
        <v>641</v>
      </c>
      <c r="B44" s="163"/>
      <c r="C44" s="93">
        <v>100</v>
      </c>
      <c r="D44" s="148"/>
      <c r="E44" s="155"/>
    </row>
    <row r="45" spans="1:5" x14ac:dyDescent="0.25">
      <c r="A45" s="195" t="s">
        <v>615</v>
      </c>
      <c r="B45" s="182"/>
      <c r="C45" s="117">
        <v>40</v>
      </c>
      <c r="D45" s="148"/>
      <c r="E45" s="155"/>
    </row>
    <row r="46" spans="1:5" x14ac:dyDescent="0.25">
      <c r="A46" s="181"/>
      <c r="B46" s="163"/>
      <c r="C46" s="26"/>
      <c r="D46" s="148"/>
      <c r="E46" s="155"/>
    </row>
    <row r="47" spans="1:5" x14ac:dyDescent="0.25">
      <c r="A47" s="144" t="s">
        <v>74</v>
      </c>
      <c r="B47" s="145">
        <f>SUM(B48:B49)</f>
        <v>84384</v>
      </c>
      <c r="C47" s="145">
        <f>SUM(C48:C49)</f>
        <v>89409</v>
      </c>
      <c r="D47" s="146">
        <f>SUM(D48:D48)</f>
        <v>0</v>
      </c>
      <c r="E47" s="165"/>
    </row>
    <row r="48" spans="1:5" x14ac:dyDescent="0.25">
      <c r="A48" s="41" t="s">
        <v>78</v>
      </c>
      <c r="B48" s="48">
        <v>61562</v>
      </c>
      <c r="C48" s="347">
        <f>B48+1029+113</f>
        <v>62704</v>
      </c>
      <c r="D48" s="143"/>
      <c r="E48" s="154"/>
    </row>
    <row r="49" spans="1:7" x14ac:dyDescent="0.25">
      <c r="A49" s="106" t="s">
        <v>517</v>
      </c>
      <c r="B49" s="48">
        <v>22822</v>
      </c>
      <c r="C49" s="347">
        <f>B49+299+246+1211+240+1887</f>
        <v>26705</v>
      </c>
      <c r="D49" s="19"/>
      <c r="E49" s="154"/>
    </row>
    <row r="50" spans="1:7" x14ac:dyDescent="0.25">
      <c r="A50" s="183"/>
      <c r="B50" s="164"/>
      <c r="C50" s="182"/>
      <c r="D50" s="383"/>
      <c r="E50" s="155"/>
    </row>
    <row r="51" spans="1:7" x14ac:dyDescent="0.25">
      <c r="A51" s="151" t="s">
        <v>61</v>
      </c>
      <c r="B51" s="29">
        <f>SUM(B52:B52)</f>
        <v>2000</v>
      </c>
      <c r="C51" s="29">
        <f>SUM(C52:C52)</f>
        <v>2000</v>
      </c>
      <c r="D51" s="29">
        <f>SUM(D52:D52)</f>
        <v>0</v>
      </c>
      <c r="E51" s="165"/>
    </row>
    <row r="52" spans="1:7" x14ac:dyDescent="0.25">
      <c r="A52" s="18" t="s">
        <v>35</v>
      </c>
      <c r="B52" s="26">
        <v>2000</v>
      </c>
      <c r="C52" s="18">
        <v>2000</v>
      </c>
      <c r="D52" s="148"/>
      <c r="E52" s="155"/>
    </row>
    <row r="53" spans="1:7" x14ac:dyDescent="0.25">
      <c r="A53" s="181"/>
      <c r="B53" s="163"/>
      <c r="C53" s="181"/>
      <c r="D53" s="164"/>
      <c r="E53" s="155"/>
    </row>
    <row r="54" spans="1:7" x14ac:dyDescent="0.25">
      <c r="A54" s="151" t="s">
        <v>159</v>
      </c>
      <c r="B54" s="29">
        <f>B55+B58</f>
        <v>35601</v>
      </c>
      <c r="C54" s="29">
        <f>C55+C58</f>
        <v>87124</v>
      </c>
      <c r="D54" s="153">
        <v>0</v>
      </c>
      <c r="E54" s="165"/>
      <c r="G54" s="313"/>
    </row>
    <row r="55" spans="1:7" x14ac:dyDescent="0.25">
      <c r="A55" s="32" t="s">
        <v>36</v>
      </c>
      <c r="B55" s="26">
        <f>B56+B57</f>
        <v>18127</v>
      </c>
      <c r="C55" s="26">
        <f>C56+C57</f>
        <v>36882</v>
      </c>
      <c r="D55" s="143"/>
      <c r="E55" s="154"/>
    </row>
    <row r="56" spans="1:7" x14ac:dyDescent="0.25">
      <c r="A56" s="32" t="s">
        <v>37</v>
      </c>
      <c r="B56" s="26">
        <v>13738</v>
      </c>
      <c r="C56" s="26">
        <f>B56+1500-988-287-960-673-1394+624+168-250-80+80+154+154+111+27+57+1+187+168-1227-1530-100-106-752-997-4-300-500+623</f>
        <v>7444</v>
      </c>
      <c r="D56" s="143"/>
      <c r="E56" s="155"/>
    </row>
    <row r="57" spans="1:7" ht="66" x14ac:dyDescent="0.25">
      <c r="A57" s="133" t="s">
        <v>677</v>
      </c>
      <c r="B57" s="26">
        <v>4389</v>
      </c>
      <c r="C57" s="26">
        <f>B57+4813+7347+4813+3300+906+3787+1190+250+4917-3787-1887-600</f>
        <v>29438</v>
      </c>
      <c r="D57" s="143"/>
      <c r="E57" s="155"/>
    </row>
    <row r="58" spans="1:7" x14ac:dyDescent="0.25">
      <c r="A58" s="32" t="s">
        <v>38</v>
      </c>
      <c r="B58" s="26">
        <f>B60+B59</f>
        <v>17474</v>
      </c>
      <c r="C58" s="26">
        <f>C60+C59+C61</f>
        <v>50242</v>
      </c>
      <c r="D58" s="143"/>
      <c r="E58" s="155"/>
    </row>
    <row r="59" spans="1:7" x14ac:dyDescent="0.25">
      <c r="A59" s="133" t="s">
        <v>155</v>
      </c>
      <c r="B59" s="26">
        <v>4007</v>
      </c>
      <c r="C59" s="26">
        <f>B59-548-575-2540</f>
        <v>344</v>
      </c>
      <c r="D59" s="143"/>
      <c r="E59" s="155"/>
    </row>
    <row r="60" spans="1:7" x14ac:dyDescent="0.25">
      <c r="A60" s="32" t="s">
        <v>538</v>
      </c>
      <c r="B60" s="26">
        <v>13467</v>
      </c>
      <c r="C60" s="26">
        <v>13467</v>
      </c>
      <c r="D60" s="143"/>
      <c r="E60" s="155"/>
    </row>
    <row r="61" spans="1:7" ht="26.4" x14ac:dyDescent="0.25">
      <c r="A61" s="133" t="s">
        <v>659</v>
      </c>
      <c r="B61" s="26"/>
      <c r="C61" s="26">
        <f>37367+14992-17465+1537</f>
        <v>36431</v>
      </c>
      <c r="D61" s="19"/>
      <c r="E61" s="155"/>
    </row>
    <row r="62" spans="1:7" x14ac:dyDescent="0.25">
      <c r="A62" s="27" t="s">
        <v>496</v>
      </c>
      <c r="B62" s="19">
        <v>6243</v>
      </c>
      <c r="C62" s="27">
        <f>6243+6865+1821</f>
        <v>14929</v>
      </c>
      <c r="D62" s="143"/>
      <c r="E62" s="165"/>
    </row>
    <row r="63" spans="1:7" x14ac:dyDescent="0.25">
      <c r="A63" s="189"/>
      <c r="B63" s="190"/>
      <c r="C63" s="189"/>
      <c r="D63" s="190"/>
      <c r="E63" s="155"/>
    </row>
    <row r="64" spans="1:7" x14ac:dyDescent="0.25">
      <c r="A64" s="151" t="s">
        <v>62</v>
      </c>
      <c r="B64" s="29">
        <f>B10+B15+B16+B19+B32+B47+B51+B54+B62+B17</f>
        <v>328589</v>
      </c>
      <c r="C64" s="29">
        <f>C10+C15+C16+C19+C32+C47+C51+C54+C62+C17</f>
        <v>590788</v>
      </c>
      <c r="D64" s="29">
        <f>D10+D15+D16+D19+D32+D47+D51+D54+D62+D17</f>
        <v>0</v>
      </c>
      <c r="E64" s="165"/>
      <c r="G64" s="313"/>
    </row>
    <row r="65" spans="1:5" x14ac:dyDescent="0.25">
      <c r="A65" s="196"/>
      <c r="B65" s="389"/>
      <c r="C65" s="389"/>
      <c r="D65" s="389"/>
      <c r="E65" s="154"/>
    </row>
    <row r="66" spans="1:5" x14ac:dyDescent="0.25">
      <c r="A66" s="386" t="s">
        <v>503</v>
      </c>
      <c r="B66" s="387">
        <v>61767</v>
      </c>
      <c r="C66" s="387">
        <v>63424</v>
      </c>
      <c r="D66" s="387"/>
      <c r="E66" s="197"/>
    </row>
    <row r="67" spans="1:5" x14ac:dyDescent="0.25">
      <c r="A67" s="386" t="s">
        <v>572</v>
      </c>
      <c r="B67" s="387">
        <v>42012</v>
      </c>
      <c r="C67" s="387">
        <v>48611</v>
      </c>
      <c r="D67" s="387"/>
      <c r="E67" s="391"/>
    </row>
    <row r="68" spans="1:5" x14ac:dyDescent="0.25">
      <c r="A68" s="388"/>
      <c r="B68" s="390"/>
      <c r="C68" s="390"/>
      <c r="D68" s="390"/>
      <c r="E68" s="391"/>
    </row>
    <row r="69" spans="1:5" x14ac:dyDescent="0.25">
      <c r="A69" s="392" t="s">
        <v>75</v>
      </c>
      <c r="B69" s="465">
        <v>84384</v>
      </c>
      <c r="C69" s="465">
        <v>89409</v>
      </c>
      <c r="D69" s="387"/>
      <c r="E69" s="391"/>
    </row>
    <row r="70" spans="1:5" x14ac:dyDescent="0.25">
      <c r="A70" s="199"/>
      <c r="B70" s="163"/>
      <c r="C70" s="163"/>
      <c r="D70" s="190"/>
      <c r="E70" s="198"/>
    </row>
    <row r="71" spans="1:5" x14ac:dyDescent="0.25">
      <c r="A71" s="152" t="s">
        <v>76</v>
      </c>
      <c r="B71" s="145">
        <f>B64+B66+B67-B69</f>
        <v>347984</v>
      </c>
      <c r="C71" s="145">
        <f>C64+C66+C67-C69</f>
        <v>613414</v>
      </c>
      <c r="D71" s="145">
        <f>SUM(D64:D69)</f>
        <v>0</v>
      </c>
      <c r="E71" s="165"/>
    </row>
    <row r="72" spans="1:5" x14ac:dyDescent="0.25">
      <c r="A72" s="1"/>
      <c r="B72" s="2"/>
      <c r="C72" s="1"/>
      <c r="D72" s="1"/>
      <c r="E72" s="154"/>
    </row>
    <row r="73" spans="1:5" x14ac:dyDescent="0.25">
      <c r="A73" s="1"/>
      <c r="B73" s="2"/>
      <c r="C73" s="1"/>
      <c r="D73" s="1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4" orientation="portrait" r:id="rId1"/>
  <headerFooter alignWithMargins="0"/>
  <rowBreaks count="1" manualBreakCount="1">
    <brk id="53" max="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"/>
  <sheetViews>
    <sheetView view="pageBreakPreview" zoomScaleSheetLayoutView="100" workbookViewId="0">
      <selection activeCell="A7" sqref="A7:E7"/>
    </sheetView>
  </sheetViews>
  <sheetFormatPr defaultRowHeight="13.2" x14ac:dyDescent="0.25"/>
  <cols>
    <col min="1" max="1" width="52.33203125" customWidth="1"/>
    <col min="2" max="2" width="11.88671875" customWidth="1"/>
    <col min="3" max="4" width="12.109375" customWidth="1"/>
    <col min="5" max="5" width="10.6640625" customWidth="1"/>
  </cols>
  <sheetData>
    <row r="1" spans="1:5" x14ac:dyDescent="0.25">
      <c r="A1" s="491" t="s">
        <v>60</v>
      </c>
      <c r="B1" s="477"/>
      <c r="C1" s="477"/>
      <c r="D1" s="477"/>
    </row>
    <row r="2" spans="1:5" x14ac:dyDescent="0.25">
      <c r="A2" s="491" t="s">
        <v>551</v>
      </c>
      <c r="B2" s="477"/>
      <c r="C2" s="477"/>
      <c r="D2" s="477"/>
    </row>
    <row r="3" spans="1:5" x14ac:dyDescent="0.25">
      <c r="A3" s="495"/>
      <c r="B3" s="482"/>
      <c r="C3" s="495"/>
      <c r="D3" s="495"/>
    </row>
    <row r="4" spans="1:5" x14ac:dyDescent="0.25">
      <c r="A4" s="33"/>
      <c r="B4" s="34"/>
      <c r="C4" s="33"/>
      <c r="D4" s="33"/>
    </row>
    <row r="5" spans="1:5" x14ac:dyDescent="0.25">
      <c r="A5" s="494" t="s">
        <v>57</v>
      </c>
      <c r="B5" s="477"/>
      <c r="C5" s="477"/>
      <c r="D5" s="477"/>
    </row>
    <row r="6" spans="1:5" x14ac:dyDescent="0.25">
      <c r="A6" s="33"/>
      <c r="B6" s="34"/>
      <c r="C6" s="33"/>
      <c r="D6" s="33"/>
    </row>
    <row r="7" spans="1:5" ht="25.5" customHeight="1" x14ac:dyDescent="0.25">
      <c r="A7" s="496" t="s">
        <v>681</v>
      </c>
      <c r="B7" s="496"/>
      <c r="C7" s="496"/>
      <c r="D7" s="496"/>
      <c r="E7" s="496"/>
    </row>
    <row r="8" spans="1:5" x14ac:dyDescent="0.25">
      <c r="A8" s="478" t="s">
        <v>453</v>
      </c>
      <c r="B8" s="478"/>
      <c r="C8" s="478"/>
      <c r="D8" s="478"/>
      <c r="E8" s="478"/>
    </row>
    <row r="9" spans="1:5" x14ac:dyDescent="0.25">
      <c r="A9" s="35" t="s">
        <v>63</v>
      </c>
      <c r="B9" s="36"/>
      <c r="C9" s="493" t="s">
        <v>448</v>
      </c>
      <c r="D9" s="493"/>
    </row>
    <row r="10" spans="1:5" x14ac:dyDescent="0.25">
      <c r="A10" s="82" t="s">
        <v>39</v>
      </c>
      <c r="B10" s="48" t="s">
        <v>71</v>
      </c>
      <c r="C10" s="41" t="s">
        <v>160</v>
      </c>
      <c r="D10" s="41" t="s">
        <v>28</v>
      </c>
      <c r="E10" s="111" t="s">
        <v>149</v>
      </c>
    </row>
    <row r="11" spans="1:5" x14ac:dyDescent="0.25">
      <c r="A11" s="157" t="s">
        <v>54</v>
      </c>
      <c r="B11" s="145">
        <f>SUM(B12+B13)</f>
        <v>0</v>
      </c>
      <c r="C11" s="145">
        <f>SUM(C12+C13)</f>
        <v>1122</v>
      </c>
      <c r="D11" s="145">
        <f>SUM(D12+D13)</f>
        <v>0</v>
      </c>
      <c r="E11" s="156"/>
    </row>
    <row r="12" spans="1:5" x14ac:dyDescent="0.25">
      <c r="A12" s="111" t="s">
        <v>542</v>
      </c>
      <c r="B12" s="48">
        <v>0</v>
      </c>
      <c r="C12" s="97"/>
      <c r="D12" s="97"/>
      <c r="E12" s="158"/>
    </row>
    <row r="13" spans="1:5" x14ac:dyDescent="0.25">
      <c r="A13" s="111" t="s">
        <v>543</v>
      </c>
      <c r="B13" s="48">
        <v>0</v>
      </c>
      <c r="C13" s="97">
        <f>606+516</f>
        <v>1122</v>
      </c>
      <c r="D13" s="97"/>
      <c r="E13" s="158"/>
    </row>
    <row r="14" spans="1:5" x14ac:dyDescent="0.25">
      <c r="A14" s="144" t="s">
        <v>82</v>
      </c>
      <c r="B14" s="145">
        <f>SUM(B15+B22)</f>
        <v>15471</v>
      </c>
      <c r="C14" s="145">
        <f>SUM(C15+C22)</f>
        <v>12386</v>
      </c>
      <c r="D14" s="145">
        <f>SUM(D15+D22)</f>
        <v>0</v>
      </c>
      <c r="E14" s="156"/>
    </row>
    <row r="15" spans="1:5" x14ac:dyDescent="0.25">
      <c r="A15" s="82" t="s">
        <v>84</v>
      </c>
      <c r="B15" s="81">
        <f>SUM(B16:B21)</f>
        <v>10231</v>
      </c>
      <c r="C15" s="81">
        <f>SUM(C16:C21)</f>
        <v>10074</v>
      </c>
      <c r="D15" s="81">
        <f>SUM(D16:D18)</f>
        <v>0</v>
      </c>
      <c r="E15" s="200"/>
    </row>
    <row r="16" spans="1:5" x14ac:dyDescent="0.25">
      <c r="A16" s="111" t="s">
        <v>454</v>
      </c>
      <c r="B16" s="48">
        <v>5000</v>
      </c>
      <c r="C16" s="48">
        <v>5000</v>
      </c>
      <c r="D16" s="48"/>
      <c r="E16" s="158"/>
    </row>
    <row r="17" spans="1:5" x14ac:dyDescent="0.25">
      <c r="A17" s="111" t="s">
        <v>455</v>
      </c>
      <c r="B17" s="48">
        <v>816</v>
      </c>
      <c r="C17" s="41">
        <v>816</v>
      </c>
      <c r="D17" s="41"/>
      <c r="E17" s="158"/>
    </row>
    <row r="18" spans="1:5" x14ac:dyDescent="0.25">
      <c r="A18" s="111" t="s">
        <v>456</v>
      </c>
      <c r="B18" s="48">
        <v>200</v>
      </c>
      <c r="C18" s="41">
        <v>200</v>
      </c>
      <c r="D18" s="41"/>
      <c r="E18" s="158"/>
    </row>
    <row r="19" spans="1:5" x14ac:dyDescent="0.25">
      <c r="A19" s="111" t="s">
        <v>502</v>
      </c>
      <c r="B19" s="48">
        <v>1700</v>
      </c>
      <c r="C19" s="41">
        <v>1700</v>
      </c>
      <c r="D19" s="41"/>
      <c r="E19" s="158"/>
    </row>
    <row r="20" spans="1:5" x14ac:dyDescent="0.25">
      <c r="A20" s="111" t="s">
        <v>457</v>
      </c>
      <c r="B20" s="462">
        <v>2385</v>
      </c>
      <c r="C20" s="41">
        <v>2228</v>
      </c>
      <c r="D20" s="41"/>
      <c r="E20" s="158"/>
    </row>
    <row r="21" spans="1:5" x14ac:dyDescent="0.25">
      <c r="A21" s="111" t="s">
        <v>544</v>
      </c>
      <c r="B21" s="48">
        <v>130</v>
      </c>
      <c r="C21" s="41">
        <v>130</v>
      </c>
      <c r="D21" s="41"/>
      <c r="E21" s="158"/>
    </row>
    <row r="22" spans="1:5" x14ac:dyDescent="0.25">
      <c r="A22" s="201" t="s">
        <v>151</v>
      </c>
      <c r="B22" s="202">
        <f>SUM(B23:B27)</f>
        <v>5240</v>
      </c>
      <c r="C22" s="202">
        <f>SUM(C23:C27)</f>
        <v>2312</v>
      </c>
      <c r="D22" s="202">
        <f>SUM(D23:D27)</f>
        <v>0</v>
      </c>
      <c r="E22" s="203"/>
    </row>
    <row r="23" spans="1:5" x14ac:dyDescent="0.25">
      <c r="A23" s="111" t="s">
        <v>452</v>
      </c>
      <c r="B23" s="48">
        <v>1412</v>
      </c>
      <c r="C23" s="41">
        <f>1412+500</f>
        <v>1912</v>
      </c>
      <c r="D23" s="41"/>
      <c r="E23" s="158"/>
    </row>
    <row r="24" spans="1:5" x14ac:dyDescent="0.25">
      <c r="A24" s="41" t="s">
        <v>83</v>
      </c>
      <c r="B24" s="48">
        <v>3428</v>
      </c>
      <c r="C24" s="97"/>
      <c r="D24" s="97"/>
      <c r="E24" s="158"/>
    </row>
    <row r="25" spans="1:5" x14ac:dyDescent="0.25">
      <c r="A25" s="41" t="s">
        <v>85</v>
      </c>
      <c r="B25" s="48"/>
      <c r="C25" s="41"/>
      <c r="D25" s="41"/>
      <c r="E25" s="158"/>
    </row>
    <row r="26" spans="1:5" x14ac:dyDescent="0.25">
      <c r="A26" s="111" t="s">
        <v>86</v>
      </c>
      <c r="B26" s="48">
        <v>400</v>
      </c>
      <c r="C26" s="41">
        <v>400</v>
      </c>
      <c r="D26" s="41"/>
      <c r="E26" s="158"/>
    </row>
    <row r="27" spans="1:5" x14ac:dyDescent="0.25">
      <c r="A27" s="41" t="s">
        <v>150</v>
      </c>
      <c r="B27" s="48">
        <v>0</v>
      </c>
      <c r="C27" s="48"/>
      <c r="D27" s="41"/>
      <c r="E27" s="158"/>
    </row>
    <row r="28" spans="1:5" x14ac:dyDescent="0.25">
      <c r="A28" s="204"/>
      <c r="B28" s="164"/>
      <c r="C28" s="183"/>
      <c r="D28" s="183"/>
      <c r="E28" s="205"/>
    </row>
    <row r="29" spans="1:5" x14ac:dyDescent="0.25">
      <c r="A29" s="144" t="s">
        <v>50</v>
      </c>
      <c r="B29" s="145">
        <f>SUM(B11+B14)</f>
        <v>15471</v>
      </c>
      <c r="C29" s="145">
        <f>SUM(C11+C14)</f>
        <v>13508</v>
      </c>
      <c r="D29" s="145">
        <f>SUM(D11+D14)</f>
        <v>0</v>
      </c>
      <c r="E29" s="156"/>
    </row>
    <row r="30" spans="1:5" x14ac:dyDescent="0.25">
      <c r="A30" s="33"/>
      <c r="B30" s="34"/>
      <c r="C30" s="33"/>
      <c r="D30" s="33"/>
    </row>
    <row r="31" spans="1:5" x14ac:dyDescent="0.25">
      <c r="A31" s="33"/>
      <c r="B31" s="34"/>
      <c r="C31" s="33"/>
      <c r="D31" s="33"/>
    </row>
    <row r="32" spans="1:5" x14ac:dyDescent="0.25">
      <c r="A32" s="33"/>
      <c r="B32" s="34"/>
      <c r="C32" s="33"/>
      <c r="D32" s="33"/>
    </row>
  </sheetData>
  <mergeCells count="7">
    <mergeCell ref="C9:D9"/>
    <mergeCell ref="A5:D5"/>
    <mergeCell ref="A1:D1"/>
    <mergeCell ref="A2:D2"/>
    <mergeCell ref="A3:D3"/>
    <mergeCell ref="A8:E8"/>
    <mergeCell ref="A7:E7"/>
  </mergeCells>
  <phoneticPr fontId="5" type="noConversion"/>
  <pageMargins left="0.75" right="0.75" top="1" bottom="1" header="0.5" footer="0.5"/>
  <pageSetup paperSize="9"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7"/>
  <sheetViews>
    <sheetView view="pageBreakPreview" zoomScaleSheetLayoutView="100" workbookViewId="0">
      <selection activeCell="A4" sqref="A4:D4"/>
    </sheetView>
  </sheetViews>
  <sheetFormatPr defaultRowHeight="13.2" x14ac:dyDescent="0.25"/>
  <cols>
    <col min="1" max="1" width="50.6640625" customWidth="1"/>
    <col min="2" max="2" width="10.6640625" customWidth="1"/>
    <col min="3" max="3" width="13.44140625" customWidth="1"/>
    <col min="4" max="4" width="13.109375" customWidth="1"/>
  </cols>
  <sheetData>
    <row r="1" spans="1:4" x14ac:dyDescent="0.25">
      <c r="A1" s="491" t="s">
        <v>60</v>
      </c>
      <c r="B1" s="477"/>
      <c r="C1" s="477"/>
      <c r="D1" s="477"/>
    </row>
    <row r="2" spans="1:4" x14ac:dyDescent="0.25">
      <c r="A2" s="491" t="s">
        <v>551</v>
      </c>
      <c r="B2" s="477"/>
      <c r="C2" s="477"/>
      <c r="D2" s="477"/>
    </row>
    <row r="3" spans="1:4" x14ac:dyDescent="0.25">
      <c r="A3" s="494" t="s">
        <v>58</v>
      </c>
      <c r="B3" s="477"/>
      <c r="C3" s="477"/>
      <c r="D3" s="477"/>
    </row>
    <row r="4" spans="1:4" ht="26.25" customHeight="1" x14ac:dyDescent="0.25">
      <c r="A4" s="499" t="s">
        <v>679</v>
      </c>
      <c r="B4" s="499"/>
      <c r="C4" s="499"/>
      <c r="D4" s="499"/>
    </row>
    <row r="5" spans="1:4" x14ac:dyDescent="0.25">
      <c r="A5" s="343"/>
      <c r="B5" s="341"/>
      <c r="C5" s="341"/>
      <c r="D5" s="341" t="s">
        <v>451</v>
      </c>
    </row>
    <row r="6" spans="1:4" ht="13.8" thickBot="1" x14ac:dyDescent="0.3">
      <c r="A6" s="33"/>
      <c r="B6" s="34"/>
      <c r="C6" s="497" t="s">
        <v>448</v>
      </c>
      <c r="D6" s="498"/>
    </row>
    <row r="7" spans="1:4" x14ac:dyDescent="0.25">
      <c r="A7" s="50" t="s">
        <v>40</v>
      </c>
      <c r="B7" s="86" t="s">
        <v>71</v>
      </c>
      <c r="C7" s="87" t="s">
        <v>41</v>
      </c>
      <c r="D7" s="88" t="s">
        <v>28</v>
      </c>
    </row>
    <row r="8" spans="1:4" x14ac:dyDescent="0.25">
      <c r="A8" s="111" t="s">
        <v>459</v>
      </c>
      <c r="B8" s="48">
        <v>5800</v>
      </c>
      <c r="C8" s="48">
        <v>8883</v>
      </c>
      <c r="D8" s="81"/>
    </row>
    <row r="9" spans="1:4" x14ac:dyDescent="0.25">
      <c r="A9" s="111" t="s">
        <v>460</v>
      </c>
      <c r="B9" s="48">
        <v>2000</v>
      </c>
      <c r="C9" s="48">
        <v>3155</v>
      </c>
      <c r="D9" s="48"/>
    </row>
    <row r="10" spans="1:4" x14ac:dyDescent="0.25">
      <c r="A10" s="111" t="s">
        <v>591</v>
      </c>
      <c r="B10" s="48"/>
      <c r="C10" s="48">
        <f>32553+6986+2000</f>
        <v>41539</v>
      </c>
      <c r="D10" s="81"/>
    </row>
    <row r="11" spans="1:4" x14ac:dyDescent="0.25">
      <c r="A11" s="131" t="s">
        <v>593</v>
      </c>
      <c r="B11" s="48">
        <v>421</v>
      </c>
      <c r="C11" s="48">
        <v>1958</v>
      </c>
      <c r="D11" s="81"/>
    </row>
    <row r="12" spans="1:4" x14ac:dyDescent="0.25">
      <c r="A12" s="131" t="s">
        <v>462</v>
      </c>
      <c r="B12" s="48">
        <v>13467</v>
      </c>
      <c r="C12" s="48">
        <v>13467</v>
      </c>
      <c r="D12" s="81"/>
    </row>
    <row r="13" spans="1:4" x14ac:dyDescent="0.25">
      <c r="A13" s="131" t="s">
        <v>545</v>
      </c>
      <c r="B13" s="48">
        <v>8700</v>
      </c>
      <c r="C13" s="48">
        <f>8700+735+1537-2000+6</f>
        <v>8978</v>
      </c>
      <c r="D13" s="48"/>
    </row>
    <row r="14" spans="1:4" x14ac:dyDescent="0.25">
      <c r="A14" s="131" t="s">
        <v>660</v>
      </c>
      <c r="B14" s="48"/>
      <c r="C14" s="48"/>
      <c r="D14" s="81"/>
    </row>
    <row r="15" spans="1:4" x14ac:dyDescent="0.25">
      <c r="A15" s="131" t="s">
        <v>661</v>
      </c>
      <c r="B15" s="48"/>
      <c r="C15" s="48">
        <v>4937</v>
      </c>
      <c r="D15" s="81"/>
    </row>
    <row r="16" spans="1:4" x14ac:dyDescent="0.25">
      <c r="A16" s="131" t="s">
        <v>592</v>
      </c>
      <c r="B16" s="48"/>
      <c r="C16" s="48">
        <f>39027+2700</f>
        <v>41727</v>
      </c>
      <c r="D16" s="81"/>
    </row>
    <row r="17" spans="1:4" x14ac:dyDescent="0.25">
      <c r="A17" s="131" t="s">
        <v>616</v>
      </c>
      <c r="B17" s="48"/>
      <c r="C17" s="48">
        <v>14992</v>
      </c>
      <c r="D17" s="81"/>
    </row>
    <row r="18" spans="1:4" x14ac:dyDescent="0.25">
      <c r="A18" s="131" t="s">
        <v>654</v>
      </c>
      <c r="B18" s="48"/>
      <c r="C18" s="48">
        <v>737</v>
      </c>
      <c r="D18" s="81"/>
    </row>
    <row r="19" spans="1:4" x14ac:dyDescent="0.25">
      <c r="A19" s="131" t="s">
        <v>662</v>
      </c>
      <c r="B19" s="48"/>
      <c r="C19" s="48">
        <v>1611</v>
      </c>
      <c r="D19" s="81"/>
    </row>
    <row r="20" spans="1:4" x14ac:dyDescent="0.25">
      <c r="A20" s="131" t="s">
        <v>664</v>
      </c>
      <c r="B20" s="48"/>
      <c r="C20" s="48">
        <v>1</v>
      </c>
      <c r="D20" s="81"/>
    </row>
    <row r="21" spans="1:4" x14ac:dyDescent="0.25">
      <c r="A21" s="82" t="s">
        <v>461</v>
      </c>
      <c r="B21" s="81">
        <f>B8+B9+B10+B11+B12+B13+B14</f>
        <v>30388</v>
      </c>
      <c r="C21" s="81">
        <f>SUM(C8:C20)</f>
        <v>141985</v>
      </c>
      <c r="D21" s="81">
        <f>SUM(D8:D14)</f>
        <v>0</v>
      </c>
    </row>
    <row r="22" spans="1:4" x14ac:dyDescent="0.25">
      <c r="A22" s="33"/>
      <c r="B22" s="34"/>
      <c r="C22" s="33"/>
      <c r="D22" s="33"/>
    </row>
    <row r="23" spans="1:4" ht="13.8" thickBot="1" x14ac:dyDescent="0.3">
      <c r="A23" s="33"/>
      <c r="B23" s="34"/>
      <c r="C23" s="498" t="s">
        <v>42</v>
      </c>
      <c r="D23" s="498"/>
    </row>
    <row r="24" spans="1:4" ht="13.8" thickBot="1" x14ac:dyDescent="0.3">
      <c r="A24" s="54" t="s">
        <v>43</v>
      </c>
      <c r="B24" s="56" t="s">
        <v>71</v>
      </c>
      <c r="C24" s="57" t="s">
        <v>41</v>
      </c>
      <c r="D24" s="58" t="s">
        <v>647</v>
      </c>
    </row>
    <row r="25" spans="1:4" x14ac:dyDescent="0.25">
      <c r="A25" s="40" t="s">
        <v>59</v>
      </c>
      <c r="B25" s="59">
        <v>0</v>
      </c>
      <c r="C25" s="59">
        <f>SUM(C26:C26)</f>
        <v>0</v>
      </c>
      <c r="D25" s="59">
        <f>SUM(D26:D26)</f>
        <v>0</v>
      </c>
    </row>
    <row r="26" spans="1:4" x14ac:dyDescent="0.25">
      <c r="A26" s="40" t="s">
        <v>91</v>
      </c>
      <c r="B26" s="39"/>
      <c r="C26" s="40"/>
      <c r="D26" s="40"/>
    </row>
    <row r="27" spans="1:4" x14ac:dyDescent="0.25">
      <c r="A27" s="51" t="s">
        <v>44</v>
      </c>
      <c r="B27" s="19">
        <f>SUM(B28:B29)</f>
        <v>2000</v>
      </c>
      <c r="C27" s="19">
        <f>SUM(C28:C29)</f>
        <v>2000</v>
      </c>
      <c r="D27" s="19"/>
    </row>
    <row r="28" spans="1:4" x14ac:dyDescent="0.25">
      <c r="A28" s="42" t="s">
        <v>45</v>
      </c>
      <c r="B28" s="37">
        <v>2000</v>
      </c>
      <c r="C28" s="38">
        <v>2000</v>
      </c>
      <c r="D28" s="60"/>
    </row>
    <row r="29" spans="1:4" x14ac:dyDescent="0.25">
      <c r="A29" s="43" t="s">
        <v>46</v>
      </c>
      <c r="B29" s="44">
        <v>0</v>
      </c>
      <c r="C29" s="46"/>
      <c r="D29" s="47"/>
    </row>
    <row r="30" spans="1:4" x14ac:dyDescent="0.25">
      <c r="A30" s="42" t="s">
        <v>68</v>
      </c>
      <c r="B30" s="59">
        <v>0</v>
      </c>
      <c r="C30" s="59">
        <v>0</v>
      </c>
      <c r="D30" s="59"/>
    </row>
    <row r="31" spans="1:4" x14ac:dyDescent="0.25">
      <c r="A31" s="461" t="s">
        <v>648</v>
      </c>
      <c r="B31" s="49">
        <v>0</v>
      </c>
      <c r="C31" s="84">
        <v>737</v>
      </c>
      <c r="D31" s="30"/>
    </row>
    <row r="32" spans="1:4" x14ac:dyDescent="0.25">
      <c r="A32" s="85" t="s">
        <v>47</v>
      </c>
      <c r="B32" s="19">
        <f>SUM(B33:B37)</f>
        <v>10800</v>
      </c>
      <c r="C32" s="19">
        <f>SUM(C33:C40)</f>
        <v>48707</v>
      </c>
      <c r="D32" s="19"/>
    </row>
    <row r="33" spans="1:4" x14ac:dyDescent="0.25">
      <c r="A33" s="42" t="s">
        <v>69</v>
      </c>
      <c r="B33" s="69">
        <v>2000</v>
      </c>
      <c r="C33" s="69">
        <v>3155</v>
      </c>
      <c r="D33" s="37"/>
    </row>
    <row r="34" spans="1:4" x14ac:dyDescent="0.25">
      <c r="A34" s="42" t="s">
        <v>87</v>
      </c>
      <c r="B34" s="91">
        <v>5800</v>
      </c>
      <c r="C34" s="91">
        <v>8883</v>
      </c>
      <c r="D34" s="460"/>
    </row>
    <row r="35" spans="1:4" hidden="1" x14ac:dyDescent="0.25">
      <c r="A35" s="346" t="s">
        <v>465</v>
      </c>
      <c r="B35" s="91"/>
      <c r="C35" s="91"/>
      <c r="D35" s="92"/>
    </row>
    <row r="36" spans="1:4" hidden="1" x14ac:dyDescent="0.25">
      <c r="A36" s="346" t="s">
        <v>464</v>
      </c>
      <c r="B36" s="91"/>
      <c r="C36" s="91"/>
      <c r="D36" s="92"/>
    </row>
    <row r="37" spans="1:4" x14ac:dyDescent="0.25">
      <c r="A37" s="346" t="s">
        <v>463</v>
      </c>
      <c r="B37" s="91">
        <v>3000</v>
      </c>
      <c r="C37" s="91">
        <v>3000</v>
      </c>
      <c r="D37" s="460"/>
    </row>
    <row r="38" spans="1:4" x14ac:dyDescent="0.25">
      <c r="A38" s="346" t="s">
        <v>594</v>
      </c>
      <c r="B38" s="91"/>
      <c r="C38" s="91">
        <v>19235</v>
      </c>
      <c r="D38" s="460"/>
    </row>
    <row r="39" spans="1:4" x14ac:dyDescent="0.25">
      <c r="A39" s="346" t="s">
        <v>617</v>
      </c>
      <c r="B39" s="91"/>
      <c r="C39" s="91">
        <v>575</v>
      </c>
      <c r="D39" s="460"/>
    </row>
    <row r="40" spans="1:4" x14ac:dyDescent="0.25">
      <c r="A40" s="346" t="s">
        <v>646</v>
      </c>
      <c r="B40" s="91"/>
      <c r="C40" s="91">
        <v>13859</v>
      </c>
      <c r="D40" s="460"/>
    </row>
    <row r="41" spans="1:4" x14ac:dyDescent="0.25">
      <c r="A41" s="51" t="s">
        <v>48</v>
      </c>
      <c r="B41" s="59">
        <f>SUM(B42:B42)</f>
        <v>0</v>
      </c>
      <c r="C41" s="59">
        <f>SUM(C42:C54)</f>
        <v>48857</v>
      </c>
      <c r="D41" s="59"/>
    </row>
    <row r="42" spans="1:4" x14ac:dyDescent="0.25">
      <c r="A42" s="346" t="s">
        <v>595</v>
      </c>
      <c r="B42" s="53"/>
      <c r="C42" s="53">
        <v>5485</v>
      </c>
      <c r="D42" s="37"/>
    </row>
    <row r="43" spans="1:4" x14ac:dyDescent="0.25">
      <c r="A43" s="346" t="s">
        <v>642</v>
      </c>
      <c r="B43" s="53"/>
      <c r="C43" s="53">
        <v>702</v>
      </c>
      <c r="D43" s="37"/>
    </row>
    <row r="44" spans="1:4" x14ac:dyDescent="0.25">
      <c r="A44" s="346" t="s">
        <v>596</v>
      </c>
      <c r="B44" s="53"/>
      <c r="C44" s="53">
        <v>11588</v>
      </c>
      <c r="D44" s="37"/>
    </row>
    <row r="45" spans="1:4" x14ac:dyDescent="0.25">
      <c r="A45" s="346" t="s">
        <v>645</v>
      </c>
      <c r="B45" s="53"/>
      <c r="C45" s="53"/>
      <c r="D45" s="37"/>
    </row>
    <row r="46" spans="1:4" x14ac:dyDescent="0.25">
      <c r="A46" s="346" t="s">
        <v>597</v>
      </c>
      <c r="B46" s="53"/>
      <c r="C46" s="53">
        <v>19976</v>
      </c>
      <c r="D46" s="37"/>
    </row>
    <row r="47" spans="1:4" x14ac:dyDescent="0.25">
      <c r="A47" s="346" t="s">
        <v>643</v>
      </c>
      <c r="B47" s="53"/>
      <c r="C47" s="53"/>
      <c r="D47" s="37"/>
    </row>
    <row r="48" spans="1:4" x14ac:dyDescent="0.25">
      <c r="A48" s="346" t="s">
        <v>644</v>
      </c>
      <c r="B48" s="53"/>
      <c r="C48" s="53">
        <v>6986</v>
      </c>
      <c r="D48" s="37"/>
    </row>
    <row r="49" spans="1:7" x14ac:dyDescent="0.25">
      <c r="A49" s="346" t="s">
        <v>650</v>
      </c>
      <c r="B49" s="53"/>
      <c r="C49" s="53"/>
      <c r="D49" s="37"/>
    </row>
    <row r="50" spans="1:7" x14ac:dyDescent="0.25">
      <c r="A50" s="346" t="s">
        <v>651</v>
      </c>
      <c r="B50" s="53"/>
      <c r="C50" s="53"/>
      <c r="D50" s="37"/>
    </row>
    <row r="51" spans="1:7" x14ac:dyDescent="0.25">
      <c r="A51" s="346" t="s">
        <v>598</v>
      </c>
      <c r="B51" s="53"/>
      <c r="C51" s="53">
        <v>320</v>
      </c>
      <c r="D51" s="37"/>
    </row>
    <row r="52" spans="1:7" x14ac:dyDescent="0.25">
      <c r="A52" s="346" t="s">
        <v>599</v>
      </c>
      <c r="B52" s="53"/>
      <c r="C52" s="53">
        <v>3300</v>
      </c>
      <c r="D52" s="37"/>
    </row>
    <row r="53" spans="1:7" x14ac:dyDescent="0.25">
      <c r="A53" s="346" t="s">
        <v>627</v>
      </c>
      <c r="B53" s="53"/>
      <c r="C53" s="53"/>
      <c r="D53" s="37"/>
    </row>
    <row r="54" spans="1:7" x14ac:dyDescent="0.25">
      <c r="A54" s="346" t="s">
        <v>649</v>
      </c>
      <c r="B54" s="53"/>
      <c r="C54" s="53">
        <v>500</v>
      </c>
      <c r="D54" s="37"/>
    </row>
    <row r="55" spans="1:7" x14ac:dyDescent="0.25">
      <c r="A55" s="38" t="s">
        <v>55</v>
      </c>
      <c r="B55" s="19">
        <f>SUM(B56)</f>
        <v>114</v>
      </c>
      <c r="C55" s="19">
        <f>C56</f>
        <v>4074</v>
      </c>
      <c r="D55" s="19"/>
    </row>
    <row r="56" spans="1:7" x14ac:dyDescent="0.25">
      <c r="A56" s="45" t="s">
        <v>359</v>
      </c>
      <c r="B56" s="37">
        <v>114</v>
      </c>
      <c r="C56" s="449">
        <f>114+997+2540+1530+50-548+143+64-114-702</f>
        <v>4074</v>
      </c>
      <c r="D56" s="37"/>
    </row>
    <row r="57" spans="1:7" x14ac:dyDescent="0.25">
      <c r="A57" s="466" t="s">
        <v>663</v>
      </c>
      <c r="B57" s="37"/>
      <c r="C57" s="449"/>
      <c r="D57" s="37"/>
    </row>
    <row r="58" spans="1:7" x14ac:dyDescent="0.25">
      <c r="A58" s="51" t="s">
        <v>72</v>
      </c>
      <c r="B58" s="19">
        <f>B60+B59</f>
        <v>17474</v>
      </c>
      <c r="C58" s="19">
        <f>SUM(C59:C63)</f>
        <v>50242</v>
      </c>
      <c r="D58" s="19"/>
    </row>
    <row r="59" spans="1:7" x14ac:dyDescent="0.25">
      <c r="A59" s="52" t="s">
        <v>49</v>
      </c>
      <c r="B59" s="37">
        <v>4007</v>
      </c>
      <c r="C59" s="37">
        <v>344</v>
      </c>
      <c r="D59" s="159"/>
    </row>
    <row r="60" spans="1:7" ht="13.8" thickBot="1" x14ac:dyDescent="0.3">
      <c r="A60" s="52" t="s">
        <v>92</v>
      </c>
      <c r="B60" s="39">
        <v>13467</v>
      </c>
      <c r="C60" s="39">
        <v>13467</v>
      </c>
      <c r="D60" s="160"/>
    </row>
    <row r="61" spans="1:7" ht="13.8" thickBot="1" x14ac:dyDescent="0.3">
      <c r="A61" s="346" t="s">
        <v>618</v>
      </c>
      <c r="B61" s="39"/>
      <c r="C61" s="450">
        <v>19902</v>
      </c>
      <c r="D61" s="448"/>
    </row>
    <row r="62" spans="1:7" ht="13.8" thickBot="1" x14ac:dyDescent="0.3">
      <c r="A62" s="346" t="s">
        <v>619</v>
      </c>
      <c r="B62" s="452"/>
      <c r="C62" s="63">
        <v>14992</v>
      </c>
      <c r="D62" s="448"/>
    </row>
    <row r="63" spans="1:7" ht="13.8" thickBot="1" x14ac:dyDescent="0.3">
      <c r="A63" s="346" t="s">
        <v>667</v>
      </c>
      <c r="B63" s="452"/>
      <c r="C63" s="63">
        <v>1537</v>
      </c>
      <c r="D63" s="448"/>
    </row>
    <row r="64" spans="1:7" ht="13.8" thickBot="1" x14ac:dyDescent="0.3">
      <c r="A64" s="61" t="s">
        <v>73</v>
      </c>
      <c r="B64" s="78">
        <f>SUM(B25+B27+B30+B31+B32+B41+B55+B58)</f>
        <v>30388</v>
      </c>
      <c r="C64" s="55">
        <f>C25+C27+C30+C31+C32+C41+C55+C58</f>
        <v>154617</v>
      </c>
      <c r="D64" s="55"/>
      <c r="G64" s="313"/>
    </row>
    <row r="65" spans="1:4" x14ac:dyDescent="0.25">
      <c r="A65" s="1"/>
      <c r="B65" s="2"/>
      <c r="C65" s="1"/>
      <c r="D65" s="1"/>
    </row>
    <row r="66" spans="1:4" x14ac:dyDescent="0.25">
      <c r="A66" s="1"/>
      <c r="B66" s="2"/>
      <c r="C66" s="1"/>
      <c r="D66" s="1"/>
    </row>
    <row r="67" spans="1:4" x14ac:dyDescent="0.25">
      <c r="A67" s="1"/>
      <c r="B67" s="2"/>
      <c r="C67" s="1"/>
      <c r="D67" s="1"/>
    </row>
  </sheetData>
  <mergeCells count="6">
    <mergeCell ref="A1:D1"/>
    <mergeCell ref="C6:D6"/>
    <mergeCell ref="C23:D23"/>
    <mergeCell ref="A2:D2"/>
    <mergeCell ref="A3:D3"/>
    <mergeCell ref="A4:D4"/>
  </mergeCells>
  <phoneticPr fontId="5" type="noConversion"/>
  <pageMargins left="0.75" right="0.75" top="1" bottom="1" header="0.5" footer="0.5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8"/>
  <sheetViews>
    <sheetView view="pageBreakPreview" zoomScaleSheetLayoutView="100" workbookViewId="0">
      <selection activeCell="A4" sqref="A4:D4"/>
    </sheetView>
  </sheetViews>
  <sheetFormatPr defaultRowHeight="13.2" x14ac:dyDescent="0.25"/>
  <cols>
    <col min="1" max="1" width="50.6640625" customWidth="1"/>
    <col min="2" max="2" width="10.6640625" customWidth="1"/>
    <col min="3" max="3" width="13.44140625" customWidth="1"/>
    <col min="4" max="4" width="13.109375" customWidth="1"/>
  </cols>
  <sheetData>
    <row r="1" spans="1:4" x14ac:dyDescent="0.25">
      <c r="A1" s="491" t="s">
        <v>60</v>
      </c>
      <c r="B1" s="477"/>
      <c r="C1" s="477"/>
      <c r="D1" s="477"/>
    </row>
    <row r="2" spans="1:4" x14ac:dyDescent="0.25">
      <c r="A2" s="491" t="s">
        <v>551</v>
      </c>
      <c r="B2" s="477"/>
      <c r="C2" s="477"/>
      <c r="D2" s="477"/>
    </row>
    <row r="3" spans="1:4" x14ac:dyDescent="0.25">
      <c r="A3" s="494" t="s">
        <v>466</v>
      </c>
      <c r="B3" s="477"/>
      <c r="C3" s="477"/>
      <c r="D3" s="477"/>
    </row>
    <row r="4" spans="1:4" ht="29.25" customHeight="1" x14ac:dyDescent="0.25">
      <c r="A4" s="499" t="s">
        <v>680</v>
      </c>
      <c r="B4" s="499"/>
      <c r="C4" s="499"/>
      <c r="D4" s="499"/>
    </row>
    <row r="5" spans="1:4" x14ac:dyDescent="0.25">
      <c r="A5" s="343"/>
      <c r="B5" s="341"/>
      <c r="C5" s="341"/>
      <c r="D5" s="341" t="s">
        <v>458</v>
      </c>
    </row>
    <row r="6" spans="1:4" ht="13.8" thickBot="1" x14ac:dyDescent="0.3">
      <c r="A6" s="33"/>
      <c r="B6" s="34"/>
      <c r="C6" s="497" t="s">
        <v>448</v>
      </c>
      <c r="D6" s="498"/>
    </row>
    <row r="7" spans="1:4" ht="13.8" thickBot="1" x14ac:dyDescent="0.3">
      <c r="A7" s="50" t="s">
        <v>40</v>
      </c>
      <c r="B7" s="86" t="s">
        <v>71</v>
      </c>
      <c r="C7" s="87" t="s">
        <v>41</v>
      </c>
      <c r="D7" s="88" t="s">
        <v>28</v>
      </c>
    </row>
    <row r="8" spans="1:4" x14ac:dyDescent="0.25">
      <c r="A8" s="357" t="s">
        <v>467</v>
      </c>
      <c r="B8" s="348">
        <v>174477</v>
      </c>
      <c r="C8" s="471">
        <f>195139-737</f>
        <v>194402</v>
      </c>
      <c r="D8" s="358"/>
    </row>
    <row r="9" spans="1:4" x14ac:dyDescent="0.25">
      <c r="A9" s="279" t="s">
        <v>468</v>
      </c>
      <c r="B9" s="48">
        <v>27322</v>
      </c>
      <c r="C9" s="224">
        <f>123084</f>
        <v>123084</v>
      </c>
      <c r="D9" s="354"/>
    </row>
    <row r="10" spans="1:4" x14ac:dyDescent="0.25">
      <c r="A10" s="279" t="s">
        <v>469</v>
      </c>
      <c r="B10" s="48">
        <f>37650-8700</f>
        <v>28950</v>
      </c>
      <c r="C10" s="48">
        <f>42567-8978</f>
        <v>33589</v>
      </c>
      <c r="D10" s="359"/>
    </row>
    <row r="11" spans="1:4" x14ac:dyDescent="0.25">
      <c r="A11" s="351" t="s">
        <v>470</v>
      </c>
      <c r="B11" s="48">
        <v>12801</v>
      </c>
      <c r="C11" s="48">
        <v>19547</v>
      </c>
      <c r="D11" s="359"/>
    </row>
    <row r="12" spans="1:4" x14ac:dyDescent="0.25">
      <c r="A12" s="351" t="s">
        <v>600</v>
      </c>
      <c r="B12" s="48"/>
      <c r="C12" s="48">
        <v>2212</v>
      </c>
      <c r="D12" s="359"/>
    </row>
    <row r="13" spans="1:4" x14ac:dyDescent="0.25">
      <c r="A13" s="351" t="s">
        <v>571</v>
      </c>
      <c r="B13" s="48">
        <f>B14+B15</f>
        <v>54651</v>
      </c>
      <c r="C13" s="48">
        <f>C14+C15</f>
        <v>54651</v>
      </c>
      <c r="D13" s="359"/>
    </row>
    <row r="14" spans="1:4" x14ac:dyDescent="0.25">
      <c r="A14" s="351" t="s">
        <v>471</v>
      </c>
      <c r="B14" s="48">
        <v>24769</v>
      </c>
      <c r="C14" s="48">
        <v>24769</v>
      </c>
      <c r="D14" s="354"/>
    </row>
    <row r="15" spans="1:4" x14ac:dyDescent="0.25">
      <c r="A15" s="351" t="s">
        <v>472</v>
      </c>
      <c r="B15" s="48">
        <v>29882</v>
      </c>
      <c r="C15" s="48">
        <v>29882</v>
      </c>
      <c r="D15" s="359"/>
    </row>
    <row r="16" spans="1:4" x14ac:dyDescent="0.25">
      <c r="A16" s="467" t="s">
        <v>665</v>
      </c>
      <c r="B16" s="37"/>
      <c r="C16" s="37">
        <v>8686</v>
      </c>
      <c r="D16" s="468"/>
    </row>
    <row r="17" spans="1:4" ht="13.8" thickBot="1" x14ac:dyDescent="0.3">
      <c r="A17" s="360" t="s">
        <v>497</v>
      </c>
      <c r="B17" s="329">
        <f>B8+B9+B10+B11+B13</f>
        <v>298201</v>
      </c>
      <c r="C17" s="329">
        <f>C8+C9+C10+C11+C13+C12+C16</f>
        <v>436171</v>
      </c>
      <c r="D17" s="361">
        <f>SUM(D8:D15)</f>
        <v>0</v>
      </c>
    </row>
    <row r="18" spans="1:4" x14ac:dyDescent="0.25">
      <c r="A18" s="33"/>
      <c r="B18" s="34"/>
      <c r="C18" s="33"/>
      <c r="D18" s="33"/>
    </row>
    <row r="19" spans="1:4" ht="13.8" thickBot="1" x14ac:dyDescent="0.3">
      <c r="A19" s="33"/>
      <c r="B19" s="34"/>
      <c r="C19" s="498" t="s">
        <v>42</v>
      </c>
      <c r="D19" s="498"/>
    </row>
    <row r="20" spans="1:4" ht="13.8" thickBot="1" x14ac:dyDescent="0.3">
      <c r="A20" s="54" t="s">
        <v>43</v>
      </c>
      <c r="B20" s="56" t="s">
        <v>71</v>
      </c>
      <c r="C20" s="57" t="s">
        <v>41</v>
      </c>
      <c r="D20" s="363" t="s">
        <v>28</v>
      </c>
    </row>
    <row r="21" spans="1:4" x14ac:dyDescent="0.25">
      <c r="A21" s="94" t="s">
        <v>267</v>
      </c>
      <c r="B21" s="59">
        <f>B22+B23+B24</f>
        <v>93167</v>
      </c>
      <c r="C21" s="59">
        <f>C22+C23+C24+C25</f>
        <v>183623</v>
      </c>
      <c r="D21" s="349">
        <f>D22+D23+D24</f>
        <v>0</v>
      </c>
    </row>
    <row r="22" spans="1:4" x14ac:dyDescent="0.25">
      <c r="A22" s="279" t="s">
        <v>473</v>
      </c>
      <c r="B22" s="48">
        <v>45720</v>
      </c>
      <c r="C22" s="41">
        <v>104753</v>
      </c>
      <c r="D22" s="350"/>
    </row>
    <row r="23" spans="1:4" x14ac:dyDescent="0.25">
      <c r="A23" s="351" t="s">
        <v>165</v>
      </c>
      <c r="B23" s="347">
        <v>8054</v>
      </c>
      <c r="C23" s="347">
        <v>15077</v>
      </c>
      <c r="D23" s="323"/>
    </row>
    <row r="24" spans="1:4" x14ac:dyDescent="0.25">
      <c r="A24" s="351" t="s">
        <v>474</v>
      </c>
      <c r="B24" s="48">
        <v>39393</v>
      </c>
      <c r="C24" s="48">
        <v>63793</v>
      </c>
      <c r="D24" s="350"/>
    </row>
    <row r="25" spans="1:4" x14ac:dyDescent="0.25">
      <c r="A25" s="451"/>
      <c r="B25" s="44"/>
      <c r="C25" s="46"/>
      <c r="D25" s="364"/>
    </row>
    <row r="26" spans="1:4" x14ac:dyDescent="0.25">
      <c r="A26" s="352" t="s">
        <v>475</v>
      </c>
      <c r="B26" s="81">
        <v>15314</v>
      </c>
      <c r="C26" s="19">
        <v>13508</v>
      </c>
      <c r="D26" s="323"/>
    </row>
    <row r="27" spans="1:4" x14ac:dyDescent="0.25">
      <c r="A27" s="80" t="s">
        <v>476</v>
      </c>
      <c r="B27" s="81">
        <v>801</v>
      </c>
      <c r="C27" s="81">
        <v>2899</v>
      </c>
      <c r="D27" s="353"/>
    </row>
    <row r="28" spans="1:4" x14ac:dyDescent="0.25">
      <c r="A28" s="352" t="s">
        <v>477</v>
      </c>
      <c r="B28" s="81">
        <v>76837</v>
      </c>
      <c r="C28" s="19">
        <f>88088-500</f>
        <v>87588</v>
      </c>
      <c r="D28" s="323"/>
    </row>
    <row r="29" spans="1:4" x14ac:dyDescent="0.25">
      <c r="A29" s="352" t="s">
        <v>478</v>
      </c>
      <c r="B29" s="81">
        <v>3328</v>
      </c>
      <c r="C29" s="81">
        <f>6933+400</f>
        <v>7333</v>
      </c>
      <c r="D29" s="354"/>
    </row>
    <row r="30" spans="1:4" x14ac:dyDescent="0.25">
      <c r="A30" s="352" t="s">
        <v>479</v>
      </c>
      <c r="B30" s="81">
        <v>84384</v>
      </c>
      <c r="C30" s="81">
        <v>89409</v>
      </c>
      <c r="D30" s="323"/>
    </row>
    <row r="31" spans="1:4" x14ac:dyDescent="0.25">
      <c r="A31" s="384" t="s">
        <v>499</v>
      </c>
      <c r="B31" s="325">
        <v>6243</v>
      </c>
      <c r="C31" s="325">
        <v>14929</v>
      </c>
      <c r="D31" s="355"/>
    </row>
    <row r="32" spans="1:4" x14ac:dyDescent="0.25">
      <c r="A32" s="385" t="s">
        <v>72</v>
      </c>
      <c r="B32" s="83">
        <f>B33+B34</f>
        <v>18127</v>
      </c>
      <c r="C32" s="83">
        <f>C33+C34</f>
        <v>36882</v>
      </c>
      <c r="D32" s="349">
        <f>D34</f>
        <v>0</v>
      </c>
    </row>
    <row r="33" spans="1:5" x14ac:dyDescent="0.25">
      <c r="A33" s="356" t="s">
        <v>49</v>
      </c>
      <c r="B33" s="48">
        <v>13738</v>
      </c>
      <c r="C33" s="48">
        <f>6221+623</f>
        <v>6844</v>
      </c>
      <c r="D33" s="362"/>
    </row>
    <row r="34" spans="1:5" x14ac:dyDescent="0.25">
      <c r="A34" s="351" t="s">
        <v>666</v>
      </c>
      <c r="B34" s="48">
        <v>4389</v>
      </c>
      <c r="C34" s="48">
        <v>30038</v>
      </c>
      <c r="D34" s="362"/>
    </row>
    <row r="35" spans="1:5" ht="13.8" thickBot="1" x14ac:dyDescent="0.3">
      <c r="A35" s="61" t="s">
        <v>498</v>
      </c>
      <c r="B35" s="78">
        <f>SUM(B21+B26+B27+B28+B29+B30+B31+B32)</f>
        <v>298201</v>
      </c>
      <c r="C35" s="78">
        <f>SUM(C21+C26+C27+C28+C29+C30+C31+C32)</f>
        <v>436171</v>
      </c>
      <c r="D35" s="96">
        <f>SUM(D21+D26+D27+D28+D29+D30+D32)</f>
        <v>0</v>
      </c>
      <c r="E35" s="313"/>
    </row>
    <row r="36" spans="1:5" x14ac:dyDescent="0.25">
      <c r="A36" s="1"/>
      <c r="B36" s="2"/>
      <c r="C36" s="1"/>
      <c r="D36" s="1"/>
    </row>
    <row r="37" spans="1:5" x14ac:dyDescent="0.25">
      <c r="A37" s="1"/>
      <c r="B37" s="2"/>
      <c r="C37" s="1"/>
      <c r="D37" s="1"/>
    </row>
    <row r="38" spans="1:5" x14ac:dyDescent="0.25">
      <c r="A38" s="1"/>
      <c r="B38" s="2"/>
      <c r="C38" s="1"/>
      <c r="D38" s="1"/>
    </row>
  </sheetData>
  <mergeCells count="6">
    <mergeCell ref="C19:D19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236"/>
  <sheetViews>
    <sheetView view="pageBreakPreview" zoomScaleSheetLayoutView="100" workbookViewId="0">
      <selection activeCell="A5" sqref="A5:M5"/>
    </sheetView>
  </sheetViews>
  <sheetFormatPr defaultRowHeight="13.2" x14ac:dyDescent="0.25"/>
  <cols>
    <col min="1" max="1" width="28.33203125" customWidth="1"/>
    <col min="9" max="9" width="10" customWidth="1"/>
  </cols>
  <sheetData>
    <row r="2" spans="1:13" ht="13.8" x14ac:dyDescent="0.25">
      <c r="A2" s="502" t="s">
        <v>550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</row>
    <row r="3" spans="1:13" ht="13.8" x14ac:dyDescent="0.25">
      <c r="D3" s="98"/>
      <c r="E3" s="98"/>
      <c r="F3" s="98"/>
      <c r="G3" s="98"/>
      <c r="H3" s="98"/>
      <c r="I3" s="98"/>
      <c r="J3" s="98"/>
    </row>
    <row r="5" spans="1:13" ht="28.5" customHeight="1" x14ac:dyDescent="0.25">
      <c r="A5" s="496" t="s">
        <v>682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13" x14ac:dyDescent="0.25">
      <c r="A6" s="99"/>
      <c r="B6" s="99"/>
      <c r="C6" s="99"/>
      <c r="K6" s="478" t="s">
        <v>480</v>
      </c>
      <c r="L6" s="478"/>
      <c r="M6" s="478"/>
    </row>
    <row r="7" spans="1:13" x14ac:dyDescent="0.25">
      <c r="A7" s="99"/>
      <c r="B7" s="99"/>
      <c r="C7" s="99"/>
      <c r="L7" t="s">
        <v>448</v>
      </c>
    </row>
    <row r="8" spans="1:13" x14ac:dyDescent="0.25">
      <c r="A8" s="101" t="s">
        <v>93</v>
      </c>
      <c r="B8" s="102"/>
      <c r="C8" s="103" t="s">
        <v>94</v>
      </c>
      <c r="D8" s="104"/>
      <c r="E8" s="105" t="s">
        <v>95</v>
      </c>
      <c r="F8" s="106"/>
      <c r="G8" s="107"/>
      <c r="H8" s="108" t="s">
        <v>96</v>
      </c>
      <c r="I8" s="109"/>
      <c r="J8" s="107"/>
      <c r="K8" s="105"/>
      <c r="L8" s="103" t="s">
        <v>97</v>
      </c>
      <c r="M8" s="107"/>
    </row>
    <row r="9" spans="1:13" x14ac:dyDescent="0.25">
      <c r="A9" s="110" t="s">
        <v>98</v>
      </c>
      <c r="B9" s="105" t="s">
        <v>99</v>
      </c>
      <c r="C9" s="107"/>
      <c r="D9" s="111" t="s">
        <v>28</v>
      </c>
      <c r="E9" s="105" t="s">
        <v>100</v>
      </c>
      <c r="F9" s="107"/>
      <c r="G9" s="105" t="s">
        <v>28</v>
      </c>
      <c r="H9" s="105" t="s">
        <v>101</v>
      </c>
      <c r="I9" s="107"/>
      <c r="J9" s="111" t="s">
        <v>28</v>
      </c>
      <c r="K9" s="105" t="s">
        <v>102</v>
      </c>
      <c r="L9" s="107"/>
      <c r="M9" s="111" t="s">
        <v>28</v>
      </c>
    </row>
    <row r="10" spans="1:13" x14ac:dyDescent="0.25">
      <c r="A10" s="112"/>
      <c r="B10" s="111" t="s">
        <v>70</v>
      </c>
      <c r="C10" s="111" t="s">
        <v>29</v>
      </c>
      <c r="D10" s="111"/>
      <c r="E10" s="111" t="s">
        <v>70</v>
      </c>
      <c r="F10" s="111" t="s">
        <v>29</v>
      </c>
      <c r="G10" s="111"/>
      <c r="H10" s="111" t="s">
        <v>103</v>
      </c>
      <c r="I10" s="111" t="s">
        <v>29</v>
      </c>
      <c r="J10" s="111"/>
      <c r="K10" s="111" t="s">
        <v>70</v>
      </c>
      <c r="L10" s="111" t="s">
        <v>29</v>
      </c>
      <c r="M10" s="111"/>
    </row>
    <row r="11" spans="1:13" x14ac:dyDescent="0.25">
      <c r="A11" s="111" t="s">
        <v>5</v>
      </c>
      <c r="B11" s="113">
        <v>13413</v>
      </c>
      <c r="C11" s="113">
        <f>B11+318+752-113+60+25</f>
        <v>14455</v>
      </c>
      <c r="D11" s="113"/>
      <c r="E11" s="113">
        <v>2737</v>
      </c>
      <c r="F11" s="113">
        <f>E11+70+21+250</f>
        <v>3078</v>
      </c>
      <c r="G11" s="113"/>
      <c r="H11" s="113">
        <v>8245</v>
      </c>
      <c r="I11" s="113">
        <f>H11+400+140+1000-737-60-121</f>
        <v>8867</v>
      </c>
      <c r="J11" s="113"/>
      <c r="K11" s="113">
        <f>B11+E11+H11</f>
        <v>24395</v>
      </c>
      <c r="L11" s="113">
        <f>C11+F11+I11</f>
        <v>26400</v>
      </c>
      <c r="M11" s="113">
        <f>D11+G11+J11</f>
        <v>0</v>
      </c>
    </row>
    <row r="12" spans="1:13" x14ac:dyDescent="0.25">
      <c r="A12" s="111" t="s">
        <v>6</v>
      </c>
      <c r="B12" s="113">
        <v>982</v>
      </c>
      <c r="C12" s="113">
        <v>982</v>
      </c>
      <c r="D12" s="113"/>
      <c r="E12" s="113">
        <v>344</v>
      </c>
      <c r="F12" s="113">
        <f>E12</f>
        <v>344</v>
      </c>
      <c r="G12" s="113"/>
      <c r="H12" s="113">
        <v>882</v>
      </c>
      <c r="I12" s="113">
        <v>882</v>
      </c>
      <c r="J12" s="113"/>
      <c r="K12" s="113">
        <f t="shared" ref="K12:K30" si="0">B12+E12+H12</f>
        <v>2208</v>
      </c>
      <c r="L12" s="113">
        <f t="shared" ref="L12:L30" si="1">C12+F12+I12</f>
        <v>2208</v>
      </c>
      <c r="M12" s="113">
        <f t="shared" ref="M12:M33" si="2">D12+G12+J12</f>
        <v>0</v>
      </c>
    </row>
    <row r="13" spans="1:13" x14ac:dyDescent="0.25">
      <c r="A13" s="111" t="s">
        <v>7</v>
      </c>
      <c r="B13" s="113"/>
      <c r="C13" s="113">
        <v>272</v>
      </c>
      <c r="D13" s="113"/>
      <c r="E13" s="113"/>
      <c r="F13" s="113">
        <v>66</v>
      </c>
      <c r="G13" s="113"/>
      <c r="H13" s="113">
        <v>1621</v>
      </c>
      <c r="I13" s="113">
        <f>H13+282+477+213+143+453</f>
        <v>3189</v>
      </c>
      <c r="J13" s="113"/>
      <c r="K13" s="113">
        <f t="shared" si="0"/>
        <v>1621</v>
      </c>
      <c r="L13" s="113">
        <f t="shared" si="1"/>
        <v>3527</v>
      </c>
      <c r="M13" s="113">
        <f t="shared" si="2"/>
        <v>0</v>
      </c>
    </row>
    <row r="14" spans="1:13" x14ac:dyDescent="0.25">
      <c r="A14" s="111" t="s">
        <v>8</v>
      </c>
      <c r="B14" s="113"/>
      <c r="C14" s="113"/>
      <c r="D14" s="113"/>
      <c r="E14" s="113"/>
      <c r="F14" s="113"/>
      <c r="G14" s="113"/>
      <c r="H14" s="113">
        <v>400</v>
      </c>
      <c r="I14" s="113">
        <v>400</v>
      </c>
      <c r="J14" s="113"/>
      <c r="K14" s="113">
        <f t="shared" si="0"/>
        <v>400</v>
      </c>
      <c r="L14" s="113">
        <f t="shared" si="1"/>
        <v>400</v>
      </c>
      <c r="M14" s="113">
        <f t="shared" si="2"/>
        <v>0</v>
      </c>
    </row>
    <row r="15" spans="1:13" x14ac:dyDescent="0.25">
      <c r="A15" s="111" t="s">
        <v>9</v>
      </c>
      <c r="B15" s="113"/>
      <c r="C15" s="113"/>
      <c r="D15" s="113"/>
      <c r="E15" s="113"/>
      <c r="F15" s="113"/>
      <c r="G15" s="113"/>
      <c r="H15" s="113">
        <v>383</v>
      </c>
      <c r="I15" s="113">
        <v>383</v>
      </c>
      <c r="J15" s="113"/>
      <c r="K15" s="113">
        <f t="shared" si="0"/>
        <v>383</v>
      </c>
      <c r="L15" s="113">
        <f t="shared" si="1"/>
        <v>383</v>
      </c>
      <c r="M15" s="113">
        <f t="shared" si="2"/>
        <v>0</v>
      </c>
    </row>
    <row r="16" spans="1:13" x14ac:dyDescent="0.25">
      <c r="A16" s="111" t="s">
        <v>10</v>
      </c>
      <c r="B16" s="113"/>
      <c r="C16" s="113"/>
      <c r="D16" s="113"/>
      <c r="E16" s="113"/>
      <c r="F16" s="113"/>
      <c r="G16" s="113"/>
      <c r="H16" s="113">
        <v>1278</v>
      </c>
      <c r="I16" s="113">
        <v>1278</v>
      </c>
      <c r="J16" s="113"/>
      <c r="K16" s="113">
        <f t="shared" si="0"/>
        <v>1278</v>
      </c>
      <c r="L16" s="113">
        <f t="shared" si="1"/>
        <v>1278</v>
      </c>
      <c r="M16" s="113">
        <f t="shared" si="2"/>
        <v>0</v>
      </c>
    </row>
    <row r="17" spans="1:13" x14ac:dyDescent="0.25">
      <c r="A17" s="111" t="s">
        <v>349</v>
      </c>
      <c r="B17" s="113"/>
      <c r="C17" s="113"/>
      <c r="D17" s="113"/>
      <c r="E17" s="113"/>
      <c r="F17" s="113"/>
      <c r="G17" s="113"/>
      <c r="H17" s="113">
        <v>38</v>
      </c>
      <c r="I17" s="113">
        <v>38</v>
      </c>
      <c r="J17" s="113"/>
      <c r="K17" s="113">
        <f t="shared" si="0"/>
        <v>38</v>
      </c>
      <c r="L17" s="113">
        <f t="shared" si="1"/>
        <v>38</v>
      </c>
      <c r="M17" s="113"/>
    </row>
    <row r="18" spans="1:13" x14ac:dyDescent="0.25">
      <c r="A18" s="111" t="s">
        <v>188</v>
      </c>
      <c r="B18" s="113"/>
      <c r="C18" s="113"/>
      <c r="D18" s="113"/>
      <c r="E18" s="113"/>
      <c r="F18" s="113"/>
      <c r="G18" s="113"/>
      <c r="H18" s="113">
        <v>5070</v>
      </c>
      <c r="I18" s="113">
        <v>5070</v>
      </c>
      <c r="J18" s="113"/>
      <c r="K18" s="113">
        <f t="shared" si="0"/>
        <v>5070</v>
      </c>
      <c r="L18" s="113">
        <f t="shared" si="1"/>
        <v>5070</v>
      </c>
      <c r="M18" s="113">
        <f t="shared" si="2"/>
        <v>0</v>
      </c>
    </row>
    <row r="19" spans="1:13" x14ac:dyDescent="0.25">
      <c r="A19" s="111" t="s">
        <v>11</v>
      </c>
      <c r="B19" s="113">
        <v>1474</v>
      </c>
      <c r="C19" s="113">
        <v>1474</v>
      </c>
      <c r="D19" s="113"/>
      <c r="E19" s="113">
        <v>293</v>
      </c>
      <c r="F19" s="113">
        <v>293</v>
      </c>
      <c r="G19" s="113"/>
      <c r="H19" s="113">
        <v>1595</v>
      </c>
      <c r="I19" s="113">
        <v>1595</v>
      </c>
      <c r="J19" s="113"/>
      <c r="K19" s="113">
        <f t="shared" si="0"/>
        <v>3362</v>
      </c>
      <c r="L19" s="113">
        <f t="shared" si="1"/>
        <v>3362</v>
      </c>
      <c r="M19" s="113">
        <f t="shared" si="2"/>
        <v>0</v>
      </c>
    </row>
    <row r="20" spans="1:13" x14ac:dyDescent="0.25">
      <c r="A20" s="111" t="s">
        <v>12</v>
      </c>
      <c r="B20" s="113">
        <v>2867</v>
      </c>
      <c r="C20" s="113">
        <f>B20+121+181</f>
        <v>3169</v>
      </c>
      <c r="D20" s="113"/>
      <c r="E20" s="113">
        <v>475</v>
      </c>
      <c r="F20" s="113">
        <f>E20+27+40</f>
        <v>542</v>
      </c>
      <c r="G20" s="113"/>
      <c r="H20" s="113">
        <v>605</v>
      </c>
      <c r="I20" s="113">
        <v>605</v>
      </c>
      <c r="J20" s="113"/>
      <c r="K20" s="113">
        <f t="shared" si="0"/>
        <v>3947</v>
      </c>
      <c r="L20" s="113">
        <f t="shared" si="1"/>
        <v>4316</v>
      </c>
      <c r="M20" s="113">
        <f t="shared" si="2"/>
        <v>0</v>
      </c>
    </row>
    <row r="21" spans="1:13" x14ac:dyDescent="0.25">
      <c r="A21" s="111" t="s">
        <v>105</v>
      </c>
      <c r="B21" s="113">
        <v>550</v>
      </c>
      <c r="C21" s="113">
        <v>550</v>
      </c>
      <c r="D21" s="113"/>
      <c r="E21" s="113">
        <v>124</v>
      </c>
      <c r="F21" s="113">
        <v>124</v>
      </c>
      <c r="G21" s="113"/>
      <c r="H21" s="113">
        <v>755</v>
      </c>
      <c r="I21" s="113">
        <v>755</v>
      </c>
      <c r="J21" s="113"/>
      <c r="K21" s="113">
        <f t="shared" si="0"/>
        <v>1429</v>
      </c>
      <c r="L21" s="113">
        <f t="shared" si="1"/>
        <v>1429</v>
      </c>
      <c r="M21" s="113">
        <f t="shared" si="2"/>
        <v>0</v>
      </c>
    </row>
    <row r="22" spans="1:13" x14ac:dyDescent="0.25">
      <c r="A22" s="111" t="s">
        <v>546</v>
      </c>
      <c r="B22" s="113">
        <v>600</v>
      </c>
      <c r="C22" s="113">
        <v>600</v>
      </c>
      <c r="D22" s="113"/>
      <c r="E22" s="113">
        <v>132</v>
      </c>
      <c r="F22" s="113">
        <v>132</v>
      </c>
      <c r="G22" s="113"/>
      <c r="H22" s="113">
        <v>370</v>
      </c>
      <c r="I22" s="113">
        <v>370</v>
      </c>
      <c r="J22" s="113"/>
      <c r="K22" s="113">
        <f t="shared" si="0"/>
        <v>1102</v>
      </c>
      <c r="L22" s="113">
        <f t="shared" si="1"/>
        <v>1102</v>
      </c>
      <c r="M22" s="113"/>
    </row>
    <row r="23" spans="1:13" x14ac:dyDescent="0.25">
      <c r="A23" s="111" t="s">
        <v>13</v>
      </c>
      <c r="B23" s="113">
        <v>3402</v>
      </c>
      <c r="C23" s="113">
        <f>B23+34</f>
        <v>3436</v>
      </c>
      <c r="D23" s="113"/>
      <c r="E23" s="113">
        <v>659</v>
      </c>
      <c r="F23" s="113">
        <f>E23+5</f>
        <v>664</v>
      </c>
      <c r="G23" s="113"/>
      <c r="H23" s="113">
        <v>822</v>
      </c>
      <c r="I23" s="113">
        <v>822</v>
      </c>
      <c r="J23" s="113"/>
      <c r="K23" s="113">
        <f t="shared" si="0"/>
        <v>4883</v>
      </c>
      <c r="L23" s="113">
        <f t="shared" si="1"/>
        <v>4922</v>
      </c>
      <c r="M23" s="113">
        <f t="shared" si="2"/>
        <v>0</v>
      </c>
    </row>
    <row r="24" spans="1:13" x14ac:dyDescent="0.25">
      <c r="A24" s="111" t="s">
        <v>547</v>
      </c>
      <c r="B24" s="113">
        <v>60</v>
      </c>
      <c r="C24" s="113">
        <v>60</v>
      </c>
      <c r="D24" s="113"/>
      <c r="E24" s="113">
        <v>12</v>
      </c>
      <c r="F24" s="113">
        <v>12</v>
      </c>
      <c r="G24" s="113"/>
      <c r="H24" s="113">
        <v>0</v>
      </c>
      <c r="I24" s="113"/>
      <c r="J24" s="113"/>
      <c r="K24" s="113">
        <f t="shared" si="0"/>
        <v>72</v>
      </c>
      <c r="L24" s="113">
        <f t="shared" si="1"/>
        <v>72</v>
      </c>
      <c r="M24" s="113"/>
    </row>
    <row r="25" spans="1:13" x14ac:dyDescent="0.25">
      <c r="A25" s="111" t="s">
        <v>14</v>
      </c>
      <c r="B25" s="113">
        <v>0</v>
      </c>
      <c r="C25" s="113"/>
      <c r="D25" s="113"/>
      <c r="E25" s="113">
        <v>0</v>
      </c>
      <c r="F25" s="113"/>
      <c r="G25" s="113"/>
      <c r="H25" s="113">
        <v>896</v>
      </c>
      <c r="I25" s="113">
        <v>896</v>
      </c>
      <c r="J25" s="113"/>
      <c r="K25" s="113">
        <f t="shared" si="0"/>
        <v>896</v>
      </c>
      <c r="L25" s="113">
        <f t="shared" si="1"/>
        <v>896</v>
      </c>
      <c r="M25" s="113">
        <f t="shared" si="2"/>
        <v>0</v>
      </c>
    </row>
    <row r="26" spans="1:13" x14ac:dyDescent="0.25">
      <c r="A26" s="111" t="s">
        <v>15</v>
      </c>
      <c r="B26" s="113">
        <v>420</v>
      </c>
      <c r="C26" s="113">
        <v>420</v>
      </c>
      <c r="D26" s="113"/>
      <c r="E26" s="113">
        <v>86</v>
      </c>
      <c r="F26" s="113">
        <v>86</v>
      </c>
      <c r="G26" s="113"/>
      <c r="H26" s="113">
        <v>210</v>
      </c>
      <c r="I26" s="113">
        <v>210</v>
      </c>
      <c r="J26" s="113"/>
      <c r="K26" s="113">
        <f t="shared" si="0"/>
        <v>716</v>
      </c>
      <c r="L26" s="113">
        <f t="shared" si="1"/>
        <v>716</v>
      </c>
      <c r="M26" s="113">
        <f t="shared" si="2"/>
        <v>0</v>
      </c>
    </row>
    <row r="27" spans="1:13" x14ac:dyDescent="0.25">
      <c r="A27" s="111" t="s">
        <v>161</v>
      </c>
      <c r="B27" s="113">
        <v>1648</v>
      </c>
      <c r="C27" s="113">
        <f>B27+173+100+1275+368</f>
        <v>3564</v>
      </c>
      <c r="D27" s="113"/>
      <c r="E27" s="113">
        <v>373</v>
      </c>
      <c r="F27" s="113">
        <f>E27+38+24+281+99</f>
        <v>815</v>
      </c>
      <c r="G27" s="113"/>
      <c r="H27" s="113">
        <v>6029</v>
      </c>
      <c r="I27" s="113">
        <f>H27+476+30</f>
        <v>6535</v>
      </c>
      <c r="J27" s="113"/>
      <c r="K27" s="113">
        <f t="shared" si="0"/>
        <v>8050</v>
      </c>
      <c r="L27" s="113">
        <f t="shared" si="1"/>
        <v>10914</v>
      </c>
      <c r="M27" s="113">
        <f t="shared" si="2"/>
        <v>0</v>
      </c>
    </row>
    <row r="28" spans="1:13" x14ac:dyDescent="0.25">
      <c r="A28" s="111" t="s">
        <v>16</v>
      </c>
      <c r="B28" s="113">
        <v>107</v>
      </c>
      <c r="C28" s="113">
        <v>107</v>
      </c>
      <c r="D28" s="113"/>
      <c r="E28" s="113">
        <v>29</v>
      </c>
      <c r="F28" s="113">
        <v>29</v>
      </c>
      <c r="G28" s="113"/>
      <c r="H28" s="113">
        <v>927</v>
      </c>
      <c r="I28" s="113">
        <f>H28+1234</f>
        <v>2161</v>
      </c>
      <c r="J28" s="113"/>
      <c r="K28" s="113">
        <f t="shared" si="0"/>
        <v>1063</v>
      </c>
      <c r="L28" s="113">
        <f t="shared" si="1"/>
        <v>2297</v>
      </c>
      <c r="M28" s="113">
        <f t="shared" si="2"/>
        <v>0</v>
      </c>
    </row>
    <row r="29" spans="1:13" x14ac:dyDescent="0.25">
      <c r="A29" s="111" t="s">
        <v>17</v>
      </c>
      <c r="B29" s="113"/>
      <c r="C29" s="113"/>
      <c r="D29" s="113"/>
      <c r="E29" s="113"/>
      <c r="F29" s="113"/>
      <c r="G29" s="113"/>
      <c r="H29" s="113">
        <v>9076</v>
      </c>
      <c r="I29" s="113">
        <v>9076</v>
      </c>
      <c r="J29" s="113"/>
      <c r="K29" s="113">
        <f t="shared" si="0"/>
        <v>9076</v>
      </c>
      <c r="L29" s="113">
        <f t="shared" si="1"/>
        <v>9076</v>
      </c>
      <c r="M29" s="113">
        <f t="shared" si="2"/>
        <v>0</v>
      </c>
    </row>
    <row r="30" spans="1:13" x14ac:dyDescent="0.25">
      <c r="A30" s="111" t="s">
        <v>506</v>
      </c>
      <c r="B30" s="113"/>
      <c r="C30" s="113"/>
      <c r="D30" s="113"/>
      <c r="E30" s="113"/>
      <c r="F30" s="113"/>
      <c r="G30" s="113"/>
      <c r="H30" s="113">
        <v>191</v>
      </c>
      <c r="I30" s="113">
        <f>H30+1394</f>
        <v>1585</v>
      </c>
      <c r="J30" s="113"/>
      <c r="K30" s="113">
        <f t="shared" si="0"/>
        <v>191</v>
      </c>
      <c r="L30" s="113">
        <f t="shared" si="1"/>
        <v>1585</v>
      </c>
      <c r="M30" s="113"/>
    </row>
    <row r="31" spans="1:13" x14ac:dyDescent="0.25">
      <c r="A31" s="111" t="s">
        <v>668</v>
      </c>
      <c r="B31" s="113"/>
      <c r="C31" s="113"/>
      <c r="D31" s="113"/>
      <c r="E31" s="113"/>
      <c r="F31" s="113"/>
      <c r="G31" s="113"/>
      <c r="H31" s="113"/>
      <c r="I31" s="113">
        <v>7215</v>
      </c>
      <c r="J31" s="113"/>
      <c r="K31" s="113"/>
      <c r="L31" s="113">
        <v>7215</v>
      </c>
      <c r="M31" s="113"/>
    </row>
    <row r="32" spans="1:13" s="64" customFormat="1" x14ac:dyDescent="0.25">
      <c r="A32" s="161" t="s">
        <v>97</v>
      </c>
      <c r="B32" s="95">
        <f>SUM(B11:B30)</f>
        <v>25523</v>
      </c>
      <c r="C32" s="95">
        <f t="shared" ref="C32:J32" si="3">SUM(C11:C30)</f>
        <v>29089</v>
      </c>
      <c r="D32" s="95">
        <f t="shared" si="3"/>
        <v>0</v>
      </c>
      <c r="E32" s="95">
        <f t="shared" si="3"/>
        <v>5264</v>
      </c>
      <c r="F32" s="95">
        <f t="shared" si="3"/>
        <v>6185</v>
      </c>
      <c r="G32" s="95">
        <f t="shared" si="3"/>
        <v>0</v>
      </c>
      <c r="H32" s="95">
        <f t="shared" si="3"/>
        <v>39393</v>
      </c>
      <c r="I32" s="95">
        <f>SUM(I11:I31)</f>
        <v>51932</v>
      </c>
      <c r="J32" s="95">
        <f t="shared" si="3"/>
        <v>0</v>
      </c>
      <c r="K32" s="95">
        <f>SUM(K11:K30)</f>
        <v>70180</v>
      </c>
      <c r="L32" s="95">
        <f>SUM(L11:L31)</f>
        <v>87206</v>
      </c>
      <c r="M32" s="95">
        <f>SUM(M11:M29)</f>
        <v>0</v>
      </c>
    </row>
    <row r="33" spans="1:13" s="35" customFormat="1" x14ac:dyDescent="0.25">
      <c r="A33" s="85" t="s">
        <v>119</v>
      </c>
      <c r="B33" s="100">
        <v>7192</v>
      </c>
      <c r="C33" s="100">
        <v>7192</v>
      </c>
      <c r="D33" s="100"/>
      <c r="E33" s="100">
        <v>1034</v>
      </c>
      <c r="F33" s="100">
        <v>1034</v>
      </c>
      <c r="G33" s="100"/>
      <c r="H33" s="100"/>
      <c r="I33" s="100"/>
      <c r="J33" s="100"/>
      <c r="K33" s="113">
        <f t="shared" ref="K33:K39" si="4">SUM(B33+E33+H33)</f>
        <v>8226</v>
      </c>
      <c r="L33" s="113">
        <f>C33+F33+I33</f>
        <v>8226</v>
      </c>
      <c r="M33" s="113">
        <f t="shared" si="2"/>
        <v>0</v>
      </c>
    </row>
    <row r="34" spans="1:13" s="35" customFormat="1" x14ac:dyDescent="0.25">
      <c r="A34" s="280" t="s">
        <v>549</v>
      </c>
      <c r="B34" s="132">
        <v>8848</v>
      </c>
      <c r="C34" s="132">
        <v>8848</v>
      </c>
      <c r="D34" s="132"/>
      <c r="E34" s="132">
        <v>1195</v>
      </c>
      <c r="F34" s="132">
        <v>1195</v>
      </c>
      <c r="G34" s="132"/>
      <c r="H34" s="132"/>
      <c r="I34" s="132"/>
      <c r="J34" s="132"/>
      <c r="K34" s="113">
        <f t="shared" si="4"/>
        <v>10043</v>
      </c>
      <c r="L34" s="114">
        <f t="shared" ref="L34:M37" si="5">C34+F34+I34</f>
        <v>10043</v>
      </c>
      <c r="M34" s="113">
        <f t="shared" si="5"/>
        <v>0</v>
      </c>
    </row>
    <row r="35" spans="1:13" s="35" customFormat="1" x14ac:dyDescent="0.25">
      <c r="A35" s="280" t="s">
        <v>482</v>
      </c>
      <c r="B35" s="132">
        <v>3340</v>
      </c>
      <c r="C35" s="132">
        <v>3340</v>
      </c>
      <c r="D35" s="132"/>
      <c r="E35" s="132">
        <v>451</v>
      </c>
      <c r="F35" s="132">
        <v>451</v>
      </c>
      <c r="G35" s="132"/>
      <c r="H35" s="132"/>
      <c r="I35" s="132"/>
      <c r="J35" s="132"/>
      <c r="K35" s="113">
        <f t="shared" si="4"/>
        <v>3791</v>
      </c>
      <c r="L35" s="114">
        <f t="shared" si="5"/>
        <v>3791</v>
      </c>
      <c r="M35" s="113">
        <f t="shared" si="5"/>
        <v>0</v>
      </c>
    </row>
    <row r="36" spans="1:13" s="35" customFormat="1" x14ac:dyDescent="0.25">
      <c r="A36" s="280" t="s">
        <v>548</v>
      </c>
      <c r="B36" s="132">
        <v>817</v>
      </c>
      <c r="C36" s="132">
        <v>817</v>
      </c>
      <c r="D36" s="132"/>
      <c r="E36" s="132">
        <v>110</v>
      </c>
      <c r="F36" s="132">
        <v>110</v>
      </c>
      <c r="G36" s="132"/>
      <c r="H36" s="132"/>
      <c r="I36" s="132"/>
      <c r="J36" s="132"/>
      <c r="K36" s="113">
        <f t="shared" si="4"/>
        <v>927</v>
      </c>
      <c r="L36" s="114">
        <f t="shared" si="5"/>
        <v>927</v>
      </c>
      <c r="M36" s="113">
        <f t="shared" si="5"/>
        <v>0</v>
      </c>
    </row>
    <row r="37" spans="1:13" s="35" customFormat="1" x14ac:dyDescent="0.25">
      <c r="A37" s="280" t="s">
        <v>601</v>
      </c>
      <c r="B37" s="132"/>
      <c r="C37" s="132">
        <v>19511</v>
      </c>
      <c r="D37" s="132"/>
      <c r="E37" s="132"/>
      <c r="F37" s="132">
        <v>2146</v>
      </c>
      <c r="G37" s="132"/>
      <c r="H37" s="132"/>
      <c r="I37" s="132">
        <f>5204+197</f>
        <v>5401</v>
      </c>
      <c r="J37" s="132"/>
      <c r="K37" s="114"/>
      <c r="L37" s="114">
        <f t="shared" si="5"/>
        <v>27058</v>
      </c>
      <c r="M37" s="114"/>
    </row>
    <row r="38" spans="1:13" s="35" customFormat="1" x14ac:dyDescent="0.25">
      <c r="A38" s="280" t="s">
        <v>602</v>
      </c>
      <c r="B38" s="132"/>
      <c r="C38" s="132">
        <v>29786</v>
      </c>
      <c r="D38" s="132"/>
      <c r="E38" s="132"/>
      <c r="F38" s="132">
        <v>3277</v>
      </c>
      <c r="G38" s="132"/>
      <c r="H38" s="132"/>
      <c r="I38" s="132">
        <v>3669</v>
      </c>
      <c r="J38" s="132"/>
      <c r="K38" s="114">
        <f t="shared" si="4"/>
        <v>0</v>
      </c>
      <c r="L38" s="114">
        <f>C38+F38+I38</f>
        <v>36732</v>
      </c>
      <c r="M38" s="114"/>
    </row>
    <row r="39" spans="1:13" s="35" customFormat="1" x14ac:dyDescent="0.25">
      <c r="A39" s="280" t="s">
        <v>603</v>
      </c>
      <c r="B39" s="132"/>
      <c r="C39" s="132">
        <v>6170</v>
      </c>
      <c r="D39" s="132"/>
      <c r="E39" s="132"/>
      <c r="F39" s="132">
        <v>679</v>
      </c>
      <c r="G39" s="132"/>
      <c r="H39" s="132"/>
      <c r="I39" s="132">
        <v>2791</v>
      </c>
      <c r="J39" s="132"/>
      <c r="K39" s="114">
        <f t="shared" si="4"/>
        <v>0</v>
      </c>
      <c r="L39" s="114">
        <f>C39+F39+I39</f>
        <v>9640</v>
      </c>
      <c r="M39" s="114"/>
    </row>
    <row r="40" spans="1:13" s="35" customFormat="1" ht="13.8" thickBot="1" x14ac:dyDescent="0.3">
      <c r="A40" s="51" t="s">
        <v>154</v>
      </c>
      <c r="B40" s="132">
        <f>SUM(B33:B39)</f>
        <v>20197</v>
      </c>
      <c r="C40" s="132">
        <f t="shared" ref="C40:M40" si="6">SUM(C33:C39)</f>
        <v>75664</v>
      </c>
      <c r="D40" s="132">
        <f t="shared" si="6"/>
        <v>0</v>
      </c>
      <c r="E40" s="132">
        <f t="shared" si="6"/>
        <v>2790</v>
      </c>
      <c r="F40" s="132">
        <f t="shared" si="6"/>
        <v>8892</v>
      </c>
      <c r="G40" s="132">
        <f t="shared" si="6"/>
        <v>0</v>
      </c>
      <c r="H40" s="132">
        <f t="shared" si="6"/>
        <v>0</v>
      </c>
      <c r="I40" s="132">
        <f t="shared" si="6"/>
        <v>11861</v>
      </c>
      <c r="J40" s="132">
        <f t="shared" si="6"/>
        <v>0</v>
      </c>
      <c r="K40" s="132">
        <f t="shared" si="6"/>
        <v>22987</v>
      </c>
      <c r="L40" s="132">
        <f t="shared" si="6"/>
        <v>96417</v>
      </c>
      <c r="M40" s="132">
        <f t="shared" si="6"/>
        <v>0</v>
      </c>
    </row>
    <row r="41" spans="1:13" x14ac:dyDescent="0.25">
      <c r="A41" s="500" t="s">
        <v>106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ht="13.8" thickBot="1" x14ac:dyDescent="0.3">
      <c r="A42" s="501"/>
      <c r="B42" s="115">
        <f t="shared" ref="B42:M42" si="7">B32+B40</f>
        <v>45720</v>
      </c>
      <c r="C42" s="115">
        <f t="shared" si="7"/>
        <v>104753</v>
      </c>
      <c r="D42" s="115">
        <f t="shared" si="7"/>
        <v>0</v>
      </c>
      <c r="E42" s="115">
        <f t="shared" si="7"/>
        <v>8054</v>
      </c>
      <c r="F42" s="115">
        <f t="shared" si="7"/>
        <v>15077</v>
      </c>
      <c r="G42" s="115">
        <f t="shared" si="7"/>
        <v>0</v>
      </c>
      <c r="H42" s="115">
        <f t="shared" si="7"/>
        <v>39393</v>
      </c>
      <c r="I42" s="115">
        <f t="shared" si="7"/>
        <v>63793</v>
      </c>
      <c r="J42" s="115">
        <f t="shared" si="7"/>
        <v>0</v>
      </c>
      <c r="K42" s="115">
        <f t="shared" si="7"/>
        <v>93167</v>
      </c>
      <c r="L42" s="115">
        <f t="shared" si="7"/>
        <v>183623</v>
      </c>
      <c r="M42" s="115">
        <f t="shared" si="7"/>
        <v>0</v>
      </c>
    </row>
    <row r="43" spans="1:13" x14ac:dyDescent="0.25"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</row>
    <row r="44" spans="1:13" x14ac:dyDescent="0.25"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</row>
    <row r="45" spans="1:13" x14ac:dyDescent="0.25"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</row>
    <row r="46" spans="1:13" x14ac:dyDescent="0.25"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</row>
    <row r="47" spans="1:13" x14ac:dyDescent="0.25"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</row>
    <row r="48" spans="1:13" x14ac:dyDescent="0.25"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</row>
    <row r="49" spans="2:13" x14ac:dyDescent="0.25"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</row>
    <row r="50" spans="2:13" x14ac:dyDescent="0.25"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2:13" x14ac:dyDescent="0.25"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2:13" x14ac:dyDescent="0.25"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</row>
    <row r="53" spans="2:13" x14ac:dyDescent="0.25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</row>
    <row r="54" spans="2:13" x14ac:dyDescent="0.25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</row>
    <row r="55" spans="2:13" x14ac:dyDescent="0.25"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</row>
    <row r="56" spans="2:13" x14ac:dyDescent="0.25"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</row>
    <row r="57" spans="2:13" x14ac:dyDescent="0.25"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</row>
    <row r="58" spans="2:13" x14ac:dyDescent="0.25"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</row>
    <row r="59" spans="2:13" x14ac:dyDescent="0.25"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</row>
    <row r="60" spans="2:13" x14ac:dyDescent="0.25"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</row>
    <row r="61" spans="2:13" x14ac:dyDescent="0.25"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</row>
    <row r="62" spans="2:13" x14ac:dyDescent="0.25"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</row>
    <row r="63" spans="2:13" x14ac:dyDescent="0.25"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</row>
    <row r="64" spans="2:13" x14ac:dyDescent="0.25"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</row>
    <row r="65" spans="2:13" x14ac:dyDescent="0.25"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</row>
    <row r="66" spans="2:13" x14ac:dyDescent="0.25"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</row>
    <row r="67" spans="2:13" x14ac:dyDescent="0.25"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</row>
    <row r="68" spans="2:13" x14ac:dyDescent="0.25"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</row>
    <row r="69" spans="2:13" x14ac:dyDescent="0.25"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</row>
    <row r="70" spans="2:13" x14ac:dyDescent="0.2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</row>
    <row r="71" spans="2:13" x14ac:dyDescent="0.25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</row>
    <row r="72" spans="2:13" x14ac:dyDescent="0.25"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</row>
    <row r="73" spans="2:13" x14ac:dyDescent="0.2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</row>
    <row r="74" spans="2:13" x14ac:dyDescent="0.25"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</row>
    <row r="75" spans="2:13" x14ac:dyDescent="0.25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2:13" x14ac:dyDescent="0.25"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</row>
    <row r="77" spans="2:13" x14ac:dyDescent="0.25"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</row>
    <row r="78" spans="2:13" x14ac:dyDescent="0.2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</row>
    <row r="79" spans="2:13" x14ac:dyDescent="0.2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2:13" x14ac:dyDescent="0.25"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</row>
    <row r="81" spans="2:13" x14ac:dyDescent="0.25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</row>
    <row r="82" spans="2:13" x14ac:dyDescent="0.25"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</row>
    <row r="83" spans="2:13" x14ac:dyDescent="0.25"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</row>
    <row r="84" spans="2:13" x14ac:dyDescent="0.25"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</row>
    <row r="85" spans="2:13" x14ac:dyDescent="0.2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</row>
    <row r="86" spans="2:13" x14ac:dyDescent="0.2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</row>
    <row r="87" spans="2:13" x14ac:dyDescent="0.25"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</row>
    <row r="88" spans="2:13" x14ac:dyDescent="0.25"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</row>
    <row r="89" spans="2:13" x14ac:dyDescent="0.25"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</row>
    <row r="90" spans="2:13" x14ac:dyDescent="0.25"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</row>
    <row r="91" spans="2:13" x14ac:dyDescent="0.25"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  <row r="92" spans="2:13" x14ac:dyDescent="0.25"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</row>
    <row r="93" spans="2:13" x14ac:dyDescent="0.25"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</row>
    <row r="94" spans="2:13" x14ac:dyDescent="0.25"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</row>
    <row r="95" spans="2:13" x14ac:dyDescent="0.25"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</row>
    <row r="96" spans="2:13" x14ac:dyDescent="0.25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</row>
    <row r="97" spans="2:13" x14ac:dyDescent="0.25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</row>
    <row r="98" spans="2:13" x14ac:dyDescent="0.25"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</row>
    <row r="99" spans="2:13" x14ac:dyDescent="0.25"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</row>
    <row r="100" spans="2:13" x14ac:dyDescent="0.25"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</row>
    <row r="101" spans="2:13" x14ac:dyDescent="0.25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</row>
    <row r="102" spans="2:13" x14ac:dyDescent="0.25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</row>
    <row r="103" spans="2:13" x14ac:dyDescent="0.25"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</row>
    <row r="104" spans="2:13" x14ac:dyDescent="0.25"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</row>
    <row r="105" spans="2:13" x14ac:dyDescent="0.25"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</row>
    <row r="106" spans="2:13" x14ac:dyDescent="0.25"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</row>
    <row r="107" spans="2:13" x14ac:dyDescent="0.25"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</row>
    <row r="108" spans="2:13" x14ac:dyDescent="0.25"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</row>
    <row r="109" spans="2:13" x14ac:dyDescent="0.25"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</row>
    <row r="110" spans="2:13" x14ac:dyDescent="0.25"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</row>
    <row r="111" spans="2:13" x14ac:dyDescent="0.25"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</row>
    <row r="112" spans="2:13" x14ac:dyDescent="0.25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</row>
    <row r="113" spans="2:13" x14ac:dyDescent="0.25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</row>
    <row r="114" spans="2:13" x14ac:dyDescent="0.25"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</row>
    <row r="115" spans="2:13" x14ac:dyDescent="0.25"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</row>
    <row r="116" spans="2:13" x14ac:dyDescent="0.25"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</row>
    <row r="117" spans="2:13" x14ac:dyDescent="0.25"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</row>
    <row r="118" spans="2:13" x14ac:dyDescent="0.25"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</row>
    <row r="119" spans="2:13" x14ac:dyDescent="0.25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</row>
    <row r="120" spans="2:13" x14ac:dyDescent="0.25"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</row>
    <row r="121" spans="2:13" x14ac:dyDescent="0.25"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</row>
    <row r="122" spans="2:13" x14ac:dyDescent="0.25"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</row>
    <row r="123" spans="2:13" x14ac:dyDescent="0.25"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</row>
    <row r="124" spans="2:13" x14ac:dyDescent="0.25"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</row>
    <row r="125" spans="2:13" x14ac:dyDescent="0.25"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</row>
    <row r="126" spans="2:13" x14ac:dyDescent="0.25"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</row>
    <row r="127" spans="2:13" x14ac:dyDescent="0.25"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</row>
    <row r="128" spans="2:13" x14ac:dyDescent="0.25"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</row>
    <row r="129" spans="2:13" x14ac:dyDescent="0.25"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</row>
    <row r="130" spans="2:13" x14ac:dyDescent="0.25"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</row>
    <row r="131" spans="2:13" x14ac:dyDescent="0.25"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</row>
    <row r="132" spans="2:13" x14ac:dyDescent="0.25"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</row>
    <row r="133" spans="2:13" x14ac:dyDescent="0.25">
      <c r="B133" s="116"/>
      <c r="C133" s="116"/>
      <c r="D133" s="116"/>
      <c r="K133" s="116"/>
    </row>
    <row r="134" spans="2:13" x14ac:dyDescent="0.25">
      <c r="B134" s="116"/>
      <c r="C134" s="116"/>
      <c r="D134" s="116"/>
      <c r="K134" s="116"/>
    </row>
    <row r="135" spans="2:13" x14ac:dyDescent="0.25">
      <c r="B135" s="116"/>
      <c r="C135" s="116"/>
      <c r="D135" s="116"/>
      <c r="K135" s="116"/>
    </row>
    <row r="136" spans="2:13" x14ac:dyDescent="0.25">
      <c r="B136" s="116"/>
      <c r="C136" s="116"/>
      <c r="D136" s="116"/>
      <c r="K136" s="116"/>
    </row>
    <row r="137" spans="2:13" x14ac:dyDescent="0.25">
      <c r="B137" s="116"/>
      <c r="C137" s="116"/>
      <c r="D137" s="116"/>
      <c r="K137" s="116"/>
    </row>
    <row r="138" spans="2:13" x14ac:dyDescent="0.25">
      <c r="B138" s="116"/>
      <c r="C138" s="116"/>
      <c r="D138" s="116"/>
      <c r="K138" s="116"/>
    </row>
    <row r="139" spans="2:13" x14ac:dyDescent="0.25">
      <c r="B139" s="116"/>
      <c r="C139" s="116"/>
      <c r="D139" s="116"/>
      <c r="K139" s="116"/>
    </row>
    <row r="140" spans="2:13" x14ac:dyDescent="0.25">
      <c r="B140" s="116"/>
      <c r="C140" s="116"/>
      <c r="D140" s="116"/>
      <c r="K140" s="116"/>
    </row>
    <row r="141" spans="2:13" x14ac:dyDescent="0.25">
      <c r="B141" s="116"/>
      <c r="C141" s="116"/>
      <c r="D141" s="116"/>
      <c r="K141" s="116"/>
    </row>
    <row r="142" spans="2:13" x14ac:dyDescent="0.25">
      <c r="B142" s="116"/>
      <c r="C142" s="116"/>
      <c r="D142" s="116"/>
      <c r="K142" s="116"/>
    </row>
    <row r="143" spans="2:13" x14ac:dyDescent="0.25">
      <c r="B143" s="116"/>
      <c r="C143" s="116"/>
      <c r="D143" s="116"/>
      <c r="K143" s="116"/>
    </row>
    <row r="144" spans="2:13" x14ac:dyDescent="0.25">
      <c r="B144" s="116"/>
      <c r="C144" s="116"/>
      <c r="D144" s="116"/>
      <c r="K144" s="116"/>
    </row>
    <row r="145" spans="2:11" x14ac:dyDescent="0.25">
      <c r="B145" s="116"/>
      <c r="C145" s="116"/>
      <c r="D145" s="116"/>
      <c r="K145" s="116"/>
    </row>
    <row r="146" spans="2:11" x14ac:dyDescent="0.25">
      <c r="B146" s="116"/>
      <c r="C146" s="116"/>
      <c r="D146" s="116"/>
      <c r="K146" s="116"/>
    </row>
    <row r="147" spans="2:11" x14ac:dyDescent="0.25">
      <c r="B147" s="116"/>
      <c r="C147" s="116"/>
      <c r="D147" s="116"/>
      <c r="K147" s="116"/>
    </row>
    <row r="148" spans="2:11" x14ac:dyDescent="0.25">
      <c r="B148" s="116"/>
      <c r="C148" s="116"/>
      <c r="D148" s="116"/>
      <c r="K148" s="116"/>
    </row>
    <row r="149" spans="2:11" x14ac:dyDescent="0.25">
      <c r="B149" s="116"/>
      <c r="C149" s="116"/>
      <c r="D149" s="116"/>
      <c r="K149" s="116"/>
    </row>
    <row r="150" spans="2:11" x14ac:dyDescent="0.25">
      <c r="B150" s="116"/>
      <c r="C150" s="116"/>
      <c r="D150" s="116"/>
      <c r="K150" s="116"/>
    </row>
    <row r="151" spans="2:11" x14ac:dyDescent="0.25">
      <c r="B151" s="116"/>
      <c r="C151" s="116"/>
      <c r="D151" s="116"/>
      <c r="K151" s="116"/>
    </row>
    <row r="152" spans="2:11" x14ac:dyDescent="0.25">
      <c r="B152" s="116"/>
      <c r="C152" s="116"/>
      <c r="D152" s="116"/>
      <c r="K152" s="116"/>
    </row>
    <row r="153" spans="2:11" x14ac:dyDescent="0.25">
      <c r="B153" s="116"/>
      <c r="C153" s="116"/>
      <c r="D153" s="116"/>
      <c r="K153" s="116"/>
    </row>
    <row r="154" spans="2:11" x14ac:dyDescent="0.25">
      <c r="B154" s="116"/>
      <c r="C154" s="116"/>
      <c r="D154" s="116"/>
      <c r="K154" s="116"/>
    </row>
    <row r="155" spans="2:11" x14ac:dyDescent="0.25">
      <c r="B155" s="116"/>
      <c r="C155" s="116"/>
      <c r="D155" s="116"/>
      <c r="K155" s="116"/>
    </row>
    <row r="156" spans="2:11" x14ac:dyDescent="0.25">
      <c r="B156" s="116"/>
      <c r="C156" s="116"/>
      <c r="D156" s="116"/>
      <c r="K156" s="116"/>
    </row>
    <row r="157" spans="2:11" x14ac:dyDescent="0.25">
      <c r="B157" s="116"/>
      <c r="C157" s="116"/>
      <c r="D157" s="116"/>
      <c r="K157" s="116"/>
    </row>
    <row r="158" spans="2:11" x14ac:dyDescent="0.25">
      <c r="B158" s="116"/>
      <c r="C158" s="116"/>
      <c r="D158" s="116"/>
      <c r="K158" s="116"/>
    </row>
    <row r="159" spans="2:11" x14ac:dyDescent="0.25">
      <c r="B159" s="116"/>
      <c r="C159" s="116"/>
      <c r="D159" s="116"/>
      <c r="K159" s="116"/>
    </row>
    <row r="160" spans="2:11" x14ac:dyDescent="0.25">
      <c r="B160" s="116"/>
      <c r="C160" s="116"/>
      <c r="D160" s="116"/>
      <c r="K160" s="116"/>
    </row>
    <row r="161" spans="2:11" x14ac:dyDescent="0.25">
      <c r="B161" s="116"/>
      <c r="C161" s="116"/>
      <c r="D161" s="116"/>
      <c r="K161" s="116"/>
    </row>
    <row r="162" spans="2:11" x14ac:dyDescent="0.25">
      <c r="B162" s="116"/>
      <c r="C162" s="116"/>
      <c r="D162" s="116"/>
      <c r="K162" s="116"/>
    </row>
    <row r="163" spans="2:11" x14ac:dyDescent="0.25">
      <c r="B163" s="116"/>
      <c r="C163" s="116"/>
      <c r="D163" s="116"/>
      <c r="K163" s="116"/>
    </row>
    <row r="164" spans="2:11" x14ac:dyDescent="0.25">
      <c r="B164" s="116"/>
      <c r="C164" s="116"/>
      <c r="D164" s="116"/>
      <c r="K164" s="116"/>
    </row>
    <row r="165" spans="2:11" x14ac:dyDescent="0.25">
      <c r="B165" s="116"/>
      <c r="C165" s="116"/>
      <c r="D165" s="116"/>
      <c r="K165" s="116"/>
    </row>
    <row r="166" spans="2:11" x14ac:dyDescent="0.25">
      <c r="B166" s="116"/>
      <c r="C166" s="116"/>
      <c r="D166" s="116"/>
      <c r="K166" s="116"/>
    </row>
    <row r="167" spans="2:11" x14ac:dyDescent="0.25">
      <c r="B167" s="116"/>
      <c r="C167" s="116"/>
      <c r="D167" s="116"/>
      <c r="K167" s="116"/>
    </row>
    <row r="168" spans="2:11" x14ac:dyDescent="0.25">
      <c r="B168" s="116"/>
      <c r="C168" s="116"/>
      <c r="D168" s="116"/>
      <c r="K168" s="116"/>
    </row>
    <row r="169" spans="2:11" x14ac:dyDescent="0.25">
      <c r="B169" s="116"/>
      <c r="C169" s="116"/>
      <c r="D169" s="116"/>
      <c r="K169" s="116"/>
    </row>
    <row r="170" spans="2:11" x14ac:dyDescent="0.25">
      <c r="B170" s="116"/>
      <c r="C170" s="116"/>
      <c r="D170" s="116"/>
      <c r="K170" s="116"/>
    </row>
    <row r="171" spans="2:11" x14ac:dyDescent="0.25">
      <c r="B171" s="116"/>
      <c r="C171" s="116"/>
      <c r="D171" s="116"/>
      <c r="K171" s="116"/>
    </row>
    <row r="172" spans="2:11" x14ac:dyDescent="0.25">
      <c r="B172" s="116"/>
      <c r="C172" s="116"/>
      <c r="D172" s="116"/>
      <c r="K172" s="116"/>
    </row>
    <row r="173" spans="2:11" x14ac:dyDescent="0.25">
      <c r="B173" s="116"/>
      <c r="C173" s="116"/>
      <c r="D173" s="116"/>
      <c r="K173" s="116"/>
    </row>
    <row r="174" spans="2:11" x14ac:dyDescent="0.25">
      <c r="B174" s="116"/>
      <c r="C174" s="116"/>
      <c r="D174" s="116"/>
      <c r="K174" s="116"/>
    </row>
    <row r="175" spans="2:11" x14ac:dyDescent="0.25">
      <c r="B175" s="116"/>
      <c r="C175" s="116"/>
      <c r="D175" s="116"/>
      <c r="K175" s="116"/>
    </row>
    <row r="176" spans="2:11" x14ac:dyDescent="0.25">
      <c r="B176" s="116"/>
      <c r="C176" s="116"/>
      <c r="D176" s="116"/>
      <c r="K176" s="116"/>
    </row>
    <row r="177" spans="2:11" x14ac:dyDescent="0.25">
      <c r="B177" s="116"/>
      <c r="C177" s="116"/>
      <c r="D177" s="116"/>
      <c r="K177" s="116"/>
    </row>
    <row r="178" spans="2:11" x14ac:dyDescent="0.25">
      <c r="B178" s="116"/>
      <c r="C178" s="116"/>
      <c r="D178" s="116"/>
      <c r="K178" s="116"/>
    </row>
    <row r="179" spans="2:11" x14ac:dyDescent="0.25">
      <c r="B179" s="116"/>
      <c r="C179" s="116"/>
      <c r="D179" s="116"/>
      <c r="K179" s="116"/>
    </row>
    <row r="180" spans="2:11" x14ac:dyDescent="0.25">
      <c r="B180" s="116"/>
      <c r="C180" s="116"/>
      <c r="D180" s="116"/>
      <c r="K180" s="116"/>
    </row>
    <row r="181" spans="2:11" x14ac:dyDescent="0.25">
      <c r="B181" s="116"/>
      <c r="C181" s="116"/>
      <c r="D181" s="116"/>
      <c r="K181" s="116"/>
    </row>
    <row r="182" spans="2:11" x14ac:dyDescent="0.25">
      <c r="B182" s="116"/>
      <c r="C182" s="116"/>
      <c r="D182" s="116"/>
      <c r="K182" s="116"/>
    </row>
    <row r="183" spans="2:11" x14ac:dyDescent="0.25">
      <c r="B183" s="116"/>
      <c r="C183" s="116"/>
      <c r="D183" s="116"/>
      <c r="K183" s="116"/>
    </row>
    <row r="184" spans="2:11" x14ac:dyDescent="0.25">
      <c r="B184" s="116"/>
      <c r="C184" s="116"/>
      <c r="D184" s="116"/>
      <c r="K184" s="116"/>
    </row>
    <row r="185" spans="2:11" x14ac:dyDescent="0.25">
      <c r="B185" s="116"/>
      <c r="C185" s="116"/>
      <c r="D185" s="116"/>
      <c r="K185" s="116"/>
    </row>
    <row r="186" spans="2:11" x14ac:dyDescent="0.25">
      <c r="B186" s="116"/>
      <c r="C186" s="116"/>
      <c r="D186" s="116"/>
      <c r="K186" s="116"/>
    </row>
    <row r="187" spans="2:11" x14ac:dyDescent="0.25">
      <c r="B187" s="116"/>
      <c r="C187" s="116"/>
      <c r="D187" s="116"/>
      <c r="K187" s="116"/>
    </row>
    <row r="188" spans="2:11" x14ac:dyDescent="0.25">
      <c r="B188" s="116"/>
      <c r="C188" s="116"/>
      <c r="D188" s="116"/>
      <c r="K188" s="116"/>
    </row>
    <row r="189" spans="2:11" x14ac:dyDescent="0.25">
      <c r="B189" s="116"/>
      <c r="C189" s="116"/>
      <c r="D189" s="116"/>
      <c r="K189" s="116"/>
    </row>
    <row r="190" spans="2:11" x14ac:dyDescent="0.25">
      <c r="B190" s="116"/>
      <c r="C190" s="116"/>
      <c r="D190" s="116"/>
      <c r="K190" s="116"/>
    </row>
    <row r="191" spans="2:11" x14ac:dyDescent="0.25">
      <c r="B191" s="116"/>
      <c r="C191" s="116"/>
      <c r="D191" s="116"/>
      <c r="K191" s="116"/>
    </row>
    <row r="192" spans="2:11" x14ac:dyDescent="0.25">
      <c r="B192" s="116"/>
      <c r="C192" s="116"/>
      <c r="D192" s="116"/>
      <c r="K192" s="116"/>
    </row>
    <row r="193" spans="2:11" x14ac:dyDescent="0.25">
      <c r="B193" s="116"/>
      <c r="C193" s="116"/>
      <c r="D193" s="116"/>
      <c r="K193" s="116"/>
    </row>
    <row r="194" spans="2:11" x14ac:dyDescent="0.25">
      <c r="B194" s="116"/>
      <c r="C194" s="116"/>
      <c r="D194" s="116"/>
      <c r="K194" s="116"/>
    </row>
    <row r="195" spans="2:11" x14ac:dyDescent="0.25">
      <c r="B195" s="116"/>
      <c r="C195" s="116"/>
      <c r="D195" s="116"/>
      <c r="K195" s="116"/>
    </row>
    <row r="196" spans="2:11" x14ac:dyDescent="0.25">
      <c r="B196" s="116"/>
      <c r="C196" s="116"/>
      <c r="D196" s="116"/>
      <c r="K196" s="116"/>
    </row>
    <row r="197" spans="2:11" x14ac:dyDescent="0.25">
      <c r="B197" s="116"/>
      <c r="C197" s="116"/>
      <c r="D197" s="116"/>
      <c r="K197" s="116"/>
    </row>
    <row r="198" spans="2:11" x14ac:dyDescent="0.25">
      <c r="B198" s="116"/>
      <c r="C198" s="116"/>
      <c r="D198" s="116"/>
      <c r="K198" s="116"/>
    </row>
    <row r="199" spans="2:11" x14ac:dyDescent="0.25">
      <c r="B199" s="116"/>
      <c r="C199" s="116"/>
      <c r="D199" s="116"/>
      <c r="K199" s="116"/>
    </row>
    <row r="200" spans="2:11" x14ac:dyDescent="0.25">
      <c r="B200" s="116"/>
      <c r="C200" s="116"/>
      <c r="D200" s="116"/>
      <c r="K200" s="116"/>
    </row>
    <row r="201" spans="2:11" x14ac:dyDescent="0.25">
      <c r="B201" s="116"/>
      <c r="C201" s="116"/>
      <c r="D201" s="116"/>
      <c r="K201" s="116"/>
    </row>
    <row r="202" spans="2:11" x14ac:dyDescent="0.25">
      <c r="C202" s="116"/>
      <c r="D202" s="116"/>
      <c r="K202" s="116"/>
    </row>
    <row r="203" spans="2:11" x14ac:dyDescent="0.25">
      <c r="C203" s="116"/>
      <c r="D203" s="116"/>
      <c r="K203" s="116"/>
    </row>
    <row r="204" spans="2:11" x14ac:dyDescent="0.25">
      <c r="C204" s="116"/>
      <c r="D204" s="116"/>
      <c r="K204" s="116"/>
    </row>
    <row r="205" spans="2:11" x14ac:dyDescent="0.25">
      <c r="C205" s="116"/>
      <c r="D205" s="116"/>
      <c r="K205" s="116"/>
    </row>
    <row r="206" spans="2:11" x14ac:dyDescent="0.25">
      <c r="C206" s="116"/>
      <c r="D206" s="116"/>
      <c r="K206" s="116"/>
    </row>
    <row r="207" spans="2:11" x14ac:dyDescent="0.25">
      <c r="C207" s="116"/>
      <c r="D207" s="116"/>
      <c r="K207" s="116"/>
    </row>
    <row r="208" spans="2:11" x14ac:dyDescent="0.25">
      <c r="C208" s="116"/>
      <c r="D208" s="116"/>
      <c r="K208" s="116"/>
    </row>
    <row r="209" spans="3:11" x14ac:dyDescent="0.25">
      <c r="C209" s="116"/>
      <c r="D209" s="116"/>
      <c r="K209" s="116"/>
    </row>
    <row r="210" spans="3:11" x14ac:dyDescent="0.25">
      <c r="C210" s="116"/>
      <c r="D210" s="116"/>
      <c r="K210" s="116"/>
    </row>
    <row r="211" spans="3:11" x14ac:dyDescent="0.25">
      <c r="C211" s="116"/>
      <c r="D211" s="116"/>
      <c r="K211" s="116"/>
    </row>
    <row r="212" spans="3:11" x14ac:dyDescent="0.25">
      <c r="C212" s="116"/>
      <c r="D212" s="116"/>
      <c r="K212" s="116"/>
    </row>
    <row r="213" spans="3:11" x14ac:dyDescent="0.25">
      <c r="C213" s="116"/>
      <c r="D213" s="116"/>
      <c r="K213" s="116"/>
    </row>
    <row r="214" spans="3:11" x14ac:dyDescent="0.25">
      <c r="C214" s="116"/>
      <c r="D214" s="116"/>
      <c r="K214" s="116"/>
    </row>
    <row r="215" spans="3:11" x14ac:dyDescent="0.25">
      <c r="C215" s="116"/>
      <c r="D215" s="116"/>
      <c r="K215" s="116"/>
    </row>
    <row r="216" spans="3:11" x14ac:dyDescent="0.25">
      <c r="K216" s="116"/>
    </row>
    <row r="217" spans="3:11" x14ac:dyDescent="0.25">
      <c r="K217" s="116"/>
    </row>
    <row r="218" spans="3:11" x14ac:dyDescent="0.25">
      <c r="K218" s="116"/>
    </row>
    <row r="219" spans="3:11" x14ac:dyDescent="0.25">
      <c r="K219" s="116"/>
    </row>
    <row r="220" spans="3:11" x14ac:dyDescent="0.25">
      <c r="K220" s="116"/>
    </row>
    <row r="221" spans="3:11" x14ac:dyDescent="0.25">
      <c r="K221" s="116"/>
    </row>
    <row r="222" spans="3:11" x14ac:dyDescent="0.25">
      <c r="K222" s="116"/>
    </row>
    <row r="223" spans="3:11" x14ac:dyDescent="0.25">
      <c r="K223" s="116"/>
    </row>
    <row r="224" spans="3:11" x14ac:dyDescent="0.25">
      <c r="K224" s="116"/>
    </row>
    <row r="225" spans="11:11" x14ac:dyDescent="0.25">
      <c r="K225" s="116"/>
    </row>
    <row r="226" spans="11:11" x14ac:dyDescent="0.25">
      <c r="K226" s="116"/>
    </row>
    <row r="227" spans="11:11" x14ac:dyDescent="0.25">
      <c r="K227" s="116"/>
    </row>
    <row r="228" spans="11:11" x14ac:dyDescent="0.25">
      <c r="K228" s="116"/>
    </row>
    <row r="229" spans="11:11" x14ac:dyDescent="0.25">
      <c r="K229" s="116"/>
    </row>
    <row r="230" spans="11:11" x14ac:dyDescent="0.25">
      <c r="K230" s="116"/>
    </row>
    <row r="231" spans="11:11" x14ac:dyDescent="0.25">
      <c r="K231" s="116"/>
    </row>
    <row r="232" spans="11:11" x14ac:dyDescent="0.25">
      <c r="K232" s="116"/>
    </row>
    <row r="233" spans="11:11" x14ac:dyDescent="0.25">
      <c r="K233" s="116"/>
    </row>
    <row r="234" spans="11:11" x14ac:dyDescent="0.25">
      <c r="K234" s="116"/>
    </row>
    <row r="235" spans="11:11" x14ac:dyDescent="0.25">
      <c r="K235" s="116"/>
    </row>
    <row r="236" spans="11:11" x14ac:dyDescent="0.25">
      <c r="K236" s="116"/>
    </row>
  </sheetData>
  <mergeCells count="4">
    <mergeCell ref="A41:A42"/>
    <mergeCell ref="A2:M2"/>
    <mergeCell ref="A5:M5"/>
    <mergeCell ref="K6:M6"/>
  </mergeCells>
  <phoneticPr fontId="5" type="noConversion"/>
  <pageMargins left="0.75" right="0.75" top="1" bottom="1" header="0.5" footer="0.5"/>
  <pageSetup paperSize="9" scale="85" orientation="landscape" r:id="rId1"/>
  <headerFooter alignWithMargins="0"/>
  <rowBreaks count="1" manualBreakCount="1"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M196"/>
  <sheetViews>
    <sheetView view="pageBreakPreview" zoomScaleSheetLayoutView="100" workbookViewId="0">
      <selection activeCell="A10" sqref="A10:D10"/>
    </sheetView>
  </sheetViews>
  <sheetFormatPr defaultColWidth="9.109375" defaultRowHeight="13.2" x14ac:dyDescent="0.25"/>
  <cols>
    <col min="1" max="1" width="53.88671875" style="1" customWidth="1"/>
    <col min="2" max="2" width="14.6640625" style="2" customWidth="1"/>
    <col min="3" max="3" width="12.6640625" style="1" customWidth="1"/>
    <col min="4" max="4" width="13.44140625" style="1" customWidth="1"/>
    <col min="5" max="8" width="9.109375" style="1"/>
    <col min="9" max="9" width="8.44140625" style="1" customWidth="1"/>
    <col min="10" max="16384" width="9.109375" style="1"/>
  </cols>
  <sheetData>
    <row r="7" spans="1:13" x14ac:dyDescent="0.25">
      <c r="A7" s="481" t="s">
        <v>108</v>
      </c>
      <c r="B7" s="482"/>
      <c r="C7" s="482"/>
      <c r="D7" s="482"/>
    </row>
    <row r="8" spans="1:13" x14ac:dyDescent="0.25">
      <c r="A8" s="481" t="s">
        <v>551</v>
      </c>
      <c r="B8" s="482"/>
      <c r="C8" s="482"/>
      <c r="D8" s="482"/>
    </row>
    <row r="9" spans="1:13" x14ac:dyDescent="0.25">
      <c r="A9" s="478"/>
      <c r="B9" s="478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</row>
    <row r="10" spans="1:13" ht="24.75" customHeight="1" x14ac:dyDescent="0.25">
      <c r="A10" s="504" t="s">
        <v>683</v>
      </c>
      <c r="B10" s="504"/>
      <c r="C10" s="504"/>
      <c r="D10" s="504"/>
    </row>
    <row r="11" spans="1:13" x14ac:dyDescent="0.25">
      <c r="A11" s="492"/>
      <c r="B11" s="503"/>
      <c r="C11" s="492"/>
      <c r="D11" s="492"/>
    </row>
    <row r="12" spans="1:13" x14ac:dyDescent="0.25">
      <c r="C12" s="492" t="s">
        <v>483</v>
      </c>
      <c r="D12" s="492"/>
    </row>
    <row r="13" spans="1:13" ht="13.8" thickBot="1" x14ac:dyDescent="0.3">
      <c r="D13" s="1" t="s">
        <v>448</v>
      </c>
    </row>
    <row r="14" spans="1:13" x14ac:dyDescent="0.25">
      <c r="A14" s="3" t="s">
        <v>24</v>
      </c>
      <c r="B14" s="4"/>
      <c r="C14" s="5"/>
      <c r="D14" s="6"/>
    </row>
    <row r="15" spans="1:13" ht="13.8" thickBot="1" x14ac:dyDescent="0.3">
      <c r="A15" s="7" t="s">
        <v>25</v>
      </c>
      <c r="B15" s="8"/>
      <c r="C15" s="9"/>
      <c r="D15" s="10"/>
    </row>
    <row r="16" spans="1:13" x14ac:dyDescent="0.25">
      <c r="A16" s="11" t="s">
        <v>26</v>
      </c>
      <c r="B16" s="12" t="s">
        <v>27</v>
      </c>
      <c r="C16" s="13"/>
      <c r="D16" s="14" t="s">
        <v>28</v>
      </c>
    </row>
    <row r="17" spans="1:4" ht="13.8" thickBot="1" x14ac:dyDescent="0.3">
      <c r="A17" s="15"/>
      <c r="B17" s="25" t="s">
        <v>70</v>
      </c>
      <c r="C17" s="16" t="s">
        <v>29</v>
      </c>
      <c r="D17" s="17"/>
    </row>
    <row r="18" spans="1:4" x14ac:dyDescent="0.25">
      <c r="A18" s="368" t="s">
        <v>152</v>
      </c>
      <c r="B18" s="397"/>
      <c r="C18" s="397">
        <v>25</v>
      </c>
      <c r="D18" s="369">
        <v>0</v>
      </c>
    </row>
    <row r="19" spans="1:4" x14ac:dyDescent="0.25">
      <c r="A19" s="70" t="s">
        <v>552</v>
      </c>
      <c r="B19" s="398">
        <v>144</v>
      </c>
      <c r="C19" s="398">
        <v>144</v>
      </c>
      <c r="D19" s="323">
        <f>SUM(D20:D23)</f>
        <v>0</v>
      </c>
    </row>
    <row r="20" spans="1:4" x14ac:dyDescent="0.25">
      <c r="A20" s="70" t="s">
        <v>122</v>
      </c>
      <c r="B20" s="20">
        <v>2</v>
      </c>
      <c r="C20" s="20">
        <v>2</v>
      </c>
      <c r="D20" s="71"/>
    </row>
    <row r="21" spans="1:4" x14ac:dyDescent="0.25">
      <c r="A21" s="70" t="s">
        <v>652</v>
      </c>
      <c r="B21" s="20"/>
      <c r="C21" s="20">
        <v>490</v>
      </c>
      <c r="D21" s="71"/>
    </row>
    <row r="22" spans="1:4" x14ac:dyDescent="0.25">
      <c r="A22" s="80" t="s">
        <v>109</v>
      </c>
      <c r="B22" s="95">
        <f>B19+B20</f>
        <v>146</v>
      </c>
      <c r="C22" s="95">
        <f>SUM(C18:C21)</f>
        <v>661</v>
      </c>
      <c r="D22" s="71"/>
    </row>
    <row r="23" spans="1:4" x14ac:dyDescent="0.25">
      <c r="A23" s="80" t="s">
        <v>117</v>
      </c>
      <c r="B23" s="95"/>
      <c r="C23" s="95"/>
      <c r="D23" s="71"/>
    </row>
    <row r="24" spans="1:4" x14ac:dyDescent="0.25">
      <c r="A24" s="80" t="s">
        <v>18</v>
      </c>
      <c r="B24" s="95">
        <f>B25+B26</f>
        <v>61562</v>
      </c>
      <c r="C24" s="95">
        <f>C25+C26</f>
        <v>62704</v>
      </c>
      <c r="D24" s="71"/>
    </row>
    <row r="25" spans="1:4" x14ac:dyDescent="0.25">
      <c r="A25" s="70" t="s">
        <v>485</v>
      </c>
      <c r="B25" s="399">
        <v>39754</v>
      </c>
      <c r="C25" s="399">
        <f>B25+1029+113</f>
        <v>40896</v>
      </c>
      <c r="D25" s="71"/>
    </row>
    <row r="26" spans="1:4" ht="13.8" thickBot="1" x14ac:dyDescent="0.3">
      <c r="A26" s="70" t="s">
        <v>486</v>
      </c>
      <c r="B26" s="399">
        <v>21808</v>
      </c>
      <c r="C26" s="399">
        <v>21808</v>
      </c>
      <c r="D26" s="71"/>
    </row>
    <row r="27" spans="1:4" ht="13.8" thickBot="1" x14ac:dyDescent="0.3">
      <c r="A27" s="94" t="s">
        <v>110</v>
      </c>
      <c r="B27" s="130">
        <v>59</v>
      </c>
      <c r="C27" s="130">
        <v>59</v>
      </c>
      <c r="D27" s="129"/>
    </row>
    <row r="28" spans="1:4" x14ac:dyDescent="0.25">
      <c r="A28" s="73" t="s">
        <v>111</v>
      </c>
      <c r="B28" s="74">
        <f>B24+B23+B22+B27</f>
        <v>61767</v>
      </c>
      <c r="C28" s="74">
        <f>C27+C24+C23+C22</f>
        <v>63424</v>
      </c>
      <c r="D28" s="324"/>
    </row>
    <row r="29" spans="1:4" ht="13.8" thickBot="1" x14ac:dyDescent="0.3">
      <c r="A29" s="75"/>
      <c r="B29" s="76"/>
      <c r="C29" s="76"/>
      <c r="D29" s="77"/>
    </row>
    <row r="30" spans="1:4" x14ac:dyDescent="0.25">
      <c r="A30" s="9"/>
      <c r="B30" s="24"/>
      <c r="C30" s="24"/>
      <c r="D30" s="24"/>
    </row>
    <row r="31" spans="1:4" x14ac:dyDescent="0.25">
      <c r="A31" s="9"/>
      <c r="B31" s="24"/>
      <c r="C31" s="24"/>
      <c r="D31" s="24"/>
    </row>
    <row r="32" spans="1:4" x14ac:dyDescent="0.25">
      <c r="C32" s="2"/>
      <c r="D32" s="2"/>
    </row>
    <row r="33" spans="1:4" x14ac:dyDescent="0.25">
      <c r="C33" s="2"/>
      <c r="D33" s="2"/>
    </row>
    <row r="34" spans="1:4" x14ac:dyDescent="0.25">
      <c r="A34" s="491" t="s">
        <v>108</v>
      </c>
      <c r="B34" s="477"/>
      <c r="C34" s="477"/>
      <c r="D34" s="477"/>
    </row>
    <row r="35" spans="1:4" x14ac:dyDescent="0.25">
      <c r="A35" s="491" t="s">
        <v>553</v>
      </c>
      <c r="B35" s="477"/>
      <c r="C35" s="477"/>
      <c r="D35" s="477"/>
    </row>
    <row r="36" spans="1:4" x14ac:dyDescent="0.25">
      <c r="A36" s="495"/>
      <c r="B36" s="482"/>
      <c r="C36" s="495"/>
      <c r="D36" s="495"/>
    </row>
    <row r="39" spans="1:4" x14ac:dyDescent="0.25">
      <c r="C39" s="492"/>
      <c r="D39" s="492"/>
    </row>
    <row r="40" spans="1:4" ht="13.8" thickBot="1" x14ac:dyDescent="0.3">
      <c r="C40" s="505" t="s">
        <v>448</v>
      </c>
      <c r="D40" s="505"/>
    </row>
    <row r="41" spans="1:4" x14ac:dyDescent="0.25">
      <c r="A41" s="3" t="s">
        <v>30</v>
      </c>
      <c r="B41" s="4"/>
      <c r="C41" s="5"/>
      <c r="D41" s="6"/>
    </row>
    <row r="42" spans="1:4" ht="13.8" thickBot="1" x14ac:dyDescent="0.3">
      <c r="A42" s="7" t="s">
        <v>25</v>
      </c>
      <c r="B42" s="8"/>
      <c r="C42" s="9"/>
      <c r="D42" s="10"/>
    </row>
    <row r="43" spans="1:4" x14ac:dyDescent="0.25">
      <c r="A43" s="11" t="s">
        <v>31</v>
      </c>
      <c r="B43" s="12" t="s">
        <v>27</v>
      </c>
      <c r="C43" s="13"/>
      <c r="D43" s="14" t="s">
        <v>28</v>
      </c>
    </row>
    <row r="44" spans="1:4" ht="13.8" thickBot="1" x14ac:dyDescent="0.3">
      <c r="A44" s="15"/>
      <c r="B44" s="25" t="s">
        <v>70</v>
      </c>
      <c r="C44" s="16" t="s">
        <v>29</v>
      </c>
      <c r="D44" s="17"/>
    </row>
    <row r="45" spans="1:4" x14ac:dyDescent="0.25">
      <c r="A45" s="30" t="s">
        <v>32</v>
      </c>
      <c r="B45" s="31">
        <f>SUM(B46:B49)</f>
        <v>61617</v>
      </c>
      <c r="C45" s="31">
        <f>SUM(C46:C49)</f>
        <v>63075</v>
      </c>
      <c r="D45" s="31">
        <f>SUM(D46:D48)</f>
        <v>0</v>
      </c>
    </row>
    <row r="46" spans="1:4" x14ac:dyDescent="0.25">
      <c r="A46" s="18" t="s">
        <v>112</v>
      </c>
      <c r="B46" s="26">
        <v>40391</v>
      </c>
      <c r="C46" s="26">
        <f>B46+843+20+113+587</f>
        <v>41954</v>
      </c>
      <c r="D46" s="26"/>
    </row>
    <row r="47" spans="1:4" x14ac:dyDescent="0.25">
      <c r="A47" s="18" t="s">
        <v>113</v>
      </c>
      <c r="B47" s="26">
        <v>8937</v>
      </c>
      <c r="C47" s="26">
        <f>B47+186+5+14</f>
        <v>9142</v>
      </c>
      <c r="D47" s="26"/>
    </row>
    <row r="48" spans="1:4" x14ac:dyDescent="0.25">
      <c r="A48" s="18" t="s">
        <v>114</v>
      </c>
      <c r="B48" s="26">
        <v>12145</v>
      </c>
      <c r="C48" s="26">
        <f>12145+407+83-199-601</f>
        <v>11835</v>
      </c>
      <c r="D48" s="26"/>
    </row>
    <row r="49" spans="1:4" x14ac:dyDescent="0.25">
      <c r="A49" s="18" t="s">
        <v>554</v>
      </c>
      <c r="B49" s="26">
        <v>144</v>
      </c>
      <c r="C49" s="26">
        <v>144</v>
      </c>
      <c r="D49" s="26"/>
    </row>
    <row r="50" spans="1:4" x14ac:dyDescent="0.25">
      <c r="A50" s="82" t="s">
        <v>153</v>
      </c>
      <c r="B50" s="81">
        <v>150</v>
      </c>
      <c r="C50" s="81">
        <f>150+199</f>
        <v>349</v>
      </c>
      <c r="D50" s="26"/>
    </row>
    <row r="51" spans="1:4" x14ac:dyDescent="0.25">
      <c r="A51" s="27" t="s">
        <v>115</v>
      </c>
      <c r="B51" s="19">
        <v>0</v>
      </c>
      <c r="C51" s="19"/>
      <c r="D51" s="19"/>
    </row>
    <row r="52" spans="1:4" x14ac:dyDescent="0.25">
      <c r="A52" s="27"/>
      <c r="B52" s="19"/>
      <c r="C52" s="19">
        <v>0</v>
      </c>
      <c r="D52" s="19"/>
    </row>
    <row r="53" spans="1:4" x14ac:dyDescent="0.25">
      <c r="A53" s="18"/>
      <c r="B53" s="26"/>
      <c r="C53" s="26"/>
      <c r="D53" s="26"/>
    </row>
    <row r="54" spans="1:4" x14ac:dyDescent="0.25">
      <c r="A54" s="82" t="s">
        <v>116</v>
      </c>
      <c r="B54" s="81">
        <f>SUM(B45+B50+B51+B52)</f>
        <v>61767</v>
      </c>
      <c r="C54" s="81">
        <f>C50+C45</f>
        <v>63424</v>
      </c>
      <c r="D54" s="26"/>
    </row>
    <row r="55" spans="1:4" x14ac:dyDescent="0.25">
      <c r="D55" s="2"/>
    </row>
    <row r="56" spans="1:4" x14ac:dyDescent="0.25">
      <c r="D56" s="2"/>
    </row>
    <row r="60" spans="1:4" x14ac:dyDescent="0.25">
      <c r="A60" s="400"/>
      <c r="B60" s="401"/>
      <c r="C60" s="506"/>
      <c r="D60" s="506"/>
    </row>
    <row r="61" spans="1:4" x14ac:dyDescent="0.25">
      <c r="A61" s="491"/>
      <c r="B61" s="477"/>
      <c r="C61" s="477"/>
      <c r="D61" s="477"/>
    </row>
    <row r="62" spans="1:4" x14ac:dyDescent="0.25">
      <c r="A62" s="491"/>
      <c r="B62" s="477"/>
      <c r="C62" s="477"/>
      <c r="D62" s="477"/>
    </row>
    <row r="63" spans="1:4" x14ac:dyDescent="0.25">
      <c r="A63" s="495"/>
      <c r="B63" s="482"/>
      <c r="C63" s="495"/>
      <c r="D63" s="495"/>
    </row>
    <row r="64" spans="1:4" x14ac:dyDescent="0.25">
      <c r="A64" s="400"/>
      <c r="B64" s="401"/>
      <c r="C64" s="400"/>
      <c r="D64" s="400"/>
    </row>
    <row r="65" spans="1:4" x14ac:dyDescent="0.25">
      <c r="A65" s="494"/>
      <c r="B65" s="477"/>
      <c r="C65" s="477"/>
      <c r="D65" s="477"/>
    </row>
    <row r="66" spans="1:4" x14ac:dyDescent="0.25">
      <c r="A66" s="400"/>
      <c r="B66" s="401"/>
      <c r="C66" s="400"/>
      <c r="D66" s="400"/>
    </row>
    <row r="67" spans="1:4" x14ac:dyDescent="0.25">
      <c r="A67" s="400"/>
      <c r="B67" s="401"/>
      <c r="C67" s="400"/>
      <c r="D67" s="400"/>
    </row>
    <row r="68" spans="1:4" x14ac:dyDescent="0.25">
      <c r="A68" s="402"/>
      <c r="B68" s="65"/>
      <c r="C68" s="64"/>
      <c r="D68" s="64"/>
    </row>
    <row r="69" spans="1:4" x14ac:dyDescent="0.25">
      <c r="A69" s="402"/>
      <c r="B69" s="403"/>
      <c r="C69" s="402"/>
      <c r="D69" s="402"/>
    </row>
    <row r="70" spans="1:4" x14ac:dyDescent="0.25">
      <c r="A70" s="404"/>
      <c r="B70" s="403"/>
      <c r="C70" s="403"/>
      <c r="D70" s="402"/>
    </row>
    <row r="71" spans="1:4" x14ac:dyDescent="0.25">
      <c r="A71" s="404"/>
      <c r="B71" s="403"/>
      <c r="C71" s="402"/>
      <c r="D71" s="402"/>
    </row>
    <row r="72" spans="1:4" x14ac:dyDescent="0.25">
      <c r="A72" s="404"/>
      <c r="B72" s="403"/>
      <c r="C72" s="402"/>
      <c r="D72" s="402"/>
    </row>
    <row r="73" spans="1:4" x14ac:dyDescent="0.25">
      <c r="A73" s="404"/>
      <c r="B73" s="403"/>
      <c r="C73" s="402"/>
      <c r="D73" s="402"/>
    </row>
    <row r="74" spans="1:4" x14ac:dyDescent="0.25">
      <c r="A74" s="404"/>
      <c r="B74" s="403"/>
      <c r="C74" s="403"/>
      <c r="D74" s="402"/>
    </row>
    <row r="75" spans="1:4" x14ac:dyDescent="0.25">
      <c r="A75" s="404"/>
      <c r="B75" s="403"/>
      <c r="C75" s="402"/>
      <c r="D75" s="402"/>
    </row>
    <row r="76" spans="1:4" x14ac:dyDescent="0.25">
      <c r="A76" s="404"/>
      <c r="B76" s="403"/>
      <c r="C76" s="402"/>
      <c r="D76" s="402"/>
    </row>
    <row r="77" spans="1:4" x14ac:dyDescent="0.25">
      <c r="A77" s="402"/>
      <c r="B77" s="403"/>
      <c r="C77" s="402"/>
      <c r="D77" s="402"/>
    </row>
    <row r="78" spans="1:4" x14ac:dyDescent="0.25">
      <c r="A78" s="404"/>
      <c r="B78" s="403"/>
      <c r="C78" s="402"/>
      <c r="D78" s="402"/>
    </row>
    <row r="79" spans="1:4" x14ac:dyDescent="0.25">
      <c r="A79" s="402"/>
      <c r="B79" s="403"/>
      <c r="C79" s="403"/>
      <c r="D79" s="402"/>
    </row>
    <row r="80" spans="1:4" x14ac:dyDescent="0.25">
      <c r="A80" s="402"/>
      <c r="B80" s="403"/>
      <c r="C80" s="402"/>
      <c r="D80" s="402"/>
    </row>
    <row r="81" spans="1:4" x14ac:dyDescent="0.25">
      <c r="A81" s="402"/>
      <c r="B81" s="403"/>
      <c r="C81" s="403"/>
      <c r="D81" s="402"/>
    </row>
    <row r="82" spans="1:4" x14ac:dyDescent="0.25">
      <c r="A82" s="402"/>
      <c r="B82" s="403"/>
      <c r="C82" s="402"/>
      <c r="D82" s="402"/>
    </row>
    <row r="83" spans="1:4" x14ac:dyDescent="0.25">
      <c r="A83" s="402"/>
      <c r="B83" s="403"/>
      <c r="C83" s="402"/>
      <c r="D83" s="402"/>
    </row>
    <row r="84" spans="1:4" x14ac:dyDescent="0.25">
      <c r="A84" s="402"/>
      <c r="B84" s="403"/>
      <c r="C84" s="403"/>
      <c r="D84" s="402"/>
    </row>
    <row r="85" spans="1:4" x14ac:dyDescent="0.25">
      <c r="A85" s="402"/>
      <c r="B85" s="403"/>
      <c r="C85" s="402"/>
      <c r="D85" s="402"/>
    </row>
    <row r="86" spans="1:4" x14ac:dyDescent="0.25">
      <c r="A86" s="404"/>
      <c r="B86" s="403"/>
      <c r="C86" s="402"/>
      <c r="D86" s="402"/>
    </row>
    <row r="87" spans="1:4" x14ac:dyDescent="0.25">
      <c r="A87" s="404"/>
      <c r="B87" s="403"/>
      <c r="C87" s="402"/>
      <c r="D87" s="402"/>
    </row>
    <row r="88" spans="1:4" x14ac:dyDescent="0.25">
      <c r="A88" s="404"/>
      <c r="B88" s="403"/>
      <c r="C88" s="402"/>
      <c r="D88" s="402"/>
    </row>
    <row r="89" spans="1:4" x14ac:dyDescent="0.25">
      <c r="A89" s="402"/>
      <c r="B89" s="403"/>
      <c r="C89" s="402"/>
      <c r="D89" s="402"/>
    </row>
    <row r="90" spans="1:4" x14ac:dyDescent="0.25">
      <c r="A90" s="404"/>
      <c r="B90" s="403"/>
      <c r="C90" s="402"/>
      <c r="D90" s="402"/>
    </row>
    <row r="91" spans="1:4" x14ac:dyDescent="0.25">
      <c r="A91" s="402"/>
      <c r="B91" s="403"/>
      <c r="C91" s="402"/>
      <c r="D91" s="402"/>
    </row>
    <row r="92" spans="1:4" x14ac:dyDescent="0.25">
      <c r="A92" s="404"/>
      <c r="B92" s="403"/>
      <c r="C92" s="402"/>
      <c r="D92" s="402"/>
    </row>
    <row r="93" spans="1:4" x14ac:dyDescent="0.25">
      <c r="A93" s="402"/>
      <c r="B93" s="403"/>
      <c r="C93" s="402"/>
      <c r="D93" s="402"/>
    </row>
    <row r="94" spans="1:4" x14ac:dyDescent="0.25">
      <c r="A94" s="402"/>
      <c r="B94" s="403"/>
      <c r="C94" s="402"/>
      <c r="D94" s="402"/>
    </row>
    <row r="95" spans="1:4" x14ac:dyDescent="0.25">
      <c r="A95" s="404"/>
      <c r="B95" s="403"/>
      <c r="C95" s="403"/>
      <c r="D95" s="402"/>
    </row>
    <row r="96" spans="1:4" x14ac:dyDescent="0.25">
      <c r="A96" s="404"/>
      <c r="B96" s="403"/>
      <c r="C96" s="403"/>
      <c r="D96" s="402"/>
    </row>
    <row r="97" spans="1:4" x14ac:dyDescent="0.25">
      <c r="A97" s="404"/>
      <c r="B97" s="403"/>
      <c r="C97" s="403"/>
      <c r="D97" s="402"/>
    </row>
    <row r="98" spans="1:4" x14ac:dyDescent="0.25">
      <c r="A98" s="404"/>
      <c r="B98" s="403"/>
      <c r="C98" s="403"/>
      <c r="D98" s="402"/>
    </row>
    <row r="99" spans="1:4" x14ac:dyDescent="0.25">
      <c r="A99" s="404"/>
      <c r="B99" s="403"/>
      <c r="C99" s="403"/>
      <c r="D99" s="402"/>
    </row>
    <row r="100" spans="1:4" x14ac:dyDescent="0.25">
      <c r="A100" s="64"/>
      <c r="B100" s="403"/>
      <c r="C100" s="402"/>
      <c r="D100" s="402"/>
    </row>
    <row r="101" spans="1:4" x14ac:dyDescent="0.25">
      <c r="A101" s="402"/>
      <c r="B101" s="65"/>
      <c r="C101" s="65"/>
      <c r="D101" s="65"/>
    </row>
    <row r="102" spans="1:4" x14ac:dyDescent="0.25">
      <c r="A102" s="402"/>
      <c r="B102" s="403"/>
      <c r="C102" s="402"/>
      <c r="D102" s="402"/>
    </row>
    <row r="103" spans="1:4" x14ac:dyDescent="0.25">
      <c r="A103" s="402"/>
      <c r="B103" s="403"/>
      <c r="C103" s="402"/>
      <c r="D103" s="402"/>
    </row>
    <row r="104" spans="1:4" x14ac:dyDescent="0.25">
      <c r="A104" s="402"/>
      <c r="B104" s="403"/>
      <c r="C104" s="402"/>
      <c r="D104" s="402"/>
    </row>
    <row r="105" spans="1:4" x14ac:dyDescent="0.25">
      <c r="A105" s="402"/>
      <c r="B105" s="403"/>
      <c r="C105" s="402"/>
      <c r="D105" s="402"/>
    </row>
    <row r="106" spans="1:4" x14ac:dyDescent="0.25">
      <c r="A106" s="402"/>
      <c r="B106" s="403"/>
      <c r="C106" s="402"/>
      <c r="D106" s="402"/>
    </row>
    <row r="107" spans="1:4" x14ac:dyDescent="0.25">
      <c r="A107" s="402"/>
      <c r="B107" s="403"/>
      <c r="C107" s="402"/>
      <c r="D107" s="402"/>
    </row>
    <row r="108" spans="1:4" x14ac:dyDescent="0.25">
      <c r="A108" s="402"/>
      <c r="B108" s="403"/>
      <c r="C108" s="402"/>
      <c r="D108" s="402"/>
    </row>
    <row r="109" spans="1:4" x14ac:dyDescent="0.25">
      <c r="A109" s="402"/>
      <c r="B109" s="403"/>
      <c r="C109" s="402"/>
      <c r="D109" s="402"/>
    </row>
    <row r="110" spans="1:4" x14ac:dyDescent="0.25">
      <c r="A110" s="402"/>
      <c r="B110" s="403"/>
      <c r="C110" s="402"/>
      <c r="D110" s="402"/>
    </row>
    <row r="111" spans="1:4" x14ac:dyDescent="0.25">
      <c r="A111" s="402"/>
      <c r="B111" s="403"/>
      <c r="C111" s="402"/>
      <c r="D111" s="402"/>
    </row>
    <row r="112" spans="1:4" x14ac:dyDescent="0.25">
      <c r="A112" s="402"/>
      <c r="B112" s="403"/>
      <c r="C112" s="402"/>
      <c r="D112" s="402"/>
    </row>
    <row r="113" spans="1:4" x14ac:dyDescent="0.25">
      <c r="A113" s="402"/>
      <c r="B113" s="403"/>
      <c r="C113" s="402"/>
      <c r="D113" s="402"/>
    </row>
    <row r="114" spans="1:4" x14ac:dyDescent="0.25">
      <c r="A114" s="64"/>
      <c r="B114" s="403"/>
      <c r="C114" s="402"/>
      <c r="D114" s="402"/>
    </row>
    <row r="115" spans="1:4" x14ac:dyDescent="0.25">
      <c r="A115" s="64"/>
      <c r="B115" s="65"/>
      <c r="C115" s="64"/>
      <c r="D115" s="402"/>
    </row>
    <row r="116" spans="1:4" x14ac:dyDescent="0.25">
      <c r="A116" s="402"/>
      <c r="B116" s="65"/>
      <c r="C116" s="64"/>
      <c r="D116" s="402"/>
    </row>
    <row r="117" spans="1:4" x14ac:dyDescent="0.25">
      <c r="A117" s="402"/>
      <c r="B117" s="403"/>
      <c r="C117" s="402"/>
      <c r="D117" s="402"/>
    </row>
    <row r="118" spans="1:4" x14ac:dyDescent="0.25">
      <c r="A118" s="402"/>
      <c r="B118" s="403"/>
      <c r="C118" s="402"/>
      <c r="D118" s="402"/>
    </row>
    <row r="119" spans="1:4" x14ac:dyDescent="0.25">
      <c r="A119" s="64"/>
      <c r="B119" s="403"/>
      <c r="C119" s="402"/>
      <c r="D119" s="402"/>
    </row>
    <row r="120" spans="1:4" x14ac:dyDescent="0.25">
      <c r="A120" s="64"/>
      <c r="B120" s="65"/>
      <c r="C120" s="64"/>
      <c r="D120" s="64"/>
    </row>
    <row r="121" spans="1:4" x14ac:dyDescent="0.25">
      <c r="A121" s="64"/>
      <c r="B121" s="65"/>
      <c r="C121" s="64"/>
      <c r="D121" s="64"/>
    </row>
    <row r="122" spans="1:4" x14ac:dyDescent="0.25">
      <c r="A122" s="64"/>
      <c r="B122" s="403"/>
      <c r="C122" s="402"/>
      <c r="D122" s="402"/>
    </row>
    <row r="123" spans="1:4" x14ac:dyDescent="0.25">
      <c r="A123" s="64"/>
      <c r="B123" s="403"/>
      <c r="C123" s="402"/>
      <c r="D123" s="402"/>
    </row>
    <row r="124" spans="1:4" x14ac:dyDescent="0.25">
      <c r="A124" s="402"/>
      <c r="B124" s="403"/>
      <c r="C124" s="402"/>
      <c r="D124" s="402"/>
    </row>
    <row r="125" spans="1:4" x14ac:dyDescent="0.25">
      <c r="A125" s="64"/>
      <c r="B125" s="403"/>
      <c r="C125" s="402"/>
      <c r="D125" s="402"/>
    </row>
    <row r="126" spans="1:4" x14ac:dyDescent="0.25">
      <c r="A126" s="402"/>
      <c r="B126" s="65"/>
      <c r="C126" s="64"/>
      <c r="D126" s="64"/>
    </row>
    <row r="127" spans="1:4" x14ac:dyDescent="0.25">
      <c r="A127" s="402"/>
      <c r="B127" s="403"/>
      <c r="C127" s="402"/>
      <c r="D127" s="402"/>
    </row>
    <row r="128" spans="1:4" x14ac:dyDescent="0.25">
      <c r="A128" s="404"/>
      <c r="B128" s="403"/>
      <c r="C128" s="403"/>
      <c r="D128" s="402"/>
    </row>
    <row r="129" spans="1:4" x14ac:dyDescent="0.25">
      <c r="A129" s="404"/>
      <c r="B129" s="403"/>
      <c r="C129" s="403"/>
      <c r="D129" s="403"/>
    </row>
    <row r="130" spans="1:4" x14ac:dyDescent="0.25">
      <c r="A130" s="404"/>
      <c r="B130" s="403"/>
      <c r="C130" s="402"/>
      <c r="D130" s="402"/>
    </row>
    <row r="131" spans="1:4" x14ac:dyDescent="0.25">
      <c r="A131" s="404"/>
      <c r="B131" s="403"/>
      <c r="C131" s="402"/>
      <c r="D131" s="402"/>
    </row>
    <row r="132" spans="1:4" x14ac:dyDescent="0.25">
      <c r="A132" s="404"/>
      <c r="B132" s="403"/>
      <c r="C132" s="403"/>
      <c r="D132" s="403"/>
    </row>
    <row r="133" spans="1:4" x14ac:dyDescent="0.25">
      <c r="A133" s="402"/>
      <c r="B133" s="403"/>
      <c r="C133" s="402"/>
      <c r="D133" s="402"/>
    </row>
    <row r="134" spans="1:4" x14ac:dyDescent="0.25">
      <c r="A134" s="402"/>
      <c r="B134" s="403"/>
      <c r="C134" s="402"/>
      <c r="D134" s="402"/>
    </row>
    <row r="135" spans="1:4" x14ac:dyDescent="0.25">
      <c r="A135" s="404"/>
      <c r="B135" s="403"/>
      <c r="C135" s="402"/>
      <c r="D135" s="402"/>
    </row>
    <row r="136" spans="1:4" x14ac:dyDescent="0.25">
      <c r="A136" s="404"/>
      <c r="B136" s="403"/>
      <c r="C136" s="403"/>
      <c r="D136" s="403"/>
    </row>
    <row r="137" spans="1:4" x14ac:dyDescent="0.25">
      <c r="A137" s="404"/>
      <c r="B137" s="405"/>
      <c r="C137" s="403"/>
      <c r="D137" s="402"/>
    </row>
    <row r="138" spans="1:4" x14ac:dyDescent="0.25">
      <c r="A138" s="404"/>
      <c r="B138" s="405"/>
      <c r="C138" s="403"/>
      <c r="D138" s="402"/>
    </row>
    <row r="139" spans="1:4" x14ac:dyDescent="0.25">
      <c r="A139" s="404"/>
      <c r="B139" s="405"/>
      <c r="C139" s="403"/>
      <c r="D139" s="402"/>
    </row>
    <row r="140" spans="1:4" x14ac:dyDescent="0.25">
      <c r="A140" s="404"/>
      <c r="B140" s="403"/>
      <c r="C140" s="403"/>
      <c r="D140" s="402"/>
    </row>
    <row r="141" spans="1:4" x14ac:dyDescent="0.25">
      <c r="A141" s="404"/>
      <c r="B141" s="403"/>
      <c r="C141" s="403"/>
      <c r="D141" s="403"/>
    </row>
    <row r="142" spans="1:4" x14ac:dyDescent="0.25">
      <c r="A142" s="404"/>
      <c r="B142" s="403"/>
      <c r="C142" s="403"/>
      <c r="D142" s="402"/>
    </row>
    <row r="143" spans="1:4" x14ac:dyDescent="0.25">
      <c r="A143" s="402"/>
      <c r="B143" s="403"/>
      <c r="C143" s="403"/>
      <c r="D143" s="402"/>
    </row>
    <row r="144" spans="1:4" x14ac:dyDescent="0.25">
      <c r="A144" s="402"/>
      <c r="B144" s="403"/>
      <c r="C144" s="403"/>
      <c r="D144" s="402"/>
    </row>
    <row r="145" spans="1:4" x14ac:dyDescent="0.25">
      <c r="A145" s="402"/>
      <c r="B145" s="403"/>
      <c r="C145" s="403"/>
      <c r="D145" s="403"/>
    </row>
    <row r="146" spans="1:4" x14ac:dyDescent="0.25">
      <c r="A146" s="402"/>
      <c r="B146" s="403"/>
      <c r="C146" s="402"/>
      <c r="D146" s="402"/>
    </row>
    <row r="147" spans="1:4" x14ac:dyDescent="0.25">
      <c r="A147" s="402"/>
      <c r="B147" s="403"/>
      <c r="C147" s="402"/>
      <c r="D147" s="402"/>
    </row>
    <row r="148" spans="1:4" x14ac:dyDescent="0.25">
      <c r="A148" s="402"/>
      <c r="B148" s="403"/>
      <c r="C148" s="402"/>
      <c r="D148" s="402"/>
    </row>
    <row r="149" spans="1:4" x14ac:dyDescent="0.25">
      <c r="A149" s="404"/>
      <c r="B149" s="403"/>
      <c r="C149" s="402"/>
      <c r="D149" s="402"/>
    </row>
    <row r="150" spans="1:4" x14ac:dyDescent="0.25">
      <c r="A150" s="404"/>
      <c r="B150" s="403"/>
      <c r="C150" s="403"/>
      <c r="D150" s="403"/>
    </row>
    <row r="151" spans="1:4" x14ac:dyDescent="0.25">
      <c r="A151" s="404"/>
      <c r="B151" s="403"/>
      <c r="C151" s="406"/>
      <c r="D151" s="402"/>
    </row>
    <row r="152" spans="1:4" x14ac:dyDescent="0.25">
      <c r="A152" s="402"/>
      <c r="B152" s="403"/>
      <c r="C152" s="403"/>
      <c r="D152" s="402"/>
    </row>
    <row r="153" spans="1:4" x14ac:dyDescent="0.25">
      <c r="A153" s="64"/>
      <c r="B153" s="403"/>
      <c r="C153" s="402"/>
      <c r="D153" s="402"/>
    </row>
    <row r="154" spans="1:4" x14ac:dyDescent="0.25">
      <c r="A154" s="9"/>
      <c r="B154" s="65"/>
      <c r="C154" s="65"/>
      <c r="D154" s="65"/>
    </row>
    <row r="155" spans="1:4" x14ac:dyDescent="0.25">
      <c r="A155" s="9"/>
      <c r="B155" s="8"/>
      <c r="C155" s="9"/>
      <c r="D155" s="9"/>
    </row>
    <row r="156" spans="1:4" x14ac:dyDescent="0.25">
      <c r="A156" s="9"/>
      <c r="B156" s="8"/>
      <c r="C156" s="9"/>
      <c r="D156" s="9"/>
    </row>
    <row r="157" spans="1:4" x14ac:dyDescent="0.25">
      <c r="A157" s="9"/>
      <c r="B157" s="8"/>
      <c r="C157" s="9"/>
      <c r="D157" s="9"/>
    </row>
    <row r="158" spans="1:4" x14ac:dyDescent="0.25">
      <c r="A158" s="9"/>
      <c r="B158" s="8"/>
      <c r="C158" s="9"/>
      <c r="D158" s="9"/>
    </row>
    <row r="159" spans="1:4" x14ac:dyDescent="0.25">
      <c r="A159" s="9"/>
      <c r="B159" s="8"/>
      <c r="C159" s="9"/>
      <c r="D159" s="9"/>
    </row>
    <row r="160" spans="1:4" x14ac:dyDescent="0.25">
      <c r="A160" s="9"/>
      <c r="B160" s="8"/>
      <c r="C160" s="9"/>
      <c r="D160" s="9"/>
    </row>
    <row r="161" spans="1:4" x14ac:dyDescent="0.25">
      <c r="A161" s="9"/>
      <c r="B161" s="8"/>
      <c r="C161" s="9"/>
      <c r="D161" s="9"/>
    </row>
    <row r="162" spans="1:4" x14ac:dyDescent="0.25">
      <c r="A162" s="9"/>
      <c r="B162" s="8"/>
      <c r="C162" s="9"/>
      <c r="D162" s="9"/>
    </row>
    <row r="163" spans="1:4" x14ac:dyDescent="0.25">
      <c r="A163" s="9"/>
      <c r="B163" s="8"/>
      <c r="C163" s="9"/>
      <c r="D163" s="9"/>
    </row>
    <row r="164" spans="1:4" x14ac:dyDescent="0.25">
      <c r="A164" s="9"/>
      <c r="B164" s="8"/>
      <c r="C164" s="9"/>
      <c r="D164" s="9"/>
    </row>
    <row r="165" spans="1:4" x14ac:dyDescent="0.25">
      <c r="A165" s="9"/>
      <c r="B165" s="8"/>
      <c r="C165" s="9"/>
      <c r="D165" s="9"/>
    </row>
    <row r="166" spans="1:4" x14ac:dyDescent="0.25">
      <c r="A166" s="9"/>
      <c r="B166" s="8"/>
      <c r="C166" s="9"/>
      <c r="D166" s="9"/>
    </row>
    <row r="167" spans="1:4" x14ac:dyDescent="0.25">
      <c r="A167" s="9"/>
      <c r="B167" s="8"/>
      <c r="C167" s="9"/>
      <c r="D167" s="9"/>
    </row>
    <row r="168" spans="1:4" x14ac:dyDescent="0.25">
      <c r="A168" s="9"/>
      <c r="B168" s="8"/>
      <c r="C168" s="9"/>
      <c r="D168" s="9"/>
    </row>
    <row r="169" spans="1:4" x14ac:dyDescent="0.25">
      <c r="A169" s="9"/>
      <c r="B169" s="8"/>
      <c r="C169" s="9"/>
      <c r="D169" s="9"/>
    </row>
    <row r="170" spans="1:4" x14ac:dyDescent="0.25">
      <c r="A170" s="9"/>
      <c r="B170" s="8"/>
      <c r="C170" s="9"/>
      <c r="D170" s="9"/>
    </row>
    <row r="171" spans="1:4" x14ac:dyDescent="0.25">
      <c r="A171" s="9"/>
      <c r="B171" s="8"/>
      <c r="C171" s="9"/>
      <c r="D171" s="9"/>
    </row>
    <row r="172" spans="1:4" x14ac:dyDescent="0.25">
      <c r="A172" s="9"/>
      <c r="B172" s="8"/>
      <c r="C172" s="9"/>
      <c r="D172" s="9"/>
    </row>
    <row r="173" spans="1:4" x14ac:dyDescent="0.25">
      <c r="A173" s="9"/>
      <c r="B173" s="8"/>
      <c r="C173" s="9"/>
      <c r="D173" s="9"/>
    </row>
    <row r="174" spans="1:4" x14ac:dyDescent="0.25">
      <c r="A174" s="9"/>
      <c r="B174" s="8"/>
      <c r="C174" s="9"/>
      <c r="D174" s="9"/>
    </row>
    <row r="175" spans="1:4" x14ac:dyDescent="0.25">
      <c r="A175" s="9"/>
      <c r="B175" s="8"/>
      <c r="C175" s="9"/>
      <c r="D175" s="9"/>
    </row>
    <row r="176" spans="1:4" x14ac:dyDescent="0.25">
      <c r="A176" s="9"/>
      <c r="B176" s="8"/>
      <c r="C176" s="9"/>
      <c r="D176" s="9"/>
    </row>
    <row r="177" spans="1:4" x14ac:dyDescent="0.25">
      <c r="A177" s="9"/>
      <c r="B177" s="8"/>
      <c r="C177" s="9"/>
      <c r="D177" s="9"/>
    </row>
    <row r="178" spans="1:4" x14ac:dyDescent="0.25">
      <c r="A178" s="9"/>
      <c r="B178" s="8"/>
      <c r="C178" s="9"/>
      <c r="D178" s="9"/>
    </row>
    <row r="179" spans="1:4" x14ac:dyDescent="0.25">
      <c r="A179" s="9"/>
      <c r="B179" s="8"/>
      <c r="C179" s="9"/>
      <c r="D179" s="9"/>
    </row>
    <row r="180" spans="1:4" x14ac:dyDescent="0.25">
      <c r="A180" s="9"/>
      <c r="B180" s="8"/>
      <c r="C180" s="9"/>
      <c r="D180" s="9"/>
    </row>
    <row r="181" spans="1:4" x14ac:dyDescent="0.25">
      <c r="A181" s="9"/>
      <c r="B181" s="8"/>
      <c r="C181" s="9"/>
      <c r="D181" s="9"/>
    </row>
    <row r="182" spans="1:4" x14ac:dyDescent="0.25">
      <c r="A182" s="9"/>
      <c r="B182" s="8"/>
      <c r="C182" s="9"/>
      <c r="D182" s="9"/>
    </row>
    <row r="183" spans="1:4" x14ac:dyDescent="0.25">
      <c r="A183" s="9"/>
      <c r="B183" s="8"/>
      <c r="C183" s="9"/>
      <c r="D183" s="9"/>
    </row>
    <row r="184" spans="1:4" x14ac:dyDescent="0.25">
      <c r="A184" s="9"/>
      <c r="B184" s="8"/>
      <c r="C184" s="9"/>
      <c r="D184" s="9"/>
    </row>
    <row r="185" spans="1:4" x14ac:dyDescent="0.25">
      <c r="A185" s="9"/>
      <c r="B185" s="8"/>
      <c r="C185" s="9"/>
      <c r="D185" s="9"/>
    </row>
    <row r="186" spans="1:4" x14ac:dyDescent="0.25">
      <c r="A186" s="9"/>
      <c r="B186" s="8"/>
      <c r="C186" s="9"/>
      <c r="D186" s="9"/>
    </row>
    <row r="187" spans="1:4" x14ac:dyDescent="0.25">
      <c r="A187" s="9"/>
      <c r="B187" s="8"/>
      <c r="C187" s="9"/>
      <c r="D187" s="9"/>
    </row>
    <row r="188" spans="1:4" x14ac:dyDescent="0.25">
      <c r="A188" s="9"/>
      <c r="B188" s="8"/>
      <c r="C188" s="9"/>
      <c r="D188" s="9"/>
    </row>
    <row r="189" spans="1:4" x14ac:dyDescent="0.25">
      <c r="A189" s="9"/>
      <c r="B189" s="8"/>
      <c r="C189" s="9"/>
      <c r="D189" s="9"/>
    </row>
    <row r="190" spans="1:4" x14ac:dyDescent="0.25">
      <c r="A190" s="9"/>
      <c r="B190" s="8"/>
      <c r="C190" s="9"/>
      <c r="D190" s="9"/>
    </row>
    <row r="191" spans="1:4" x14ac:dyDescent="0.25">
      <c r="A191" s="9"/>
      <c r="B191" s="8"/>
      <c r="C191" s="9"/>
      <c r="D191" s="9"/>
    </row>
    <row r="192" spans="1:4" x14ac:dyDescent="0.25">
      <c r="A192" s="9"/>
      <c r="B192" s="8"/>
      <c r="C192" s="9"/>
      <c r="D192" s="9"/>
    </row>
    <row r="193" spans="1:4" x14ac:dyDescent="0.25">
      <c r="A193" s="9"/>
      <c r="B193" s="8"/>
      <c r="C193" s="9"/>
      <c r="D193" s="9"/>
    </row>
    <row r="194" spans="1:4" x14ac:dyDescent="0.25">
      <c r="A194" s="9"/>
      <c r="B194" s="8"/>
      <c r="C194" s="9"/>
      <c r="D194" s="9"/>
    </row>
    <row r="195" spans="1:4" x14ac:dyDescent="0.25">
      <c r="A195" s="9"/>
      <c r="B195" s="8"/>
      <c r="C195" s="9"/>
      <c r="D195" s="9"/>
    </row>
    <row r="196" spans="1:4" x14ac:dyDescent="0.25">
      <c r="B196" s="8"/>
      <c r="C196" s="9"/>
      <c r="D196" s="9"/>
    </row>
  </sheetData>
  <mergeCells count="16">
    <mergeCell ref="A65:D65"/>
    <mergeCell ref="A9:M9"/>
    <mergeCell ref="A10:D10"/>
    <mergeCell ref="A62:D62"/>
    <mergeCell ref="A61:D61"/>
    <mergeCell ref="C40:D40"/>
    <mergeCell ref="C60:D60"/>
    <mergeCell ref="A63:D63"/>
    <mergeCell ref="C39:D39"/>
    <mergeCell ref="A7:D7"/>
    <mergeCell ref="A8:D8"/>
    <mergeCell ref="C12:D12"/>
    <mergeCell ref="A35:D35"/>
    <mergeCell ref="A36:D36"/>
    <mergeCell ref="A34:D34"/>
    <mergeCell ref="A11:D11"/>
  </mergeCells>
  <phoneticPr fontId="5" type="noConversion"/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9</vt:i4>
      </vt:variant>
    </vt:vector>
  </HeadingPairs>
  <TitlesOfParts>
    <vt:vector size="24" baseType="lpstr">
      <vt:lpstr>1 . melléklet</vt:lpstr>
      <vt:lpstr>2 melléklet</vt:lpstr>
      <vt:lpstr>3 melléklet</vt:lpstr>
      <vt:lpstr>4 melléklet</vt:lpstr>
      <vt:lpstr>5 melléklet</vt:lpstr>
      <vt:lpstr>6 melléklet</vt:lpstr>
      <vt:lpstr>7 melléklet</vt:lpstr>
      <vt:lpstr>8 melléklet</vt:lpstr>
      <vt:lpstr>9 melléklet</vt:lpstr>
      <vt:lpstr>10 melléklet</vt:lpstr>
      <vt:lpstr>11_ melléklet</vt:lpstr>
      <vt:lpstr>12_melléklet</vt:lpstr>
      <vt:lpstr>13_ melléklet</vt:lpstr>
      <vt:lpstr>14 melléklet</vt:lpstr>
      <vt:lpstr>15 melléklet</vt:lpstr>
      <vt:lpstr>'1 . melléklet'!Nyomtatási_terület</vt:lpstr>
      <vt:lpstr>'10 melléklet'!Nyomtatási_terület</vt:lpstr>
      <vt:lpstr>'11_ melléklet'!Nyomtatási_terület</vt:lpstr>
      <vt:lpstr>'15 melléklet'!Nyomtatási_terület</vt:lpstr>
      <vt:lpstr>'2 melléklet'!Nyomtatási_terület</vt:lpstr>
      <vt:lpstr>'3 melléklet'!Nyomtatási_terület</vt:lpstr>
      <vt:lpstr>'4 melléklet'!Nyomtatási_terület</vt:lpstr>
      <vt:lpstr>'7 melléklet'!Nyomtatási_terület</vt:lpstr>
      <vt:lpstr>'9 melléklet'!Nyomtatási_terület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Éva</cp:lastModifiedBy>
  <cp:lastPrinted>2018-03-19T07:32:53Z</cp:lastPrinted>
  <dcterms:created xsi:type="dcterms:W3CDTF">2006-06-22T11:52:42Z</dcterms:created>
  <dcterms:modified xsi:type="dcterms:W3CDTF">2018-04-04T13:51:38Z</dcterms:modified>
</cp:coreProperties>
</file>