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ok 2018\rendeletek 2018.03.14\"/>
    </mc:Choice>
  </mc:AlternateContent>
  <bookViews>
    <workbookView xWindow="0" yWindow="0" windowWidth="15345" windowHeight="4035" tabRatio="685" firstSheet="4"/>
  </bookViews>
  <sheets>
    <sheet name="1 kiem" sheetId="2" r:id="rId1"/>
    <sheet name="2 Össz" sheetId="3" r:id="rId2"/>
    <sheet name="3 Adók és tám" sheetId="4" r:id="rId3"/>
    <sheet name="4 Átvett és Felh bev" sheetId="5" r:id="rId4"/>
    <sheet name="5 Beruh kiad" sheetId="6" r:id="rId5"/>
    <sheet name="6 Tart" sheetId="7" r:id="rId6"/>
    <sheet name="7 Önk" sheetId="8" r:id="rId7"/>
    <sheet name="8 PH" sheetId="9" r:id="rId8"/>
    <sheet name="9 VGIG" sheetId="10" r:id="rId9"/>
    <sheet name="10 Járób" sheetId="11" r:id="rId10"/>
    <sheet name="11 Szoci" sheetId="12" r:id="rId11"/>
    <sheet name="12 Ovi" sheetId="13" r:id="rId12"/>
    <sheet name="13 Művház" sheetId="14" r:id="rId13"/>
    <sheet name="14 Könyvt" sheetId="15" r:id="rId14"/>
    <sheet name="15 létszám" sheetId="16" r:id="rId15"/>
    <sheet name="16 szociális kiad" sheetId="17" r:id="rId16"/>
    <sheet name="17 hitelek" sheetId="18" r:id="rId17"/>
  </sheets>
  <definedNames>
    <definedName name="_4._sz._sor_részletezése">#REF!</definedName>
    <definedName name="Excel_BuiltIn_Print_Area" localSheetId="0">'1 kiem'!$A$1:$D$31</definedName>
    <definedName name="Excel_BuiltIn_Print_Area" localSheetId="9">'10 Járób'!$A$1:$I$131</definedName>
    <definedName name="Excel_BuiltIn_Print_Area" localSheetId="10">'11 Szoci'!$A$1:$I$131</definedName>
    <definedName name="Excel_BuiltIn_Print_Area" localSheetId="11">'12 Ovi'!$A$1:$I$131</definedName>
    <definedName name="Excel_BuiltIn_Print_Area" localSheetId="12">'13 Művház'!$A$1:$I$131</definedName>
    <definedName name="Excel_BuiltIn_Print_Area" localSheetId="13">'14 Könyvt'!$A$1:$I$131</definedName>
    <definedName name="Excel_BuiltIn_Print_Area" localSheetId="14">'15 létszám'!$A$1:$T$36</definedName>
    <definedName name="Excel_BuiltIn_Print_Area" localSheetId="15">'16 szociális kiad'!$A$1:$E$23</definedName>
    <definedName name="Excel_BuiltIn_Print_Area" localSheetId="16">'17 hitelek'!$A$1:$G$84</definedName>
    <definedName name="Excel_BuiltIn_Print_Area" localSheetId="1">'2 Össz'!$A$1:$E$155</definedName>
    <definedName name="Excel_BuiltIn_Print_Area" localSheetId="2">'3 Adók és tám'!$A$1:$E$89</definedName>
    <definedName name="Excel_BuiltIn_Print_Area" localSheetId="3">'4 Átvett és Felh bev'!$A$1:$G$94</definedName>
    <definedName name="Excel_BuiltIn_Print_Area" localSheetId="4">'5 Beruh kiad'!$A$1:$G$84</definedName>
    <definedName name="Excel_BuiltIn_Print_Area" localSheetId="5">'6 Tart'!$A$1:$I$26</definedName>
    <definedName name="Excel_BuiltIn_Print_Area" localSheetId="6">'7 Önk'!$B$1:$AZ$131</definedName>
    <definedName name="Excel_BuiltIn_Print_Area" localSheetId="7">'8 PH'!$A$1:$I$131</definedName>
    <definedName name="Excel_BuiltIn_Print_Area" localSheetId="8">'9 VGIG'!$A$1:$I$131</definedName>
    <definedName name="Excel_BuiltIn_Print_Titles" localSheetId="9">'10 Járób'!$A$1:$IR$5</definedName>
    <definedName name="Excel_BuiltIn_Print_Titles" localSheetId="10">'11 Szoci'!$A$1:$IR$5</definedName>
    <definedName name="Excel_BuiltIn_Print_Titles" localSheetId="11">'12 Ovi'!$A$1:$IR$5</definedName>
    <definedName name="Excel_BuiltIn_Print_Titles" localSheetId="12">'13 Művház'!$A$1:$IR$5</definedName>
    <definedName name="Excel_BuiltIn_Print_Titles" localSheetId="13">'14 Könyvt'!$A$1:$IR$5</definedName>
    <definedName name="Excel_BuiltIn_Print_Titles" localSheetId="1">'2 Össz'!$A$1:$IO$5</definedName>
    <definedName name="Excel_BuiltIn_Print_Titles" localSheetId="2">'3 Adók és tám'!$A$1:$IT$6</definedName>
    <definedName name="Excel_BuiltIn_Print_Titles" localSheetId="3">'4 Átvett és Felh bev'!$A$1:$IS$9</definedName>
    <definedName name="Excel_BuiltIn_Print_Titles" localSheetId="4">'5 Beruh kiad'!$A$1:$IS$8</definedName>
    <definedName name="Excel_BuiltIn_Print_Titles" localSheetId="6">('7 Önk'!$B:$C,'7 Önk'!$A$1:$HV$5)</definedName>
    <definedName name="Excel_BuiltIn_Print_Titles" localSheetId="7">'8 PH'!$A$1:$IR$5</definedName>
    <definedName name="Excel_BuiltIn_Print_Titles" localSheetId="8">'9 VGIG'!$A$1:$IR$5</definedName>
    <definedName name="_xlnm.Print_Titles" localSheetId="9">'10 Járób'!$1:$5</definedName>
    <definedName name="_xlnm.Print_Titles" localSheetId="10">'11 Szoci'!$1:$5</definedName>
    <definedName name="_xlnm.Print_Titles" localSheetId="11">'12 Ovi'!$1:$5</definedName>
    <definedName name="_xlnm.Print_Titles" localSheetId="12">'13 Művház'!$1:$5</definedName>
    <definedName name="_xlnm.Print_Titles" localSheetId="13">'14 Könyvt'!$1:$5</definedName>
    <definedName name="_xlnm.Print_Titles" localSheetId="1">'2 Össz'!$1:$5</definedName>
    <definedName name="_xlnm.Print_Titles" localSheetId="2">'3 Adók és tám'!$1:$6</definedName>
    <definedName name="_xlnm.Print_Titles" localSheetId="3">'4 Átvett és Felh bev'!$1:$9</definedName>
    <definedName name="_xlnm.Print_Titles" localSheetId="4">'5 Beruh kiad'!$1:$8</definedName>
    <definedName name="_xlnm.Print_Titles" localSheetId="6">('7 Önk'!$B:$C,'7 Önk'!$1:$5)</definedName>
    <definedName name="_xlnm.Print_Titles" localSheetId="7">'8 PH'!$1:$5</definedName>
    <definedName name="_xlnm.Print_Titles" localSheetId="8">'9 VGIG'!$1:$5</definedName>
    <definedName name="_xlnm.Print_Area" localSheetId="0">'1 kiem'!$A$1:$G$31</definedName>
    <definedName name="_xlnm.Print_Area" localSheetId="9">'10 Járób'!$B$1:$I$131</definedName>
    <definedName name="_xlnm.Print_Area" localSheetId="10">'11 Szoci'!$B$1:$I$131</definedName>
    <definedName name="_xlnm.Print_Area" localSheetId="11">'12 Ovi'!$B$1:$I$131</definedName>
    <definedName name="_xlnm.Print_Area" localSheetId="12">'13 Művház'!$B$1:$I$131</definedName>
    <definedName name="_xlnm.Print_Area" localSheetId="13">'14 Könyvt'!$B$1:$I$131</definedName>
    <definedName name="_xlnm.Print_Area" localSheetId="14">'15 létszám'!$A$1:$T$34</definedName>
    <definedName name="_xlnm.Print_Area" localSheetId="15">'16 szociális kiad'!$B$1:$E$23</definedName>
    <definedName name="_xlnm.Print_Area" localSheetId="16">'17 hitelek'!$B$1:$G$84</definedName>
    <definedName name="_xlnm.Print_Area" localSheetId="1">'2 Össz'!$A$1:$H$154</definedName>
    <definedName name="_xlnm.Print_Area" localSheetId="2">'3 Adók és tám'!$B$1:$E$89</definedName>
    <definedName name="_xlnm.Print_Area" localSheetId="3">'4 Átvett és Felh bev'!$B$1:$G$94</definedName>
    <definedName name="_xlnm.Print_Area" localSheetId="4">'5 Beruh kiad'!$B$1:$G$84</definedName>
    <definedName name="_xlnm.Print_Area" localSheetId="5">'6 Tart'!$B$1:$I$26</definedName>
    <definedName name="_xlnm.Print_Area" localSheetId="6">'7 Önk'!$B$1:$BA$131</definedName>
    <definedName name="_xlnm.Print_Area" localSheetId="7">'8 PH'!$B$1:$I$131</definedName>
    <definedName name="_xlnm.Print_Area" localSheetId="8">'9 VGIG'!$B$1:$I$131</definedName>
  </definedNames>
  <calcPr calcId="162913"/>
</workbook>
</file>

<file path=xl/calcChain.xml><?xml version="1.0" encoding="utf-8"?>
<calcChain xmlns="http://schemas.openxmlformats.org/spreadsheetml/2006/main">
  <c r="K113" i="8" l="1"/>
  <c r="F45" i="6"/>
  <c r="E76" i="4"/>
  <c r="E73" i="4"/>
  <c r="E56" i="4"/>
  <c r="K23" i="8"/>
  <c r="G88" i="12"/>
  <c r="G15" i="12"/>
  <c r="G13" i="12"/>
  <c r="G11" i="12"/>
  <c r="G10" i="12"/>
  <c r="G7" i="12"/>
  <c r="G15" i="10"/>
  <c r="G7" i="10"/>
  <c r="K15" i="8"/>
  <c r="K14" i="8"/>
  <c r="K13" i="8"/>
  <c r="K10" i="8"/>
  <c r="K8" i="8"/>
  <c r="H10" i="11"/>
  <c r="H73" i="11"/>
  <c r="H37" i="11"/>
  <c r="H13" i="11"/>
  <c r="H15" i="11"/>
  <c r="H14" i="11"/>
  <c r="H12" i="11"/>
  <c r="H11" i="11"/>
  <c r="H8" i="11"/>
  <c r="H7" i="11"/>
  <c r="E84" i="4" l="1"/>
  <c r="E81" i="4"/>
  <c r="E82" i="4"/>
  <c r="E85" i="4"/>
  <c r="AQ15" i="8"/>
  <c r="G85" i="4"/>
  <c r="AQ13" i="8"/>
  <c r="AQ14" i="8" l="1"/>
  <c r="G19" i="7" l="1"/>
  <c r="E66" i="4" l="1"/>
  <c r="AY29" i="8"/>
  <c r="E68" i="4"/>
  <c r="G40" i="13"/>
  <c r="G40" i="12"/>
  <c r="O15" i="8" l="1"/>
  <c r="K29" i="8"/>
  <c r="Y44" i="8"/>
  <c r="G12" i="7" l="1"/>
  <c r="F68" i="6" l="1"/>
  <c r="F46" i="6"/>
  <c r="U15" i="8"/>
  <c r="AU13" i="8"/>
  <c r="U13" i="8"/>
  <c r="J17" i="3" l="1"/>
  <c r="J18" i="3"/>
  <c r="J20" i="3"/>
  <c r="J21" i="3"/>
  <c r="J22" i="3"/>
  <c r="J28" i="3"/>
  <c r="J47" i="3"/>
  <c r="J48" i="3"/>
  <c r="J49" i="3"/>
  <c r="J50" i="3"/>
  <c r="J51" i="3"/>
  <c r="J52" i="3"/>
  <c r="J53" i="3"/>
  <c r="J54" i="3"/>
  <c r="J55" i="3"/>
  <c r="J56" i="3"/>
  <c r="J59" i="3"/>
  <c r="J60" i="3"/>
  <c r="J61" i="3"/>
  <c r="J62" i="3"/>
  <c r="J63" i="3"/>
  <c r="J64" i="3"/>
  <c r="J65" i="3"/>
  <c r="J66" i="3"/>
  <c r="J67" i="3"/>
  <c r="J68" i="3"/>
  <c r="J69" i="3"/>
  <c r="J70" i="3"/>
  <c r="J72" i="3"/>
  <c r="J73" i="3"/>
  <c r="J74" i="3"/>
  <c r="J85" i="3"/>
  <c r="J87" i="3"/>
  <c r="J88" i="3"/>
  <c r="J89" i="3"/>
  <c r="J90" i="3"/>
  <c r="J94" i="3"/>
  <c r="J95" i="3"/>
  <c r="J96" i="3"/>
  <c r="J97" i="3"/>
  <c r="J98" i="3"/>
  <c r="J99" i="3"/>
  <c r="J100" i="3"/>
  <c r="J104" i="3"/>
  <c r="J107" i="3"/>
  <c r="J108" i="3"/>
  <c r="J110" i="3"/>
  <c r="J120" i="3"/>
  <c r="J121" i="3"/>
  <c r="J122" i="3"/>
  <c r="J123" i="3"/>
  <c r="J129" i="3"/>
  <c r="J130" i="3"/>
  <c r="J131" i="3"/>
  <c r="J132" i="3"/>
  <c r="J133" i="3"/>
  <c r="J134" i="3"/>
  <c r="J135" i="3"/>
  <c r="J136" i="3"/>
  <c r="J137" i="3"/>
  <c r="J140" i="3"/>
  <c r="J141" i="3"/>
  <c r="J143" i="3"/>
  <c r="J144" i="3"/>
  <c r="J145" i="3"/>
  <c r="J146" i="3"/>
  <c r="J147" i="3"/>
  <c r="J148" i="3"/>
  <c r="J150" i="3"/>
  <c r="J151" i="3"/>
  <c r="J152" i="3"/>
  <c r="I150" i="3"/>
  <c r="I151" i="3"/>
  <c r="I152" i="3"/>
  <c r="I142" i="3"/>
  <c r="I132" i="3"/>
  <c r="I125" i="3"/>
  <c r="I118" i="3"/>
  <c r="I112" i="3"/>
  <c r="I100" i="3"/>
  <c r="I86" i="3"/>
  <c r="I92" i="3" s="1"/>
  <c r="I71" i="3"/>
  <c r="J71" i="3" s="1"/>
  <c r="I72" i="3"/>
  <c r="I75" i="3" s="1"/>
  <c r="J75" i="3" s="1"/>
  <c r="I73" i="3"/>
  <c r="I62" i="3"/>
  <c r="I56" i="3"/>
  <c r="I46" i="3"/>
  <c r="I41" i="3"/>
  <c r="I32" i="3"/>
  <c r="I16" i="3"/>
  <c r="I9" i="3"/>
  <c r="G121" i="15"/>
  <c r="G121" i="14"/>
  <c r="G121" i="13"/>
  <c r="G121" i="12"/>
  <c r="H121" i="11"/>
  <c r="H74" i="11"/>
  <c r="H9" i="11"/>
  <c r="G113" i="10"/>
  <c r="G117" i="10" s="1"/>
  <c r="M86" i="8"/>
  <c r="BA29" i="8"/>
  <c r="AQ9" i="8"/>
  <c r="AK29" i="8"/>
  <c r="AI15" i="8"/>
  <c r="AG15" i="8"/>
  <c r="AE15" i="8"/>
  <c r="AE13" i="8"/>
  <c r="AC13" i="8"/>
  <c r="AA15" i="8"/>
  <c r="Y13" i="8"/>
  <c r="M15" i="8"/>
  <c r="M13" i="8"/>
  <c r="K16" i="8"/>
  <c r="K9" i="8"/>
  <c r="E88" i="4"/>
  <c r="E86" i="4"/>
  <c r="G86" i="4" s="1"/>
  <c r="G87" i="4" s="1"/>
  <c r="G88" i="4" s="1"/>
  <c r="E78" i="4"/>
  <c r="E67" i="4"/>
  <c r="E74" i="4"/>
  <c r="E54" i="4"/>
  <c r="E53" i="4"/>
  <c r="E52" i="4"/>
  <c r="E58" i="4" s="1"/>
  <c r="E41" i="4"/>
  <c r="E51" i="4" s="1"/>
  <c r="E36" i="4"/>
  <c r="E22" i="4"/>
  <c r="E25" i="4" s="1"/>
  <c r="E17" i="4"/>
  <c r="E14" i="4"/>
  <c r="E13" i="4"/>
  <c r="G78" i="5"/>
  <c r="F78" i="5"/>
  <c r="G75" i="5"/>
  <c r="F75" i="5"/>
  <c r="G73" i="5"/>
  <c r="F73" i="5"/>
  <c r="G70" i="5"/>
  <c r="F70" i="5"/>
  <c r="G67" i="5"/>
  <c r="F67" i="5"/>
  <c r="G64" i="5"/>
  <c r="F64" i="5"/>
  <c r="G59" i="5"/>
  <c r="F59" i="5"/>
  <c r="G45" i="5"/>
  <c r="F45" i="5"/>
  <c r="G37" i="5"/>
  <c r="F37" i="5"/>
  <c r="G34" i="5"/>
  <c r="F34" i="5"/>
  <c r="G31" i="5"/>
  <c r="F31" i="5"/>
  <c r="G27" i="5"/>
  <c r="G28" i="5" s="1"/>
  <c r="F27" i="5"/>
  <c r="G23" i="5"/>
  <c r="F23" i="5"/>
  <c r="G82" i="6"/>
  <c r="G65" i="6"/>
  <c r="F65" i="6"/>
  <c r="G62" i="6"/>
  <c r="F62" i="6"/>
  <c r="G60" i="6"/>
  <c r="F54" i="6"/>
  <c r="F71" i="6" s="1"/>
  <c r="F48" i="6"/>
  <c r="F70" i="6" s="1"/>
  <c r="F47" i="6"/>
  <c r="F69" i="6" s="1"/>
  <c r="G30" i="6"/>
  <c r="F30" i="6"/>
  <c r="G28" i="6"/>
  <c r="F28" i="6"/>
  <c r="F26" i="6"/>
  <c r="G24" i="6"/>
  <c r="G39" i="6" s="1"/>
  <c r="G23" i="6"/>
  <c r="G40" i="6" s="1"/>
  <c r="F18" i="6"/>
  <c r="F35" i="6" s="1"/>
  <c r="F17" i="6"/>
  <c r="F19" i="6" s="1"/>
  <c r="G16" i="6"/>
  <c r="G19" i="6" s="1"/>
  <c r="G14" i="6"/>
  <c r="F14" i="6"/>
  <c r="G11" i="6"/>
  <c r="F10" i="6"/>
  <c r="F33" i="6" s="1"/>
  <c r="G9" i="6"/>
  <c r="G32" i="6" s="1"/>
  <c r="G14" i="7"/>
  <c r="G122" i="9"/>
  <c r="G84" i="9"/>
  <c r="G82" i="9"/>
  <c r="G74" i="9"/>
  <c r="G32" i="9"/>
  <c r="G11" i="9"/>
  <c r="G16" i="9" s="1"/>
  <c r="G9" i="9"/>
  <c r="H122" i="10"/>
  <c r="G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G32" i="10"/>
  <c r="H16" i="10"/>
  <c r="G16" i="10"/>
  <c r="H9" i="10"/>
  <c r="G9" i="10"/>
  <c r="G33" i="10" s="1"/>
  <c r="H82" i="11"/>
  <c r="G82" i="11"/>
  <c r="G74" i="11"/>
  <c r="H32" i="11"/>
  <c r="G32" i="11"/>
  <c r="G16" i="11"/>
  <c r="G9" i="11"/>
  <c r="H82" i="12"/>
  <c r="G82" i="12"/>
  <c r="H74" i="12"/>
  <c r="G74" i="12"/>
  <c r="H33" i="12"/>
  <c r="H32" i="12"/>
  <c r="G32" i="12"/>
  <c r="H16" i="12"/>
  <c r="G16" i="12"/>
  <c r="H9" i="12"/>
  <c r="G9" i="12"/>
  <c r="G82" i="13"/>
  <c r="G74" i="13"/>
  <c r="G41" i="13"/>
  <c r="G32" i="13"/>
  <c r="G16" i="13"/>
  <c r="G9" i="13"/>
  <c r="G84" i="14"/>
  <c r="G82" i="14"/>
  <c r="G74" i="14"/>
  <c r="G41" i="14"/>
  <c r="G32" i="14"/>
  <c r="G16" i="14"/>
  <c r="G15" i="14"/>
  <c r="G9" i="14"/>
  <c r="G8" i="14"/>
  <c r="G84" i="15"/>
  <c r="G82" i="15"/>
  <c r="G74" i="15"/>
  <c r="G41" i="15"/>
  <c r="G32" i="15"/>
  <c r="G16" i="15"/>
  <c r="G12" i="15"/>
  <c r="G9" i="15"/>
  <c r="T18" i="16"/>
  <c r="T16" i="16"/>
  <c r="E23" i="17"/>
  <c r="F62" i="18"/>
  <c r="F61" i="18"/>
  <c r="F60" i="18"/>
  <c r="F19" i="18"/>
  <c r="F20" i="18" s="1"/>
  <c r="G78" i="4" l="1"/>
  <c r="F83" i="3"/>
  <c r="G74" i="4"/>
  <c r="F82" i="3"/>
  <c r="G58" i="4"/>
  <c r="F81" i="3"/>
  <c r="H81" i="3" s="1"/>
  <c r="J81" i="3" s="1"/>
  <c r="G51" i="4"/>
  <c r="F80" i="3"/>
  <c r="H33" i="10"/>
  <c r="G83" i="6"/>
  <c r="I57" i="3"/>
  <c r="G33" i="11"/>
  <c r="F60" i="5"/>
  <c r="F61" i="5" s="1"/>
  <c r="G60" i="5"/>
  <c r="G61" i="5" s="1"/>
  <c r="F28" i="5"/>
  <c r="I126" i="3"/>
  <c r="I149" i="3"/>
  <c r="I33" i="3"/>
  <c r="I58" i="3"/>
  <c r="G33" i="15"/>
  <c r="G33" i="14"/>
  <c r="G33" i="13"/>
  <c r="G33" i="12"/>
  <c r="H16" i="11"/>
  <c r="H33" i="11" s="1"/>
  <c r="E89" i="4"/>
  <c r="G42" i="6"/>
  <c r="F42" i="6"/>
  <c r="F43" i="6" s="1"/>
  <c r="F82" i="6"/>
  <c r="F34" i="6"/>
  <c r="G26" i="6"/>
  <c r="G41" i="6"/>
  <c r="F60" i="6"/>
  <c r="F11" i="6"/>
  <c r="G33" i="9"/>
  <c r="F7" i="11"/>
  <c r="I7" i="11"/>
  <c r="F8" i="11"/>
  <c r="I8" i="11"/>
  <c r="D9" i="11"/>
  <c r="E9" i="11"/>
  <c r="F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2" i="11"/>
  <c r="D33" i="11"/>
  <c r="E33" i="11"/>
  <c r="E109" i="11" s="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F46" i="11"/>
  <c r="G46" i="11"/>
  <c r="H46" i="11"/>
  <c r="I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E57" i="11" s="1"/>
  <c r="F56" i="11"/>
  <c r="G56" i="11"/>
  <c r="H56" i="11"/>
  <c r="I56" i="11"/>
  <c r="D57" i="11"/>
  <c r="G57" i="11"/>
  <c r="F59" i="11"/>
  <c r="I59" i="11"/>
  <c r="F60" i="11"/>
  <c r="I60" i="11"/>
  <c r="F61" i="11"/>
  <c r="F63" i="11" s="1"/>
  <c r="I61" i="11"/>
  <c r="I63" i="11" s="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I74" i="11" s="1"/>
  <c r="D74" i="11"/>
  <c r="E74" i="11"/>
  <c r="F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F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F100" i="11"/>
  <c r="G100" i="11"/>
  <c r="H100" i="11"/>
  <c r="F101" i="11"/>
  <c r="I101" i="11"/>
  <c r="F102" i="11"/>
  <c r="I102" i="11"/>
  <c r="F105" i="11"/>
  <c r="F107" i="11" s="1"/>
  <c r="F108" i="11" s="1"/>
  <c r="I105" i="11"/>
  <c r="I107" i="11" s="1"/>
  <c r="F106" i="11"/>
  <c r="I106" i="11"/>
  <c r="D107" i="11"/>
  <c r="D108" i="11" s="1"/>
  <c r="E107" i="11"/>
  <c r="E110" i="11" s="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F117" i="11"/>
  <c r="G117" i="11"/>
  <c r="G126" i="11" s="1"/>
  <c r="G130" i="11" s="1"/>
  <c r="H117" i="11"/>
  <c r="H126" i="11" s="1"/>
  <c r="H130" i="11" s="1"/>
  <c r="H134" i="11" s="1"/>
  <c r="F118" i="11"/>
  <c r="I118" i="11"/>
  <c r="F119" i="11"/>
  <c r="I119" i="11"/>
  <c r="F120" i="11"/>
  <c r="I120" i="11"/>
  <c r="F121" i="11"/>
  <c r="I121" i="11"/>
  <c r="D122" i="11"/>
  <c r="E122" i="11"/>
  <c r="E126" i="11" s="1"/>
  <c r="E130" i="11" s="1"/>
  <c r="G122" i="11"/>
  <c r="I122" i="11" s="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F9" i="12" s="1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6" i="12"/>
  <c r="F33" i="12" s="1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D33" i="12" s="1"/>
  <c r="E32" i="12"/>
  <c r="F32" i="12"/>
  <c r="E33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F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D57" i="12" s="1"/>
  <c r="D110" i="12" s="1"/>
  <c r="E56" i="12"/>
  <c r="F56" i="12"/>
  <c r="G56" i="12"/>
  <c r="G57" i="12" s="1"/>
  <c r="H56" i="12"/>
  <c r="E57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I74" i="12" s="1"/>
  <c r="D74" i="12"/>
  <c r="E74" i="12"/>
  <c r="F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E94" i="12"/>
  <c r="E109" i="12" s="1"/>
  <c r="F94" i="12"/>
  <c r="G94" i="12"/>
  <c r="H94" i="12"/>
  <c r="H109" i="12" s="1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0" i="12"/>
  <c r="G100" i="12"/>
  <c r="H100" i="12"/>
  <c r="F101" i="12"/>
  <c r="I101" i="12"/>
  <c r="F102" i="12"/>
  <c r="I102" i="12"/>
  <c r="F105" i="12"/>
  <c r="I105" i="12"/>
  <c r="F106" i="12"/>
  <c r="I106" i="12"/>
  <c r="I107" i="12" s="1"/>
  <c r="D107" i="12"/>
  <c r="E107" i="12"/>
  <c r="F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F122" i="12"/>
  <c r="H122" i="12"/>
  <c r="I122" i="12" s="1"/>
  <c r="F123" i="12"/>
  <c r="I123" i="12"/>
  <c r="F124" i="12"/>
  <c r="I124" i="12"/>
  <c r="F125" i="12"/>
  <c r="I125" i="12"/>
  <c r="E126" i="12"/>
  <c r="E130" i="12" s="1"/>
  <c r="E134" i="12" s="1"/>
  <c r="F127" i="12"/>
  <c r="I127" i="12"/>
  <c r="F128" i="12"/>
  <c r="I128" i="12"/>
  <c r="F129" i="12"/>
  <c r="I129" i="12"/>
  <c r="F7" i="13"/>
  <c r="I7" i="13"/>
  <c r="F8" i="13"/>
  <c r="I8" i="13"/>
  <c r="D9" i="13"/>
  <c r="E9" i="13"/>
  <c r="F9" i="13"/>
  <c r="H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6" i="13"/>
  <c r="H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E33" i="13" s="1"/>
  <c r="F32" i="13"/>
  <c r="F33" i="13" s="1"/>
  <c r="H32" i="13"/>
  <c r="I32" i="13"/>
  <c r="D33" i="13"/>
  <c r="H33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1" i="13"/>
  <c r="H41" i="13"/>
  <c r="F42" i="13"/>
  <c r="F46" i="13" s="1"/>
  <c r="I42" i="13"/>
  <c r="I46" i="13" s="1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F56" i="13" s="1"/>
  <c r="I48" i="13"/>
  <c r="I56" i="13" s="1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D57" i="13" s="1"/>
  <c r="E56" i="13"/>
  <c r="G56" i="13"/>
  <c r="H56" i="13"/>
  <c r="H57" i="13"/>
  <c r="D58" i="13"/>
  <c r="H58" i="13"/>
  <c r="F59" i="13"/>
  <c r="I59" i="13"/>
  <c r="F60" i="13"/>
  <c r="I60" i="13"/>
  <c r="F61" i="13"/>
  <c r="F63" i="13" s="1"/>
  <c r="I61" i="13"/>
  <c r="F62" i="13"/>
  <c r="I62" i="13"/>
  <c r="D63" i="13"/>
  <c r="E63" i="13"/>
  <c r="G63" i="13"/>
  <c r="H63" i="13"/>
  <c r="H64" i="13" s="1"/>
  <c r="F68" i="13"/>
  <c r="I68" i="13"/>
  <c r="F69" i="13"/>
  <c r="I69" i="13"/>
  <c r="F70" i="13"/>
  <c r="I70" i="13"/>
  <c r="F71" i="13"/>
  <c r="I71" i="13"/>
  <c r="F72" i="13"/>
  <c r="F74" i="13" s="1"/>
  <c r="I72" i="13"/>
  <c r="F73" i="13"/>
  <c r="I73" i="13"/>
  <c r="I74" i="13" s="1"/>
  <c r="D74" i="13"/>
  <c r="D109" i="13" s="1"/>
  <c r="E74" i="13"/>
  <c r="H74" i="13"/>
  <c r="H109" i="13" s="1"/>
  <c r="F75" i="13"/>
  <c r="I75" i="13"/>
  <c r="F76" i="13"/>
  <c r="F82" i="13" s="1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H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4" i="13"/>
  <c r="G94" i="13"/>
  <c r="H94" i="13"/>
  <c r="F95" i="13"/>
  <c r="I95" i="13"/>
  <c r="F96" i="13"/>
  <c r="I96" i="13"/>
  <c r="F97" i="13"/>
  <c r="I97" i="13"/>
  <c r="F98" i="13"/>
  <c r="I98" i="13"/>
  <c r="F99" i="13"/>
  <c r="I99" i="13"/>
  <c r="D100" i="13"/>
  <c r="D110" i="13" s="1"/>
  <c r="E100" i="13"/>
  <c r="F100" i="13"/>
  <c r="G100" i="13"/>
  <c r="H100" i="13"/>
  <c r="H108" i="13" s="1"/>
  <c r="H133" i="13" s="1"/>
  <c r="F101" i="13"/>
  <c r="I101" i="13"/>
  <c r="F102" i="13"/>
  <c r="I102" i="13"/>
  <c r="F105" i="13"/>
  <c r="I105" i="13"/>
  <c r="F106" i="13"/>
  <c r="I106" i="13"/>
  <c r="D107" i="13"/>
  <c r="E107" i="13"/>
  <c r="F107" i="13"/>
  <c r="G107" i="13"/>
  <c r="H107" i="13"/>
  <c r="I107" i="13"/>
  <c r="E109" i="13"/>
  <c r="F109" i="13" s="1"/>
  <c r="H110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E122" i="13"/>
  <c r="H122" i="13"/>
  <c r="I122" i="13"/>
  <c r="F123" i="13"/>
  <c r="I123" i="13"/>
  <c r="F124" i="13"/>
  <c r="I124" i="13"/>
  <c r="F125" i="13"/>
  <c r="I125" i="13"/>
  <c r="E126" i="13"/>
  <c r="H126" i="13"/>
  <c r="F127" i="13"/>
  <c r="I127" i="13"/>
  <c r="F128" i="13"/>
  <c r="I128" i="13"/>
  <c r="F129" i="13"/>
  <c r="I129" i="13"/>
  <c r="E130" i="13"/>
  <c r="E134" i="13" s="1"/>
  <c r="H130" i="13"/>
  <c r="D7" i="14"/>
  <c r="F7" i="14" s="1"/>
  <c r="I7" i="14"/>
  <c r="I9" i="14" s="1"/>
  <c r="D8" i="14"/>
  <c r="I8" i="14"/>
  <c r="E9" i="14"/>
  <c r="H9" i="14"/>
  <c r="F10" i="14"/>
  <c r="I10" i="14"/>
  <c r="D11" i="14"/>
  <c r="F11" i="14"/>
  <c r="I11" i="14"/>
  <c r="D12" i="14"/>
  <c r="I12" i="14"/>
  <c r="D13" i="14"/>
  <c r="F13" i="14" s="1"/>
  <c r="I13" i="14"/>
  <c r="F14" i="14"/>
  <c r="I14" i="14"/>
  <c r="D15" i="14"/>
  <c r="F15" i="14" s="1"/>
  <c r="I15" i="14"/>
  <c r="E16" i="14"/>
  <c r="H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2" i="14"/>
  <c r="H32" i="14"/>
  <c r="H33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F41" i="14"/>
  <c r="H41" i="14"/>
  <c r="F42" i="14"/>
  <c r="F46" i="14" s="1"/>
  <c r="I42" i="14"/>
  <c r="F43" i="14"/>
  <c r="I43" i="14"/>
  <c r="F44" i="14"/>
  <c r="I44" i="14"/>
  <c r="F45" i="14"/>
  <c r="I45" i="14"/>
  <c r="D46" i="14"/>
  <c r="E46" i="14"/>
  <c r="G46" i="14"/>
  <c r="G57" i="14" s="1"/>
  <c r="H46" i="14"/>
  <c r="F47" i="14"/>
  <c r="I47" i="14"/>
  <c r="F48" i="14"/>
  <c r="F56" i="14" s="1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D57" i="14" s="1"/>
  <c r="E56" i="14"/>
  <c r="G56" i="14"/>
  <c r="H56" i="14"/>
  <c r="H58" i="14" s="1"/>
  <c r="H64" i="14" s="1"/>
  <c r="I56" i="14"/>
  <c r="H57" i="14"/>
  <c r="F59" i="14"/>
  <c r="I59" i="14"/>
  <c r="F60" i="14"/>
  <c r="I60" i="14"/>
  <c r="F61" i="14"/>
  <c r="F63" i="14" s="1"/>
  <c r="I61" i="14"/>
  <c r="I63" i="14" s="1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F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F82" i="14"/>
  <c r="H82" i="14"/>
  <c r="F83" i="14"/>
  <c r="I83" i="14"/>
  <c r="D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H108" i="14" s="1"/>
  <c r="I100" i="14"/>
  <c r="F101" i="14"/>
  <c r="I101" i="14"/>
  <c r="F102" i="14"/>
  <c r="I102" i="14"/>
  <c r="F105" i="14"/>
  <c r="I105" i="14"/>
  <c r="F106" i="14"/>
  <c r="I106" i="14"/>
  <c r="D107" i="14"/>
  <c r="E107" i="14"/>
  <c r="F107" i="14"/>
  <c r="G107" i="14"/>
  <c r="H107" i="14"/>
  <c r="H109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E126" i="14" s="1"/>
  <c r="E130" i="14" s="1"/>
  <c r="F117" i="14"/>
  <c r="G117" i="14"/>
  <c r="H117" i="14"/>
  <c r="I117" i="14"/>
  <c r="F118" i="14"/>
  <c r="I118" i="14"/>
  <c r="F119" i="14"/>
  <c r="I119" i="14"/>
  <c r="F120" i="14"/>
  <c r="I120" i="14"/>
  <c r="D121" i="14"/>
  <c r="F121" i="14" s="1"/>
  <c r="I121" i="14"/>
  <c r="D122" i="14"/>
  <c r="F122" i="14" s="1"/>
  <c r="E122" i="14"/>
  <c r="H122" i="14"/>
  <c r="I122" i="14"/>
  <c r="F123" i="14"/>
  <c r="I123" i="14"/>
  <c r="F124" i="14"/>
  <c r="I124" i="14"/>
  <c r="F125" i="14"/>
  <c r="I125" i="14"/>
  <c r="G126" i="14"/>
  <c r="I126" i="14"/>
  <c r="I130" i="14" s="1"/>
  <c r="F127" i="14"/>
  <c r="I127" i="14"/>
  <c r="F128" i="14"/>
  <c r="I128" i="14"/>
  <c r="F129" i="14"/>
  <c r="I129" i="14"/>
  <c r="G130" i="14"/>
  <c r="G134" i="14" s="1"/>
  <c r="F7" i="15"/>
  <c r="I7" i="15"/>
  <c r="F8" i="15"/>
  <c r="I8" i="15"/>
  <c r="I9" i="15" s="1"/>
  <c r="D9" i="15"/>
  <c r="E9" i="15"/>
  <c r="F9" i="15"/>
  <c r="H9" i="15"/>
  <c r="F10" i="15"/>
  <c r="I10" i="15"/>
  <c r="F11" i="15"/>
  <c r="I11" i="15"/>
  <c r="D12" i="15"/>
  <c r="F12" i="15" s="1"/>
  <c r="I12" i="15"/>
  <c r="D13" i="15"/>
  <c r="I13" i="15"/>
  <c r="F14" i="15"/>
  <c r="I14" i="15"/>
  <c r="D15" i="15"/>
  <c r="F15" i="15"/>
  <c r="I15" i="15"/>
  <c r="E16" i="15"/>
  <c r="H16" i="15"/>
  <c r="F17" i="15"/>
  <c r="I17" i="15"/>
  <c r="F18" i="15"/>
  <c r="F32" i="15" s="1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H33" i="15" s="1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I46" i="15" s="1"/>
  <c r="F44" i="15"/>
  <c r="I44" i="15"/>
  <c r="F45" i="15"/>
  <c r="I45" i="15"/>
  <c r="D46" i="15"/>
  <c r="E46" i="15"/>
  <c r="G46" i="15"/>
  <c r="H46" i="15"/>
  <c r="F47" i="15"/>
  <c r="I47" i="15"/>
  <c r="I56" i="15" s="1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E57" i="15" s="1"/>
  <c r="G56" i="15"/>
  <c r="H56" i="15"/>
  <c r="F59" i="15"/>
  <c r="I59" i="15"/>
  <c r="F60" i="15"/>
  <c r="I60" i="15"/>
  <c r="F61" i="15"/>
  <c r="F63" i="15" s="1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F74" i="15" s="1"/>
  <c r="I72" i="15"/>
  <c r="F73" i="15"/>
  <c r="I73" i="15"/>
  <c r="I74" i="15" s="1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D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F100" i="15"/>
  <c r="G100" i="15"/>
  <c r="H100" i="15"/>
  <c r="F101" i="15"/>
  <c r="I101" i="15"/>
  <c r="F102" i="15"/>
  <c r="I102" i="15"/>
  <c r="I107" i="15" s="1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G117" i="15"/>
  <c r="H117" i="15"/>
  <c r="H126" i="15" s="1"/>
  <c r="H130" i="15" s="1"/>
  <c r="F118" i="15"/>
  <c r="I118" i="15"/>
  <c r="F119" i="15"/>
  <c r="I119" i="15"/>
  <c r="F120" i="15"/>
  <c r="I120" i="15"/>
  <c r="D121" i="15"/>
  <c r="F121" i="15" s="1"/>
  <c r="I121" i="15"/>
  <c r="D122" i="15"/>
  <c r="E122" i="15"/>
  <c r="H122" i="15"/>
  <c r="I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H134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S13" i="16"/>
  <c r="T13" i="16"/>
  <c r="S14" i="16"/>
  <c r="T14" i="16"/>
  <c r="S15" i="16"/>
  <c r="T15" i="16"/>
  <c r="S16" i="16"/>
  <c r="S17" i="16"/>
  <c r="T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6" i="16"/>
  <c r="T26" i="16"/>
  <c r="S27" i="16"/>
  <c r="T27" i="16"/>
  <c r="S28" i="16"/>
  <c r="T28" i="16"/>
  <c r="C29" i="16"/>
  <c r="D29" i="16"/>
  <c r="D34" i="16" s="1"/>
  <c r="E29" i="16"/>
  <c r="E34" i="16" s="1"/>
  <c r="F29" i="16"/>
  <c r="G29" i="16"/>
  <c r="H29" i="16"/>
  <c r="I29" i="16"/>
  <c r="J29" i="16"/>
  <c r="K29" i="16"/>
  <c r="L29" i="16"/>
  <c r="L34" i="16" s="1"/>
  <c r="M29" i="16"/>
  <c r="M34" i="16" s="1"/>
  <c r="N29" i="16"/>
  <c r="O29" i="16"/>
  <c r="P29" i="16"/>
  <c r="Q29" i="16"/>
  <c r="R29" i="16"/>
  <c r="S30" i="16"/>
  <c r="S33" i="16" s="1"/>
  <c r="T30" i="16"/>
  <c r="S31" i="16"/>
  <c r="T31" i="16"/>
  <c r="S32" i="16"/>
  <c r="T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D23" i="17"/>
  <c r="D25" i="17" s="1"/>
  <c r="E27" i="17"/>
  <c r="E25" i="17"/>
  <c r="D27" i="17"/>
  <c r="D13" i="18"/>
  <c r="E13" i="18"/>
  <c r="F13" i="18"/>
  <c r="G13" i="18"/>
  <c r="D14" i="18"/>
  <c r="E14" i="18"/>
  <c r="F14" i="18"/>
  <c r="G14" i="18"/>
  <c r="D19" i="18"/>
  <c r="D20" i="18" s="1"/>
  <c r="F61" i="3"/>
  <c r="G22" i="18"/>
  <c r="D30" i="18"/>
  <c r="E30" i="18"/>
  <c r="F30" i="18"/>
  <c r="G30" i="18"/>
  <c r="D33" i="18"/>
  <c r="E33" i="18"/>
  <c r="F33" i="18"/>
  <c r="G33" i="18"/>
  <c r="D49" i="18"/>
  <c r="E49" i="18"/>
  <c r="F49" i="18"/>
  <c r="G49" i="18"/>
  <c r="D55" i="18"/>
  <c r="C129" i="3" s="1"/>
  <c r="E55" i="18"/>
  <c r="F55" i="18"/>
  <c r="G55" i="18"/>
  <c r="D56" i="18"/>
  <c r="E56" i="18"/>
  <c r="F56" i="18"/>
  <c r="G56" i="18"/>
  <c r="D58" i="18"/>
  <c r="C130" i="3" s="1"/>
  <c r="E58" i="18"/>
  <c r="F58" i="18"/>
  <c r="G58" i="18"/>
  <c r="D60" i="18"/>
  <c r="C131" i="3" s="1"/>
  <c r="E60" i="18"/>
  <c r="G60" i="18"/>
  <c r="D61" i="18"/>
  <c r="E61" i="18"/>
  <c r="G61" i="18"/>
  <c r="D62" i="18"/>
  <c r="E62" i="18"/>
  <c r="G62" i="18"/>
  <c r="D75" i="18"/>
  <c r="E75" i="18"/>
  <c r="F75" i="18"/>
  <c r="G75" i="18"/>
  <c r="D83" i="18"/>
  <c r="E83" i="18"/>
  <c r="F83" i="18"/>
  <c r="G83" i="18"/>
  <c r="C59" i="3"/>
  <c r="F59" i="3"/>
  <c r="G59" i="3"/>
  <c r="H59" i="3"/>
  <c r="C60" i="3"/>
  <c r="E60" i="3" s="1"/>
  <c r="D60" i="3"/>
  <c r="F60" i="3"/>
  <c r="G60" i="3"/>
  <c r="G62" i="3" s="1"/>
  <c r="G71" i="3" s="1"/>
  <c r="C61" i="3"/>
  <c r="E61" i="3" s="1"/>
  <c r="D61" i="3"/>
  <c r="G61" i="3"/>
  <c r="E63" i="3"/>
  <c r="H63" i="3"/>
  <c r="E64" i="3"/>
  <c r="H64" i="3"/>
  <c r="C65" i="3"/>
  <c r="E65" i="3" s="1"/>
  <c r="F65" i="3"/>
  <c r="E66" i="3"/>
  <c r="H66" i="3"/>
  <c r="E67" i="3"/>
  <c r="H67" i="3"/>
  <c r="E68" i="3"/>
  <c r="H68" i="3"/>
  <c r="E69" i="3"/>
  <c r="H69" i="3"/>
  <c r="D86" i="3"/>
  <c r="G86" i="3"/>
  <c r="D129" i="3"/>
  <c r="F129" i="3"/>
  <c r="G129" i="3"/>
  <c r="D130" i="3"/>
  <c r="F130" i="3"/>
  <c r="G130" i="3"/>
  <c r="D131" i="3"/>
  <c r="F131" i="3"/>
  <c r="G131" i="3"/>
  <c r="E133" i="3"/>
  <c r="H133" i="3"/>
  <c r="E134" i="3"/>
  <c r="H134" i="3"/>
  <c r="E135" i="3"/>
  <c r="H135" i="3"/>
  <c r="E136" i="3"/>
  <c r="H136" i="3"/>
  <c r="C137" i="3"/>
  <c r="D137" i="3"/>
  <c r="F137" i="3"/>
  <c r="G137" i="3"/>
  <c r="E140" i="3"/>
  <c r="H140" i="3"/>
  <c r="E141" i="3"/>
  <c r="H141" i="3"/>
  <c r="D13" i="4"/>
  <c r="C97" i="3" s="1"/>
  <c r="E97" i="3" s="1"/>
  <c r="F97" i="3"/>
  <c r="H97" i="3" s="1"/>
  <c r="D14" i="4"/>
  <c r="D17" i="4"/>
  <c r="D22" i="4"/>
  <c r="D25" i="4" s="1"/>
  <c r="F98" i="3"/>
  <c r="H98" i="3" s="1"/>
  <c r="D36" i="4"/>
  <c r="C99" i="3" s="1"/>
  <c r="E99" i="3" s="1"/>
  <c r="F99" i="3"/>
  <c r="H99" i="3" s="1"/>
  <c r="D41" i="4"/>
  <c r="D51" i="4" s="1"/>
  <c r="C80" i="3" s="1"/>
  <c r="D52" i="4"/>
  <c r="D53" i="4"/>
  <c r="D54" i="4"/>
  <c r="D56" i="4"/>
  <c r="D66" i="4"/>
  <c r="D67" i="4"/>
  <c r="H82" i="3"/>
  <c r="J82" i="3" s="1"/>
  <c r="D76" i="4"/>
  <c r="D78" i="4" s="1"/>
  <c r="C83" i="3" s="1"/>
  <c r="E83" i="3" s="1"/>
  <c r="H83" i="3"/>
  <c r="J83" i="3" s="1"/>
  <c r="D86" i="4"/>
  <c r="C84" i="3" s="1"/>
  <c r="E84" i="3" s="1"/>
  <c r="F84" i="3"/>
  <c r="H84" i="3" s="1"/>
  <c r="J84" i="3" s="1"/>
  <c r="D88" i="4"/>
  <c r="F85" i="3"/>
  <c r="H85" i="3" s="1"/>
  <c r="D12" i="5"/>
  <c r="E12" i="5"/>
  <c r="F12" i="5"/>
  <c r="G12" i="5"/>
  <c r="D15" i="5"/>
  <c r="E15" i="5"/>
  <c r="F15" i="5"/>
  <c r="G15" i="5"/>
  <c r="D23" i="5"/>
  <c r="E23" i="5"/>
  <c r="D27" i="5"/>
  <c r="E27" i="5"/>
  <c r="D28" i="5"/>
  <c r="E28" i="5"/>
  <c r="D31" i="5"/>
  <c r="E31" i="5"/>
  <c r="D34" i="5"/>
  <c r="E34" i="5"/>
  <c r="D37" i="5"/>
  <c r="E37" i="5"/>
  <c r="D45" i="5"/>
  <c r="E45" i="5"/>
  <c r="E60" i="5" s="1"/>
  <c r="E61" i="5" s="1"/>
  <c r="D52" i="5"/>
  <c r="D53" i="5"/>
  <c r="D58" i="5"/>
  <c r="E59" i="5"/>
  <c r="D64" i="5"/>
  <c r="E64" i="5"/>
  <c r="D67" i="5"/>
  <c r="E67" i="5"/>
  <c r="D70" i="5"/>
  <c r="E70" i="5"/>
  <c r="D73" i="5"/>
  <c r="E73" i="5"/>
  <c r="D75" i="5"/>
  <c r="E75" i="5"/>
  <c r="D78" i="5"/>
  <c r="D94" i="5" s="1"/>
  <c r="E78" i="5"/>
  <c r="D84" i="5"/>
  <c r="E84" i="5"/>
  <c r="F84" i="5"/>
  <c r="G84" i="5"/>
  <c r="D87" i="5"/>
  <c r="E87" i="5"/>
  <c r="F87" i="5"/>
  <c r="G87" i="5"/>
  <c r="D90" i="5"/>
  <c r="E90" i="5"/>
  <c r="F90" i="5"/>
  <c r="G90" i="5"/>
  <c r="D93" i="5"/>
  <c r="E93" i="5"/>
  <c r="F93" i="5"/>
  <c r="G93" i="5"/>
  <c r="E94" i="5"/>
  <c r="F94" i="5"/>
  <c r="E9" i="6"/>
  <c r="E32" i="6" s="1"/>
  <c r="D10" i="6"/>
  <c r="D14" i="6"/>
  <c r="E14" i="6"/>
  <c r="E16" i="6"/>
  <c r="D17" i="6"/>
  <c r="D18" i="6"/>
  <c r="E21" i="6"/>
  <c r="D22" i="6"/>
  <c r="D26" i="6" s="1"/>
  <c r="E23" i="6"/>
  <c r="E40" i="6" s="1"/>
  <c r="E24" i="6"/>
  <c r="D28" i="6"/>
  <c r="E28" i="6"/>
  <c r="D30" i="6"/>
  <c r="E30" i="6"/>
  <c r="D33" i="6"/>
  <c r="D34" i="6"/>
  <c r="D35" i="6"/>
  <c r="E36" i="6"/>
  <c r="E39" i="6"/>
  <c r="D45" i="6"/>
  <c r="D47" i="6"/>
  <c r="D69" i="6" s="1"/>
  <c r="D48" i="6"/>
  <c r="D49" i="6"/>
  <c r="D50" i="6"/>
  <c r="D51" i="6"/>
  <c r="D52" i="6"/>
  <c r="D75" i="6" s="1"/>
  <c r="D53" i="6"/>
  <c r="D54" i="6"/>
  <c r="D71" i="6" s="1"/>
  <c r="D57" i="6"/>
  <c r="D77" i="6" s="1"/>
  <c r="D58" i="6"/>
  <c r="D80" i="6" s="1"/>
  <c r="E60" i="6"/>
  <c r="D62" i="6"/>
  <c r="E62" i="6"/>
  <c r="D65" i="6"/>
  <c r="E65" i="6"/>
  <c r="D70" i="6"/>
  <c r="D72" i="6"/>
  <c r="D73" i="6"/>
  <c r="D74" i="6"/>
  <c r="D76" i="6"/>
  <c r="E82" i="6"/>
  <c r="D12" i="7"/>
  <c r="F12" i="7"/>
  <c r="I12" i="7"/>
  <c r="F13" i="7"/>
  <c r="I13" i="7"/>
  <c r="D14" i="7"/>
  <c r="C30" i="3" s="1"/>
  <c r="E14" i="7"/>
  <c r="D30" i="3" s="1"/>
  <c r="F14" i="7"/>
  <c r="F30" i="3"/>
  <c r="H14" i="7"/>
  <c r="G30" i="3" s="1"/>
  <c r="I14" i="7"/>
  <c r="F16" i="7"/>
  <c r="I16" i="7"/>
  <c r="F17" i="7"/>
  <c r="I17" i="7"/>
  <c r="F18" i="7"/>
  <c r="I18" i="7"/>
  <c r="F19" i="7"/>
  <c r="I19" i="7"/>
  <c r="D20" i="7"/>
  <c r="E20" i="7"/>
  <c r="G20" i="7"/>
  <c r="G24" i="7" s="1"/>
  <c r="H20" i="7"/>
  <c r="H24" i="7" s="1"/>
  <c r="D23" i="7"/>
  <c r="E23" i="7"/>
  <c r="E24" i="7" s="1"/>
  <c r="D31" i="3" s="1"/>
  <c r="G23" i="7"/>
  <c r="H23" i="7"/>
  <c r="I23" i="7"/>
  <c r="N1" i="8"/>
  <c r="T1" i="8"/>
  <c r="Z1" i="8" s="1"/>
  <c r="AF1" i="8" s="1"/>
  <c r="AL1" i="8" s="1"/>
  <c r="AR1" i="8" s="1"/>
  <c r="AZ1" i="8" s="1"/>
  <c r="N2" i="8"/>
  <c r="T2" i="8"/>
  <c r="Z2" i="8" s="1"/>
  <c r="AF2" i="8" s="1"/>
  <c r="AL2" i="8" s="1"/>
  <c r="AR2" i="8" s="1"/>
  <c r="AZ2" i="8" s="1"/>
  <c r="D7" i="8"/>
  <c r="E7" i="8"/>
  <c r="D7" i="3" s="1"/>
  <c r="G7" i="8"/>
  <c r="H7" i="8"/>
  <c r="E8" i="8"/>
  <c r="G8" i="8"/>
  <c r="F8" i="3" s="1"/>
  <c r="H8" i="8"/>
  <c r="G8" i="3" s="1"/>
  <c r="J8" i="8"/>
  <c r="D8" i="8" s="1"/>
  <c r="C8" i="3" s="1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R9" i="8"/>
  <c r="AS9" i="8"/>
  <c r="AT9" i="8"/>
  <c r="AU9" i="8"/>
  <c r="AV9" i="8"/>
  <c r="AW9" i="8"/>
  <c r="AX9" i="8"/>
  <c r="AY9" i="8"/>
  <c r="AZ9" i="8"/>
  <c r="BA9" i="8"/>
  <c r="D10" i="8"/>
  <c r="E10" i="8"/>
  <c r="D10" i="3" s="1"/>
  <c r="C11" i="2" s="1"/>
  <c r="G10" i="8"/>
  <c r="F10" i="3" s="1"/>
  <c r="H10" i="8"/>
  <c r="G10" i="3" s="1"/>
  <c r="F11" i="2" s="1"/>
  <c r="D11" i="8"/>
  <c r="E11" i="8"/>
  <c r="D11" i="3" s="1"/>
  <c r="F11" i="8"/>
  <c r="G11" i="8"/>
  <c r="H11" i="8"/>
  <c r="G11" i="3" s="1"/>
  <c r="D12" i="8"/>
  <c r="E12" i="8"/>
  <c r="D12" i="3" s="1"/>
  <c r="G12" i="8"/>
  <c r="F12" i="3" s="1"/>
  <c r="H12" i="8"/>
  <c r="G12" i="3" s="1"/>
  <c r="G13" i="8"/>
  <c r="H13" i="8"/>
  <c r="G13" i="3" s="1"/>
  <c r="J13" i="8"/>
  <c r="L13" i="8"/>
  <c r="X13" i="8"/>
  <c r="X16" i="8" s="1"/>
  <c r="AB13" i="8"/>
  <c r="AD13" i="8"/>
  <c r="AT13" i="8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J15" i="8"/>
  <c r="L15" i="8"/>
  <c r="Z15" i="8"/>
  <c r="Z16" i="8" s="1"/>
  <c r="AD15" i="8"/>
  <c r="AF15" i="8"/>
  <c r="AH15" i="8"/>
  <c r="AH16" i="8" s="1"/>
  <c r="M16" i="8"/>
  <c r="N16" i="8"/>
  <c r="N33" i="8" s="1"/>
  <c r="N109" i="8" s="1"/>
  <c r="O16" i="8"/>
  <c r="P16" i="8"/>
  <c r="Q16" i="8"/>
  <c r="R16" i="8"/>
  <c r="S16" i="8"/>
  <c r="T16" i="8"/>
  <c r="U16" i="8"/>
  <c r="V16" i="8"/>
  <c r="V33" i="8" s="1"/>
  <c r="W16" i="8"/>
  <c r="Y16" i="8"/>
  <c r="AA16" i="8"/>
  <c r="AB16" i="8"/>
  <c r="AC16" i="8"/>
  <c r="AE16" i="8"/>
  <c r="AF16" i="8"/>
  <c r="AG16" i="8"/>
  <c r="AI16" i="8"/>
  <c r="AJ16" i="8"/>
  <c r="AK16" i="8"/>
  <c r="AL16" i="8"/>
  <c r="AM16" i="8"/>
  <c r="AN16" i="8"/>
  <c r="AO16" i="8"/>
  <c r="AP16" i="8"/>
  <c r="AQ16" i="8"/>
  <c r="AQ33" i="8" s="1"/>
  <c r="AQ109" i="8" s="1"/>
  <c r="AR16" i="8"/>
  <c r="AS16" i="8"/>
  <c r="AU16" i="8"/>
  <c r="AU33" i="8" s="1"/>
  <c r="AV16" i="8"/>
  <c r="AW16" i="8"/>
  <c r="AX16" i="8"/>
  <c r="AY16" i="8"/>
  <c r="AZ16" i="8"/>
  <c r="BA16" i="8"/>
  <c r="D17" i="8"/>
  <c r="C17" i="3" s="1"/>
  <c r="E17" i="8"/>
  <c r="D17" i="3" s="1"/>
  <c r="C13" i="2" s="1"/>
  <c r="G17" i="8"/>
  <c r="H17" i="8"/>
  <c r="G17" i="3" s="1"/>
  <c r="F13" i="2" s="1"/>
  <c r="D18" i="8"/>
  <c r="E18" i="8"/>
  <c r="D18" i="3" s="1"/>
  <c r="G18" i="8"/>
  <c r="F18" i="3" s="1"/>
  <c r="H18" i="8"/>
  <c r="G18" i="3" s="1"/>
  <c r="E19" i="8"/>
  <c r="D19" i="3" s="1"/>
  <c r="G19" i="8"/>
  <c r="H19" i="8"/>
  <c r="G19" i="3" s="1"/>
  <c r="J19" i="8"/>
  <c r="D20" i="8"/>
  <c r="E20" i="8"/>
  <c r="D20" i="3" s="1"/>
  <c r="G20" i="8"/>
  <c r="H20" i="8"/>
  <c r="G20" i="3" s="1"/>
  <c r="D21" i="8"/>
  <c r="C21" i="3" s="1"/>
  <c r="E21" i="8"/>
  <c r="D21" i="3" s="1"/>
  <c r="F21" i="8"/>
  <c r="G21" i="8"/>
  <c r="F21" i="3" s="1"/>
  <c r="H21" i="8"/>
  <c r="G21" i="3" s="1"/>
  <c r="D22" i="8"/>
  <c r="E22" i="8"/>
  <c r="D22" i="3" s="1"/>
  <c r="G22" i="8"/>
  <c r="H22" i="8"/>
  <c r="G22" i="3" s="1"/>
  <c r="D23" i="8"/>
  <c r="C23" i="3" s="1"/>
  <c r="E23" i="8"/>
  <c r="D23" i="3" s="1"/>
  <c r="G23" i="8"/>
  <c r="F23" i="3" s="1"/>
  <c r="H23" i="8"/>
  <c r="G23" i="3" s="1"/>
  <c r="D24" i="8"/>
  <c r="E24" i="8"/>
  <c r="D24" i="3" s="1"/>
  <c r="G24" i="8"/>
  <c r="H24" i="8"/>
  <c r="G24" i="3" s="1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H26" i="8"/>
  <c r="G26" i="3" s="1"/>
  <c r="D27" i="8"/>
  <c r="C27" i="3" s="1"/>
  <c r="E27" i="8"/>
  <c r="D27" i="3" s="1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AJ29" i="8"/>
  <c r="D29" i="8" s="1"/>
  <c r="C29" i="3" s="1"/>
  <c r="AX29" i="8"/>
  <c r="E29" i="8" s="1"/>
  <c r="D29" i="3" s="1"/>
  <c r="AZ29" i="8"/>
  <c r="D30" i="8"/>
  <c r="E30" i="8"/>
  <c r="G30" i="8"/>
  <c r="H30" i="8"/>
  <c r="D31" i="8"/>
  <c r="E31" i="8"/>
  <c r="F31" i="8"/>
  <c r="G31" i="8"/>
  <c r="I31" i="8" s="1"/>
  <c r="H31" i="8"/>
  <c r="K32" i="8"/>
  <c r="K33" i="8" s="1"/>
  <c r="L32" i="8"/>
  <c r="M32" i="8"/>
  <c r="N32" i="8"/>
  <c r="O32" i="8"/>
  <c r="P32" i="8"/>
  <c r="P33" i="8" s="1"/>
  <c r="Q32" i="8"/>
  <c r="R32" i="8"/>
  <c r="S32" i="8"/>
  <c r="T32" i="8"/>
  <c r="T33" i="8" s="1"/>
  <c r="T109" i="8" s="1"/>
  <c r="U32" i="8"/>
  <c r="V32" i="8"/>
  <c r="W32" i="8"/>
  <c r="W33" i="8" s="1"/>
  <c r="X32" i="8"/>
  <c r="Y32" i="8"/>
  <c r="Z32" i="8"/>
  <c r="AA32" i="8"/>
  <c r="AB32" i="8"/>
  <c r="AC32" i="8"/>
  <c r="AD32" i="8"/>
  <c r="AE32" i="8"/>
  <c r="AF32" i="8"/>
  <c r="AG32" i="8"/>
  <c r="AH32" i="8"/>
  <c r="AI32" i="8"/>
  <c r="AK32" i="8"/>
  <c r="AL32" i="8"/>
  <c r="AL33" i="8" s="1"/>
  <c r="AM32" i="8"/>
  <c r="AM33" i="8" s="1"/>
  <c r="AM109" i="8" s="1"/>
  <c r="AN32" i="8"/>
  <c r="AN33" i="8" s="1"/>
  <c r="AO32" i="8"/>
  <c r="AP32" i="8"/>
  <c r="AQ32" i="8"/>
  <c r="AR32" i="8"/>
  <c r="AR33" i="8" s="1"/>
  <c r="AS32" i="8"/>
  <c r="AT32" i="8"/>
  <c r="AU32" i="8"/>
  <c r="AV32" i="8"/>
  <c r="AV33" i="8" s="1"/>
  <c r="AW32" i="8"/>
  <c r="AW33" i="8" s="1"/>
  <c r="AW109" i="8" s="1"/>
  <c r="AY32" i="8"/>
  <c r="AZ32" i="8"/>
  <c r="AZ33" i="8" s="1"/>
  <c r="BA32" i="8"/>
  <c r="BA33" i="8" s="1"/>
  <c r="AA33" i="8"/>
  <c r="AA109" i="8" s="1"/>
  <c r="D34" i="8"/>
  <c r="E34" i="8"/>
  <c r="G34" i="8"/>
  <c r="I34" i="8" s="1"/>
  <c r="H34" i="8"/>
  <c r="D35" i="8"/>
  <c r="E35" i="8"/>
  <c r="G35" i="8"/>
  <c r="H35" i="8"/>
  <c r="G35" i="3" s="1"/>
  <c r="D36" i="8"/>
  <c r="E36" i="8"/>
  <c r="G36" i="8"/>
  <c r="H36" i="8"/>
  <c r="G36" i="3" s="1"/>
  <c r="D37" i="8"/>
  <c r="F37" i="8" s="1"/>
  <c r="E37" i="8"/>
  <c r="G37" i="8"/>
  <c r="H37" i="8"/>
  <c r="G37" i="3" s="1"/>
  <c r="D38" i="8"/>
  <c r="E38" i="8"/>
  <c r="D38" i="3" s="1"/>
  <c r="G38" i="8"/>
  <c r="I38" i="8" s="1"/>
  <c r="H38" i="8"/>
  <c r="G38" i="3" s="1"/>
  <c r="D39" i="8"/>
  <c r="C39" i="3" s="1"/>
  <c r="E39" i="8"/>
  <c r="G39" i="8"/>
  <c r="H39" i="8"/>
  <c r="G39" i="3" s="1"/>
  <c r="D40" i="8"/>
  <c r="E40" i="8"/>
  <c r="G40" i="8"/>
  <c r="H40" i="8"/>
  <c r="G40" i="3" s="1"/>
  <c r="J41" i="8"/>
  <c r="J57" i="8" s="1"/>
  <c r="J110" i="8" s="1"/>
  <c r="K41" i="8"/>
  <c r="K57" i="8" s="1"/>
  <c r="L41" i="8"/>
  <c r="M41" i="8"/>
  <c r="N41" i="8"/>
  <c r="O41" i="8"/>
  <c r="P41" i="8"/>
  <c r="Q41" i="8"/>
  <c r="R41" i="8"/>
  <c r="S41" i="8"/>
  <c r="S57" i="8" s="1"/>
  <c r="T41" i="8"/>
  <c r="U41" i="8"/>
  <c r="V41" i="8"/>
  <c r="W41" i="8"/>
  <c r="W57" i="8" s="1"/>
  <c r="X41" i="8"/>
  <c r="Y41" i="8"/>
  <c r="Z41" i="8"/>
  <c r="AA41" i="8"/>
  <c r="AA57" i="8" s="1"/>
  <c r="AB41" i="8"/>
  <c r="AC41" i="8"/>
  <c r="AD41" i="8"/>
  <c r="AE41" i="8"/>
  <c r="AE57" i="8" s="1"/>
  <c r="AF41" i="8"/>
  <c r="AG41" i="8"/>
  <c r="AH41" i="8"/>
  <c r="AI41" i="8"/>
  <c r="AJ41" i="8"/>
  <c r="AK41" i="8"/>
  <c r="AL41" i="8"/>
  <c r="AM41" i="8"/>
  <c r="AM57" i="8" s="1"/>
  <c r="AN41" i="8"/>
  <c r="AO41" i="8"/>
  <c r="AP41" i="8"/>
  <c r="AQ41" i="8"/>
  <c r="AR41" i="8"/>
  <c r="AS41" i="8"/>
  <c r="AT41" i="8"/>
  <c r="AU41" i="8"/>
  <c r="AV41" i="8"/>
  <c r="AW41" i="8"/>
  <c r="AX41" i="8"/>
  <c r="AY41" i="8"/>
  <c r="AY57" i="8" s="1"/>
  <c r="AZ41" i="8"/>
  <c r="BA41" i="8"/>
  <c r="D42" i="8"/>
  <c r="E42" i="8"/>
  <c r="D42" i="3" s="1"/>
  <c r="G42" i="8"/>
  <c r="I42" i="8" s="1"/>
  <c r="H42" i="8"/>
  <c r="G42" i="3" s="1"/>
  <c r="D43" i="8"/>
  <c r="C43" i="3" s="1"/>
  <c r="E43" i="8"/>
  <c r="D43" i="3" s="1"/>
  <c r="F43" i="8"/>
  <c r="G43" i="8"/>
  <c r="H43" i="8"/>
  <c r="D44" i="8"/>
  <c r="E44" i="8"/>
  <c r="D44" i="3" s="1"/>
  <c r="G44" i="8"/>
  <c r="H44" i="8"/>
  <c r="G44" i="3" s="1"/>
  <c r="D45" i="8"/>
  <c r="F45" i="8" s="1"/>
  <c r="E45" i="8"/>
  <c r="D45" i="3" s="1"/>
  <c r="G45" i="8"/>
  <c r="H45" i="8"/>
  <c r="D46" i="8"/>
  <c r="J46" i="8"/>
  <c r="K46" i="8"/>
  <c r="L46" i="8"/>
  <c r="M46" i="8"/>
  <c r="N46" i="8"/>
  <c r="O46" i="8"/>
  <c r="P46" i="8"/>
  <c r="P58" i="8" s="1"/>
  <c r="P64" i="8" s="1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F58" i="8" s="1"/>
  <c r="AF64" i="8" s="1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V58" i="8" s="1"/>
  <c r="AV64" i="8" s="1"/>
  <c r="AW46" i="8"/>
  <c r="AX46" i="8"/>
  <c r="AY46" i="8"/>
  <c r="AZ46" i="8"/>
  <c r="BA46" i="8"/>
  <c r="D47" i="8"/>
  <c r="C47" i="3" s="1"/>
  <c r="E47" i="8"/>
  <c r="D47" i="3" s="1"/>
  <c r="F47" i="8"/>
  <c r="G47" i="8"/>
  <c r="H47" i="8"/>
  <c r="G47" i="3" s="1"/>
  <c r="D48" i="8"/>
  <c r="E48" i="8"/>
  <c r="D48" i="3" s="1"/>
  <c r="G48" i="8"/>
  <c r="F48" i="3" s="1"/>
  <c r="H48" i="8"/>
  <c r="G48" i="3" s="1"/>
  <c r="D49" i="8"/>
  <c r="C49" i="3" s="1"/>
  <c r="E49" i="8"/>
  <c r="D49" i="3" s="1"/>
  <c r="F49" i="8"/>
  <c r="G49" i="8"/>
  <c r="H49" i="8"/>
  <c r="G49" i="3" s="1"/>
  <c r="D50" i="8"/>
  <c r="E50" i="8"/>
  <c r="D50" i="3" s="1"/>
  <c r="G50" i="8"/>
  <c r="F50" i="3" s="1"/>
  <c r="H50" i="8"/>
  <c r="G50" i="3" s="1"/>
  <c r="I50" i="8"/>
  <c r="D51" i="8"/>
  <c r="C51" i="3" s="1"/>
  <c r="E51" i="8"/>
  <c r="D51" i="3" s="1"/>
  <c r="G51" i="8"/>
  <c r="H51" i="8"/>
  <c r="G51" i="3" s="1"/>
  <c r="D52" i="8"/>
  <c r="E52" i="8"/>
  <c r="D52" i="3" s="1"/>
  <c r="G52" i="8"/>
  <c r="F52" i="3" s="1"/>
  <c r="H52" i="8"/>
  <c r="G52" i="3" s="1"/>
  <c r="D53" i="8"/>
  <c r="C53" i="3" s="1"/>
  <c r="E53" i="8"/>
  <c r="D53" i="3" s="1"/>
  <c r="F53" i="8"/>
  <c r="G53" i="8"/>
  <c r="H53" i="8"/>
  <c r="G53" i="3" s="1"/>
  <c r="D54" i="8"/>
  <c r="E54" i="8"/>
  <c r="G54" i="8"/>
  <c r="I54" i="8" s="1"/>
  <c r="H54" i="8"/>
  <c r="D55" i="8"/>
  <c r="C55" i="3" s="1"/>
  <c r="E55" i="8"/>
  <c r="D55" i="3" s="1"/>
  <c r="G55" i="8"/>
  <c r="H55" i="8"/>
  <c r="G55" i="3" s="1"/>
  <c r="J56" i="8"/>
  <c r="K56" i="8"/>
  <c r="L56" i="8"/>
  <c r="M56" i="8"/>
  <c r="N56" i="8"/>
  <c r="O56" i="8"/>
  <c r="P56" i="8"/>
  <c r="Q56" i="8"/>
  <c r="Q57" i="8" s="1"/>
  <c r="R56" i="8"/>
  <c r="S56" i="8"/>
  <c r="T56" i="8"/>
  <c r="U56" i="8"/>
  <c r="U57" i="8" s="1"/>
  <c r="U110" i="8" s="1"/>
  <c r="V56" i="8"/>
  <c r="W56" i="8"/>
  <c r="X56" i="8"/>
  <c r="Y56" i="8"/>
  <c r="Y57" i="8" s="1"/>
  <c r="Z56" i="8"/>
  <c r="AA56" i="8"/>
  <c r="AB56" i="8"/>
  <c r="AC56" i="8"/>
  <c r="AC57" i="8" s="1"/>
  <c r="AD56" i="8"/>
  <c r="AE56" i="8"/>
  <c r="AF56" i="8"/>
  <c r="AG56" i="8"/>
  <c r="AG57" i="8" s="1"/>
  <c r="AG110" i="8" s="1"/>
  <c r="AH56" i="8"/>
  <c r="AI56" i="8"/>
  <c r="AJ56" i="8"/>
  <c r="AK56" i="8"/>
  <c r="AK57" i="8" s="1"/>
  <c r="AL56" i="8"/>
  <c r="AM56" i="8"/>
  <c r="AN56" i="8"/>
  <c r="AO56" i="8"/>
  <c r="AO57" i="8" s="1"/>
  <c r="AO110" i="8" s="1"/>
  <c r="AP56" i="8"/>
  <c r="AQ56" i="8"/>
  <c r="AR56" i="8"/>
  <c r="AS56" i="8"/>
  <c r="AS57" i="8" s="1"/>
  <c r="AT56" i="8"/>
  <c r="AU56" i="8"/>
  <c r="AV56" i="8"/>
  <c r="AW56" i="8"/>
  <c r="AW57" i="8" s="1"/>
  <c r="AW110" i="8" s="1"/>
  <c r="AX56" i="8"/>
  <c r="AY56" i="8"/>
  <c r="AZ56" i="8"/>
  <c r="BA56" i="8"/>
  <c r="BA57" i="8" s="1"/>
  <c r="AP57" i="8"/>
  <c r="AP110" i="8" s="1"/>
  <c r="AQ57" i="8"/>
  <c r="AN58" i="8"/>
  <c r="AN64" i="8" s="1"/>
  <c r="D59" i="8"/>
  <c r="F59" i="8" s="1"/>
  <c r="E59" i="8"/>
  <c r="G59" i="8"/>
  <c r="H59" i="8"/>
  <c r="D60" i="8"/>
  <c r="E60" i="8"/>
  <c r="G60" i="8"/>
  <c r="F72" i="3" s="1"/>
  <c r="H60" i="8"/>
  <c r="I60" i="8"/>
  <c r="D61" i="8"/>
  <c r="C73" i="3" s="1"/>
  <c r="E61" i="8"/>
  <c r="D73" i="3" s="1"/>
  <c r="F61" i="8"/>
  <c r="G61" i="8"/>
  <c r="G63" i="8" s="1"/>
  <c r="H61" i="8"/>
  <c r="G73" i="3" s="1"/>
  <c r="D62" i="8"/>
  <c r="E62" i="8"/>
  <c r="G62" i="8"/>
  <c r="H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D68" i="8"/>
  <c r="E68" i="8"/>
  <c r="F68" i="8"/>
  <c r="G68" i="8"/>
  <c r="I68" i="8" s="1"/>
  <c r="H68" i="8"/>
  <c r="D69" i="8"/>
  <c r="C87" i="3" s="1"/>
  <c r="E69" i="8"/>
  <c r="G69" i="8"/>
  <c r="F87" i="3" s="1"/>
  <c r="H69" i="8"/>
  <c r="G87" i="3" s="1"/>
  <c r="D70" i="8"/>
  <c r="C88" i="3" s="1"/>
  <c r="E70" i="8"/>
  <c r="D88" i="3" s="1"/>
  <c r="E88" i="3" s="1"/>
  <c r="G70" i="8"/>
  <c r="H70" i="8"/>
  <c r="G88" i="3" s="1"/>
  <c r="D71" i="8"/>
  <c r="C89" i="3" s="1"/>
  <c r="E71" i="8"/>
  <c r="G71" i="8"/>
  <c r="F89" i="3" s="1"/>
  <c r="H71" i="8"/>
  <c r="G89" i="3" s="1"/>
  <c r="H89" i="3" s="1"/>
  <c r="D72" i="8"/>
  <c r="C90" i="3" s="1"/>
  <c r="E72" i="8"/>
  <c r="D90" i="3" s="1"/>
  <c r="G72" i="8"/>
  <c r="H72" i="8"/>
  <c r="G90" i="3" s="1"/>
  <c r="D73" i="8"/>
  <c r="E73" i="8"/>
  <c r="G73" i="8"/>
  <c r="H73" i="8"/>
  <c r="I73" i="8" s="1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D75" i="8"/>
  <c r="E75" i="8"/>
  <c r="G75" i="8"/>
  <c r="I75" i="8" s="1"/>
  <c r="H75" i="8"/>
  <c r="D76" i="8"/>
  <c r="C94" i="3" s="1"/>
  <c r="E76" i="8"/>
  <c r="D94" i="3" s="1"/>
  <c r="G76" i="8"/>
  <c r="H76" i="8"/>
  <c r="G94" i="3" s="1"/>
  <c r="D77" i="8"/>
  <c r="E77" i="8"/>
  <c r="G77" i="8"/>
  <c r="F95" i="3" s="1"/>
  <c r="H77" i="8"/>
  <c r="G95" i="3" s="1"/>
  <c r="D78" i="8"/>
  <c r="C96" i="3" s="1"/>
  <c r="E78" i="8"/>
  <c r="D96" i="3" s="1"/>
  <c r="G78" i="8"/>
  <c r="H78" i="8"/>
  <c r="G96" i="3" s="1"/>
  <c r="D79" i="8"/>
  <c r="E79" i="8"/>
  <c r="F79" i="8" s="1"/>
  <c r="G79" i="8"/>
  <c r="H79" i="8"/>
  <c r="I79" i="8" s="1"/>
  <c r="D80" i="8"/>
  <c r="E80" i="8"/>
  <c r="F80" i="8"/>
  <c r="G80" i="8"/>
  <c r="H80" i="8"/>
  <c r="D81" i="8"/>
  <c r="E81" i="8"/>
  <c r="G81" i="8"/>
  <c r="H81" i="8"/>
  <c r="I81" i="8" s="1"/>
  <c r="E82" i="8"/>
  <c r="G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V84" i="8"/>
  <c r="D85" i="8"/>
  <c r="E85" i="8"/>
  <c r="D103" i="3" s="1"/>
  <c r="G85" i="8"/>
  <c r="F103" i="3" s="1"/>
  <c r="H85" i="8"/>
  <c r="E86" i="8"/>
  <c r="D104" i="3" s="1"/>
  <c r="G86" i="8"/>
  <c r="F104" i="3" s="1"/>
  <c r="H86" i="8"/>
  <c r="G104" i="3" s="1"/>
  <c r="L86" i="8"/>
  <c r="D86" i="8" s="1"/>
  <c r="C104" i="3" s="1"/>
  <c r="D87" i="8"/>
  <c r="C105" i="3" s="1"/>
  <c r="E87" i="8"/>
  <c r="D105" i="3" s="1"/>
  <c r="E105" i="3" s="1"/>
  <c r="G87" i="8"/>
  <c r="H87" i="8"/>
  <c r="G105" i="3" s="1"/>
  <c r="D88" i="8"/>
  <c r="C106" i="3" s="1"/>
  <c r="E88" i="8"/>
  <c r="G88" i="8"/>
  <c r="F106" i="3" s="1"/>
  <c r="H88" i="8"/>
  <c r="G106" i="3" s="1"/>
  <c r="D89" i="8"/>
  <c r="C107" i="3" s="1"/>
  <c r="E89" i="8"/>
  <c r="D107" i="3" s="1"/>
  <c r="E107" i="3" s="1"/>
  <c r="F89" i="8"/>
  <c r="G89" i="8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F91" i="8"/>
  <c r="G91" i="8"/>
  <c r="H91" i="8"/>
  <c r="G109" i="3" s="1"/>
  <c r="D92" i="8"/>
  <c r="C110" i="3" s="1"/>
  <c r="E92" i="8"/>
  <c r="G92" i="8"/>
  <c r="F110" i="3" s="1"/>
  <c r="H92" i="8"/>
  <c r="G110" i="3" s="1"/>
  <c r="I92" i="8"/>
  <c r="D93" i="8"/>
  <c r="C111" i="3" s="1"/>
  <c r="E93" i="8"/>
  <c r="D111" i="3" s="1"/>
  <c r="G93" i="8"/>
  <c r="H93" i="8"/>
  <c r="G111" i="3" s="1"/>
  <c r="J94" i="8"/>
  <c r="K94" i="8"/>
  <c r="L94" i="8"/>
  <c r="M94" i="8"/>
  <c r="N94" i="8"/>
  <c r="O94" i="8"/>
  <c r="P94" i="8"/>
  <c r="Q94" i="8"/>
  <c r="R94" i="8"/>
  <c r="S94" i="8"/>
  <c r="T94" i="8"/>
  <c r="U94" i="8"/>
  <c r="W94" i="8"/>
  <c r="X94" i="8"/>
  <c r="Y94" i="8"/>
  <c r="Z94" i="8"/>
  <c r="AA94" i="8"/>
  <c r="AB94" i="8"/>
  <c r="AC94" i="8"/>
  <c r="AD94" i="8"/>
  <c r="AD108" i="8" s="1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T108" i="8" s="1"/>
  <c r="AU94" i="8"/>
  <c r="AV94" i="8"/>
  <c r="AW94" i="8"/>
  <c r="AX94" i="8"/>
  <c r="AY94" i="8"/>
  <c r="AZ94" i="8"/>
  <c r="BA94" i="8"/>
  <c r="BA109" i="8" s="1"/>
  <c r="D95" i="8"/>
  <c r="E95" i="8"/>
  <c r="D113" i="3" s="1"/>
  <c r="G95" i="8"/>
  <c r="F113" i="3" s="1"/>
  <c r="H95" i="8"/>
  <c r="G113" i="3" s="1"/>
  <c r="D96" i="8"/>
  <c r="E96" i="8"/>
  <c r="G96" i="8"/>
  <c r="H96" i="8"/>
  <c r="D97" i="8"/>
  <c r="C115" i="3" s="1"/>
  <c r="E97" i="8"/>
  <c r="G97" i="8"/>
  <c r="H97" i="8"/>
  <c r="G115" i="3" s="1"/>
  <c r="D98" i="8"/>
  <c r="C116" i="3" s="1"/>
  <c r="E98" i="8"/>
  <c r="F98" i="8"/>
  <c r="G98" i="8"/>
  <c r="F116" i="3" s="1"/>
  <c r="H98" i="8"/>
  <c r="G116" i="3" s="1"/>
  <c r="I98" i="8"/>
  <c r="D99" i="8"/>
  <c r="C117" i="3" s="1"/>
  <c r="E99" i="8"/>
  <c r="D117" i="3" s="1"/>
  <c r="G99" i="8"/>
  <c r="H99" i="8"/>
  <c r="G117" i="3" s="1"/>
  <c r="E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D101" i="8"/>
  <c r="C119" i="3" s="1"/>
  <c r="E101" i="8"/>
  <c r="D119" i="3" s="1"/>
  <c r="G101" i="8"/>
  <c r="F119" i="3" s="1"/>
  <c r="H101" i="8"/>
  <c r="G119" i="3" s="1"/>
  <c r="D102" i="8"/>
  <c r="C120" i="3" s="1"/>
  <c r="E102" i="8"/>
  <c r="D120" i="3" s="1"/>
  <c r="F102" i="8"/>
  <c r="G102" i="8"/>
  <c r="H102" i="8"/>
  <c r="G120" i="3" s="1"/>
  <c r="D103" i="8"/>
  <c r="C121" i="3" s="1"/>
  <c r="E103" i="8"/>
  <c r="D121" i="3" s="1"/>
  <c r="G103" i="8"/>
  <c r="F121" i="3" s="1"/>
  <c r="H103" i="8"/>
  <c r="G121" i="3" s="1"/>
  <c r="D104" i="8"/>
  <c r="C122" i="3" s="1"/>
  <c r="E104" i="8"/>
  <c r="G104" i="8"/>
  <c r="F122" i="3" s="1"/>
  <c r="H104" i="8"/>
  <c r="I104" i="8"/>
  <c r="D105" i="8"/>
  <c r="C123" i="3" s="1"/>
  <c r="E105" i="8"/>
  <c r="D123" i="3" s="1"/>
  <c r="G105" i="8"/>
  <c r="F123" i="3" s="1"/>
  <c r="H105" i="8"/>
  <c r="G123" i="3" s="1"/>
  <c r="D106" i="8"/>
  <c r="C124" i="3" s="1"/>
  <c r="E106" i="8"/>
  <c r="D124" i="3" s="1"/>
  <c r="E124" i="3" s="1"/>
  <c r="F106" i="8"/>
  <c r="G106" i="8"/>
  <c r="H106" i="8"/>
  <c r="G124" i="3" s="1"/>
  <c r="J107" i="8"/>
  <c r="K107" i="8"/>
  <c r="K108" i="8" s="1"/>
  <c r="L107" i="8"/>
  <c r="L108" i="8" s="1"/>
  <c r="M107" i="8"/>
  <c r="N107" i="8"/>
  <c r="O107" i="8"/>
  <c r="O108" i="8" s="1"/>
  <c r="P107" i="8"/>
  <c r="P108" i="8" s="1"/>
  <c r="P131" i="8" s="1"/>
  <c r="Q107" i="8"/>
  <c r="R107" i="8"/>
  <c r="S107" i="8"/>
  <c r="S108" i="8" s="1"/>
  <c r="T107" i="8"/>
  <c r="T108" i="8" s="1"/>
  <c r="U107" i="8"/>
  <c r="V107" i="8"/>
  <c r="W107" i="8"/>
  <c r="W108" i="8" s="1"/>
  <c r="X107" i="8"/>
  <c r="X108" i="8" s="1"/>
  <c r="X131" i="8" s="1"/>
  <c r="Y107" i="8"/>
  <c r="Y108" i="8" s="1"/>
  <c r="Z107" i="8"/>
  <c r="Z108" i="8" s="1"/>
  <c r="AA107" i="8"/>
  <c r="AA108" i="8" s="1"/>
  <c r="AB107" i="8"/>
  <c r="AB108" i="8" s="1"/>
  <c r="AC107" i="8"/>
  <c r="AD107" i="8"/>
  <c r="AE107" i="8"/>
  <c r="AE108" i="8" s="1"/>
  <c r="AF107" i="8"/>
  <c r="AF108" i="8" s="1"/>
  <c r="AF131" i="8" s="1"/>
  <c r="AG107" i="8"/>
  <c r="AH107" i="8"/>
  <c r="AH108" i="8" s="1"/>
  <c r="AI107" i="8"/>
  <c r="AI108" i="8" s="1"/>
  <c r="AJ107" i="8"/>
  <c r="AJ108" i="8" s="1"/>
  <c r="AK107" i="8"/>
  <c r="AL107" i="8"/>
  <c r="AM107" i="8"/>
  <c r="AM108" i="8" s="1"/>
  <c r="AN107" i="8"/>
  <c r="AN108" i="8" s="1"/>
  <c r="AN131" i="8" s="1"/>
  <c r="AO107" i="8"/>
  <c r="AP107" i="8"/>
  <c r="AP108" i="8" s="1"/>
  <c r="AQ107" i="8"/>
  <c r="AQ108" i="8" s="1"/>
  <c r="AR107" i="8"/>
  <c r="AR108" i="8" s="1"/>
  <c r="AS107" i="8"/>
  <c r="AT107" i="8"/>
  <c r="AU107" i="8"/>
  <c r="AV107" i="8"/>
  <c r="AV108" i="8" s="1"/>
  <c r="AV131" i="8" s="1"/>
  <c r="AW107" i="8"/>
  <c r="AX107" i="8"/>
  <c r="AX108" i="8" s="1"/>
  <c r="AY107" i="8"/>
  <c r="AY108" i="8" s="1"/>
  <c r="AZ107" i="8"/>
  <c r="AZ108" i="8" s="1"/>
  <c r="BA107" i="8"/>
  <c r="J108" i="8"/>
  <c r="M108" i="8"/>
  <c r="M131" i="8" s="1"/>
  <c r="N108" i="8"/>
  <c r="R108" i="8"/>
  <c r="U108" i="8"/>
  <c r="U131" i="8" s="1"/>
  <c r="AG108" i="8"/>
  <c r="AL108" i="8"/>
  <c r="AO108" i="8"/>
  <c r="AW108" i="8"/>
  <c r="AN109" i="8"/>
  <c r="AR109" i="8"/>
  <c r="AV109" i="8"/>
  <c r="AZ109" i="8"/>
  <c r="D111" i="8"/>
  <c r="E111" i="8"/>
  <c r="F111" i="8" s="1"/>
  <c r="G111" i="8"/>
  <c r="H111" i="8"/>
  <c r="D112" i="8"/>
  <c r="E112" i="8"/>
  <c r="F112" i="8" s="1"/>
  <c r="G112" i="8"/>
  <c r="I112" i="8" s="1"/>
  <c r="H112" i="8"/>
  <c r="D113" i="8"/>
  <c r="E113" i="8"/>
  <c r="D138" i="3" s="1"/>
  <c r="G113" i="8"/>
  <c r="F138" i="3" s="1"/>
  <c r="H113" i="8"/>
  <c r="D114" i="8"/>
  <c r="C139" i="3" s="1"/>
  <c r="E114" i="8"/>
  <c r="G114" i="8"/>
  <c r="F139" i="3" s="1"/>
  <c r="H114" i="8"/>
  <c r="G139" i="3" s="1"/>
  <c r="I114" i="8"/>
  <c r="D115" i="8"/>
  <c r="E115" i="8"/>
  <c r="G115" i="8"/>
  <c r="H115" i="8"/>
  <c r="I115" i="8" s="1"/>
  <c r="D116" i="8"/>
  <c r="E116" i="8"/>
  <c r="G116" i="8"/>
  <c r="H116" i="8"/>
  <c r="I116" i="8" s="1"/>
  <c r="J117" i="8"/>
  <c r="K117" i="8"/>
  <c r="L117" i="8"/>
  <c r="L126" i="8" s="1"/>
  <c r="L130" i="8" s="1"/>
  <c r="M117" i="8"/>
  <c r="N117" i="8"/>
  <c r="O117" i="8"/>
  <c r="P117" i="8"/>
  <c r="P126" i="8" s="1"/>
  <c r="P130" i="8" s="1"/>
  <c r="Q117" i="8"/>
  <c r="R117" i="8"/>
  <c r="S117" i="8"/>
  <c r="T117" i="8"/>
  <c r="T126" i="8" s="1"/>
  <c r="T130" i="8" s="1"/>
  <c r="U117" i="8"/>
  <c r="V117" i="8"/>
  <c r="W117" i="8"/>
  <c r="W126" i="8" s="1"/>
  <c r="W130" i="8" s="1"/>
  <c r="X117" i="8"/>
  <c r="X126" i="8" s="1"/>
  <c r="X130" i="8" s="1"/>
  <c r="Y117" i="8"/>
  <c r="Z117" i="8"/>
  <c r="AA117" i="8"/>
  <c r="AA126" i="8" s="1"/>
  <c r="AA130" i="8" s="1"/>
  <c r="AB117" i="8"/>
  <c r="AB126" i="8" s="1"/>
  <c r="AB130" i="8" s="1"/>
  <c r="AC117" i="8"/>
  <c r="AD117" i="8"/>
  <c r="AE117" i="8"/>
  <c r="AF117" i="8"/>
  <c r="AF126" i="8" s="1"/>
  <c r="AF130" i="8" s="1"/>
  <c r="AG117" i="8"/>
  <c r="AH117" i="8"/>
  <c r="AI117" i="8"/>
  <c r="AI126" i="8" s="1"/>
  <c r="AI130" i="8" s="1"/>
  <c r="AJ117" i="8"/>
  <c r="AJ126" i="8" s="1"/>
  <c r="AJ130" i="8" s="1"/>
  <c r="AK117" i="8"/>
  <c r="AL117" i="8"/>
  <c r="AM117" i="8"/>
  <c r="AM126" i="8" s="1"/>
  <c r="AM130" i="8" s="1"/>
  <c r="AN117" i="8"/>
  <c r="AN126" i="8" s="1"/>
  <c r="AN130" i="8" s="1"/>
  <c r="AO117" i="8"/>
  <c r="AP117" i="8"/>
  <c r="AQ117" i="8"/>
  <c r="AQ126" i="8" s="1"/>
  <c r="AQ130" i="8" s="1"/>
  <c r="AR117" i="8"/>
  <c r="AR126" i="8" s="1"/>
  <c r="AR130" i="8" s="1"/>
  <c r="AS117" i="8"/>
  <c r="AT117" i="8"/>
  <c r="AU117" i="8"/>
  <c r="AU126" i="8" s="1"/>
  <c r="AU130" i="8" s="1"/>
  <c r="AV117" i="8"/>
  <c r="AV126" i="8" s="1"/>
  <c r="AV130" i="8" s="1"/>
  <c r="AW117" i="8"/>
  <c r="AX117" i="8"/>
  <c r="AY117" i="8"/>
  <c r="H117" i="8" s="1"/>
  <c r="AZ117" i="8"/>
  <c r="AZ126" i="8" s="1"/>
  <c r="AZ130" i="8" s="1"/>
  <c r="AZ131" i="8" s="1"/>
  <c r="BA117" i="8"/>
  <c r="D118" i="8"/>
  <c r="C143" i="3" s="1"/>
  <c r="E118" i="8"/>
  <c r="D143" i="3" s="1"/>
  <c r="F118" i="8"/>
  <c r="G118" i="8"/>
  <c r="F143" i="3" s="1"/>
  <c r="H118" i="8"/>
  <c r="G143" i="3" s="1"/>
  <c r="I118" i="8"/>
  <c r="D119" i="8"/>
  <c r="C144" i="3" s="1"/>
  <c r="E119" i="8"/>
  <c r="D144" i="3" s="1"/>
  <c r="G119" i="8"/>
  <c r="F144" i="3" s="1"/>
  <c r="H119" i="8"/>
  <c r="D120" i="8"/>
  <c r="D122" i="8" s="1"/>
  <c r="E120" i="8"/>
  <c r="G120" i="8"/>
  <c r="H120" i="8"/>
  <c r="I120" i="8" s="1"/>
  <c r="E121" i="8"/>
  <c r="F121" i="8" s="1"/>
  <c r="G121" i="8"/>
  <c r="H121" i="8"/>
  <c r="I121" i="8" s="1"/>
  <c r="E122" i="8"/>
  <c r="F122" i="8" s="1"/>
  <c r="G122" i="8"/>
  <c r="H122" i="8"/>
  <c r="D123" i="8"/>
  <c r="C146" i="3" s="1"/>
  <c r="E123" i="8"/>
  <c r="G123" i="8"/>
  <c r="F146" i="3" s="1"/>
  <c r="H123" i="8"/>
  <c r="G146" i="3" s="1"/>
  <c r="H146" i="3" s="1"/>
  <c r="D124" i="8"/>
  <c r="C147" i="3" s="1"/>
  <c r="E124" i="8"/>
  <c r="D147" i="3" s="1"/>
  <c r="G124" i="8"/>
  <c r="F147" i="3" s="1"/>
  <c r="H124" i="8"/>
  <c r="G147" i="3" s="1"/>
  <c r="D125" i="8"/>
  <c r="C148" i="3" s="1"/>
  <c r="E125" i="8"/>
  <c r="G125" i="8"/>
  <c r="F148" i="3" s="1"/>
  <c r="H125" i="8"/>
  <c r="G148" i="3" s="1"/>
  <c r="H148" i="3" s="1"/>
  <c r="J126" i="8"/>
  <c r="M126" i="8"/>
  <c r="N126" i="8"/>
  <c r="N130" i="8" s="1"/>
  <c r="O126" i="8"/>
  <c r="O130" i="8" s="1"/>
  <c r="Q126" i="8"/>
  <c r="R126" i="8"/>
  <c r="R130" i="8" s="1"/>
  <c r="S126" i="8"/>
  <c r="S130" i="8" s="1"/>
  <c r="U126" i="8"/>
  <c r="V126" i="8"/>
  <c r="Y126" i="8"/>
  <c r="Y130" i="8" s="1"/>
  <c r="Z126" i="8"/>
  <c r="Z130" i="8" s="1"/>
  <c r="AC126" i="8"/>
  <c r="AD126" i="8"/>
  <c r="AD130" i="8" s="1"/>
  <c r="AE126" i="8"/>
  <c r="AE130" i="8" s="1"/>
  <c r="AG126" i="8"/>
  <c r="AG130" i="8" s="1"/>
  <c r="AG131" i="8" s="1"/>
  <c r="AH126" i="8"/>
  <c r="AH130" i="8" s="1"/>
  <c r="AK126" i="8"/>
  <c r="AL126" i="8"/>
  <c r="AO126" i="8"/>
  <c r="AP126" i="8"/>
  <c r="AP130" i="8" s="1"/>
  <c r="AS126" i="8"/>
  <c r="AS130" i="8" s="1"/>
  <c r="AT126" i="8"/>
  <c r="AT130" i="8" s="1"/>
  <c r="AW126" i="8"/>
  <c r="AW130" i="8" s="1"/>
  <c r="AW131" i="8" s="1"/>
  <c r="AX126" i="8"/>
  <c r="AX130" i="8" s="1"/>
  <c r="BA126" i="8"/>
  <c r="D127" i="8"/>
  <c r="E127" i="8"/>
  <c r="G127" i="8"/>
  <c r="F150" i="3" s="1"/>
  <c r="H127" i="8"/>
  <c r="I127" i="8" s="1"/>
  <c r="D128" i="8"/>
  <c r="C151" i="3" s="1"/>
  <c r="E128" i="8"/>
  <c r="D151" i="3" s="1"/>
  <c r="G128" i="8"/>
  <c r="F151" i="3" s="1"/>
  <c r="H128" i="8"/>
  <c r="G151" i="3" s="1"/>
  <c r="D129" i="8"/>
  <c r="C152" i="3" s="1"/>
  <c r="E129" i="8"/>
  <c r="G129" i="8"/>
  <c r="F152" i="3" s="1"/>
  <c r="H129" i="8"/>
  <c r="G152" i="3" s="1"/>
  <c r="J130" i="8"/>
  <c r="M130" i="8"/>
  <c r="Q130" i="8"/>
  <c r="U130" i="8"/>
  <c r="V130" i="8"/>
  <c r="AC130" i="8"/>
  <c r="AK130" i="8"/>
  <c r="AL130" i="8"/>
  <c r="AO130" i="8"/>
  <c r="BA130" i="8"/>
  <c r="L131" i="8"/>
  <c r="T131" i="8"/>
  <c r="AB131" i="8"/>
  <c r="AJ131" i="8"/>
  <c r="AO131" i="8"/>
  <c r="AR131" i="8"/>
  <c r="D7" i="9"/>
  <c r="F7" i="9" s="1"/>
  <c r="F9" i="9" s="1"/>
  <c r="I7" i="9"/>
  <c r="F8" i="9"/>
  <c r="I8" i="9"/>
  <c r="D9" i="9"/>
  <c r="E9" i="9"/>
  <c r="H9" i="9"/>
  <c r="D10" i="9"/>
  <c r="F10" i="9" s="1"/>
  <c r="I10" i="9"/>
  <c r="D11" i="9"/>
  <c r="D16" i="9" s="1"/>
  <c r="I11" i="9"/>
  <c r="D12" i="9"/>
  <c r="F12" i="9"/>
  <c r="I12" i="9"/>
  <c r="D13" i="9"/>
  <c r="F13" i="9" s="1"/>
  <c r="I13" i="9"/>
  <c r="F14" i="9"/>
  <c r="I14" i="9"/>
  <c r="D15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F32" i="9"/>
  <c r="H32" i="9"/>
  <c r="E33" i="9"/>
  <c r="H33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G41" i="9"/>
  <c r="H41" i="9"/>
  <c r="F42" i="9"/>
  <c r="F46" i="9" s="1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F56" i="9"/>
  <c r="G56" i="9"/>
  <c r="H56" i="9"/>
  <c r="H58" i="9" s="1"/>
  <c r="H64" i="9" s="1"/>
  <c r="D57" i="9"/>
  <c r="D58" i="9"/>
  <c r="D64" i="9" s="1"/>
  <c r="F59" i="9"/>
  <c r="I59" i="9"/>
  <c r="F60" i="9"/>
  <c r="I60" i="9"/>
  <c r="F61" i="9"/>
  <c r="I61" i="9"/>
  <c r="F62" i="9"/>
  <c r="I62" i="9"/>
  <c r="D63" i="9"/>
  <c r="E63" i="9"/>
  <c r="F63" i="9"/>
  <c r="G63" i="9"/>
  <c r="H63" i="9"/>
  <c r="F68" i="9"/>
  <c r="I68" i="9"/>
  <c r="F69" i="9"/>
  <c r="I69" i="9"/>
  <c r="F70" i="9"/>
  <c r="I70" i="9"/>
  <c r="F71" i="9"/>
  <c r="I71" i="9"/>
  <c r="F72" i="9"/>
  <c r="I72" i="9"/>
  <c r="D73" i="9"/>
  <c r="F73" i="9" s="1"/>
  <c r="F74" i="9" s="1"/>
  <c r="I73" i="9"/>
  <c r="I74" i="9" s="1"/>
  <c r="E74" i="9"/>
  <c r="H74" i="9"/>
  <c r="F75" i="9"/>
  <c r="I75" i="9"/>
  <c r="F76" i="9"/>
  <c r="F82" i="9" s="1"/>
  <c r="I76" i="9"/>
  <c r="I82" i="9" s="1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D84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I100" i="9" s="1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H108" i="9"/>
  <c r="H131" i="9" s="1"/>
  <c r="D110" i="9"/>
  <c r="F111" i="9"/>
  <c r="I111" i="9"/>
  <c r="F112" i="9"/>
  <c r="I112" i="9"/>
  <c r="F113" i="9"/>
  <c r="I113" i="9"/>
  <c r="F114" i="9"/>
  <c r="I114" i="9"/>
  <c r="I117" i="9" s="1"/>
  <c r="F115" i="9"/>
  <c r="I115" i="9"/>
  <c r="F116" i="9"/>
  <c r="I116" i="9"/>
  <c r="D117" i="9"/>
  <c r="E117" i="9"/>
  <c r="E126" i="9" s="1"/>
  <c r="E130" i="9" s="1"/>
  <c r="E134" i="9" s="1"/>
  <c r="F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D126" i="9"/>
  <c r="D130" i="9" s="1"/>
  <c r="D134" i="9" s="1"/>
  <c r="H126" i="9"/>
  <c r="H130" i="9" s="1"/>
  <c r="H134" i="9" s="1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F41" i="10" s="1"/>
  <c r="I38" i="10"/>
  <c r="F39" i="10"/>
  <c r="I39" i="10"/>
  <c r="F40" i="10"/>
  <c r="I40" i="10"/>
  <c r="D41" i="10"/>
  <c r="E41" i="10"/>
  <c r="F42" i="10"/>
  <c r="F46" i="10" s="1"/>
  <c r="I42" i="10"/>
  <c r="F43" i="10"/>
  <c r="I43" i="10"/>
  <c r="F44" i="10"/>
  <c r="I44" i="10"/>
  <c r="F45" i="10"/>
  <c r="I45" i="10"/>
  <c r="D46" i="10"/>
  <c r="E46" i="10"/>
  <c r="G46" i="10"/>
  <c r="H46" i="10"/>
  <c r="F47" i="10"/>
  <c r="I47" i="10"/>
  <c r="F48" i="10"/>
  <c r="I48" i="10"/>
  <c r="I56" i="10" s="1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D58" i="10"/>
  <c r="D64" i="10" s="1"/>
  <c r="F59" i="10"/>
  <c r="I59" i="10"/>
  <c r="F60" i="10"/>
  <c r="I60" i="10"/>
  <c r="F61" i="10"/>
  <c r="I61" i="10"/>
  <c r="F62" i="10"/>
  <c r="I62" i="10"/>
  <c r="D63" i="10"/>
  <c r="E63" i="10"/>
  <c r="F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F74" i="10" s="1"/>
  <c r="I73" i="10"/>
  <c r="I74" i="10" s="1"/>
  <c r="D74" i="10"/>
  <c r="E74" i="10"/>
  <c r="F75" i="10"/>
  <c r="I75" i="10"/>
  <c r="F76" i="10"/>
  <c r="F82" i="10" s="1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4" i="10"/>
  <c r="F95" i="10"/>
  <c r="I95" i="10"/>
  <c r="I100" i="10" s="1"/>
  <c r="F96" i="10"/>
  <c r="I96" i="10"/>
  <c r="F97" i="10"/>
  <c r="I97" i="10"/>
  <c r="F98" i="10"/>
  <c r="I98" i="10"/>
  <c r="F99" i="10"/>
  <c r="I99" i="10"/>
  <c r="D100" i="10"/>
  <c r="E100" i="10"/>
  <c r="F100" i="10"/>
  <c r="F101" i="10"/>
  <c r="I101" i="10"/>
  <c r="F102" i="10"/>
  <c r="I102" i="10"/>
  <c r="F105" i="10"/>
  <c r="I105" i="10"/>
  <c r="I107" i="10" s="1"/>
  <c r="F106" i="10"/>
  <c r="I106" i="10"/>
  <c r="D107" i="10"/>
  <c r="E107" i="10"/>
  <c r="G107" i="10"/>
  <c r="G108" i="10" s="1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E126" i="10" s="1"/>
  <c r="E130" i="10" s="1"/>
  <c r="E134" i="10" s="1"/>
  <c r="G126" i="10"/>
  <c r="G130" i="10" s="1"/>
  <c r="H126" i="10"/>
  <c r="H130" i="10" s="1"/>
  <c r="H134" i="10" s="1"/>
  <c r="F118" i="10"/>
  <c r="I118" i="10"/>
  <c r="F119" i="10"/>
  <c r="I119" i="10"/>
  <c r="F120" i="10"/>
  <c r="I120" i="10"/>
  <c r="F121" i="10"/>
  <c r="I121" i="10"/>
  <c r="D122" i="10"/>
  <c r="E122" i="10"/>
  <c r="F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I9" i="13" l="1"/>
  <c r="I9" i="12"/>
  <c r="F114" i="3"/>
  <c r="D116" i="3"/>
  <c r="D115" i="3"/>
  <c r="D114" i="3"/>
  <c r="D59" i="5"/>
  <c r="D60" i="5" s="1"/>
  <c r="D61" i="5" s="1"/>
  <c r="D97" i="5" s="1"/>
  <c r="D99" i="5" s="1"/>
  <c r="D101" i="5" s="1"/>
  <c r="F115" i="3"/>
  <c r="F117" i="3"/>
  <c r="F91" i="3"/>
  <c r="G94" i="5"/>
  <c r="E116" i="3"/>
  <c r="M57" i="8"/>
  <c r="M110" i="8" s="1"/>
  <c r="G41" i="8"/>
  <c r="AU57" i="8"/>
  <c r="AU110" i="8" s="1"/>
  <c r="AI57" i="8"/>
  <c r="AI110" i="8" s="1"/>
  <c r="O57" i="8"/>
  <c r="AX57" i="8"/>
  <c r="AX110" i="8" s="1"/>
  <c r="AH57" i="8"/>
  <c r="AH110" i="8" s="1"/>
  <c r="Z57" i="8"/>
  <c r="Z110" i="8" s="1"/>
  <c r="R57" i="8"/>
  <c r="R110" i="8" s="1"/>
  <c r="F35" i="8"/>
  <c r="AO58" i="8"/>
  <c r="AO64" i="8" s="1"/>
  <c r="P109" i="8"/>
  <c r="I28" i="8"/>
  <c r="AE33" i="8"/>
  <c r="Y58" i="8"/>
  <c r="Y64" i="8" s="1"/>
  <c r="AH33" i="8"/>
  <c r="AH109" i="8" s="1"/>
  <c r="X58" i="8"/>
  <c r="X64" i="8" s="1"/>
  <c r="AL109" i="8"/>
  <c r="S33" i="8"/>
  <c r="S109" i="8" s="1"/>
  <c r="O33" i="8"/>
  <c r="O109" i="8" s="1"/>
  <c r="I153" i="3"/>
  <c r="I76" i="3"/>
  <c r="I16" i="13"/>
  <c r="I41" i="12"/>
  <c r="I57" i="12" s="1"/>
  <c r="I9" i="9"/>
  <c r="Y131" i="8"/>
  <c r="Y110" i="8"/>
  <c r="W109" i="8"/>
  <c r="AU108" i="8"/>
  <c r="AU109" i="8"/>
  <c r="AE109" i="8"/>
  <c r="I88" i="8"/>
  <c r="K109" i="8"/>
  <c r="AY33" i="8"/>
  <c r="AY109" i="8" s="1"/>
  <c r="I23" i="8"/>
  <c r="AI33" i="8"/>
  <c r="AI109" i="8" s="1"/>
  <c r="I18" i="8"/>
  <c r="G9" i="8"/>
  <c r="F83" i="6"/>
  <c r="F84" i="6" s="1"/>
  <c r="G43" i="6"/>
  <c r="G84" i="6" s="1"/>
  <c r="I41" i="9"/>
  <c r="I117" i="10"/>
  <c r="I126" i="10" s="1"/>
  <c r="I130" i="10" s="1"/>
  <c r="I134" i="10" s="1"/>
  <c r="H123" i="3"/>
  <c r="H121" i="3"/>
  <c r="H110" i="3"/>
  <c r="I46" i="10"/>
  <c r="G57" i="10"/>
  <c r="G110" i="10" s="1"/>
  <c r="I32" i="10"/>
  <c r="I16" i="10"/>
  <c r="H108" i="11"/>
  <c r="I9" i="11"/>
  <c r="H108" i="12"/>
  <c r="H131" i="12" s="1"/>
  <c r="I16" i="14"/>
  <c r="I46" i="14"/>
  <c r="H106" i="3"/>
  <c r="J106" i="3" s="1"/>
  <c r="H95" i="3"/>
  <c r="H104" i="3"/>
  <c r="I32" i="15"/>
  <c r="P34" i="16"/>
  <c r="N34" i="16"/>
  <c r="H34" i="16"/>
  <c r="R34" i="16"/>
  <c r="J34" i="16"/>
  <c r="F34" i="16"/>
  <c r="F94" i="9"/>
  <c r="D108" i="10"/>
  <c r="F107" i="10"/>
  <c r="I82" i="10"/>
  <c r="D57" i="10"/>
  <c r="F56" i="10"/>
  <c r="D33" i="10"/>
  <c r="D109" i="10" s="1"/>
  <c r="F32" i="10"/>
  <c r="I9" i="10"/>
  <c r="I33" i="10" s="1"/>
  <c r="H133" i="9"/>
  <c r="F122" i="9"/>
  <c r="I107" i="9"/>
  <c r="F100" i="9"/>
  <c r="I94" i="9"/>
  <c r="H57" i="9"/>
  <c r="H110" i="9" s="1"/>
  <c r="F124" i="8"/>
  <c r="F120" i="8"/>
  <c r="D107" i="8"/>
  <c r="F120" i="3"/>
  <c r="H120" i="3" s="1"/>
  <c r="I102" i="8"/>
  <c r="BA110" i="8"/>
  <c r="BA108" i="8"/>
  <c r="BA131" i="8" s="1"/>
  <c r="AS110" i="8"/>
  <c r="AS108" i="8"/>
  <c r="AS131" i="8" s="1"/>
  <c r="AK108" i="8"/>
  <c r="AK131" i="8" s="1"/>
  <c r="AK110" i="8"/>
  <c r="AC108" i="8"/>
  <c r="AC131" i="8" s="1"/>
  <c r="AC110" i="8"/>
  <c r="Q108" i="8"/>
  <c r="Q131" i="8" s="1"/>
  <c r="Q110" i="8"/>
  <c r="G126" i="9"/>
  <c r="G130" i="9" s="1"/>
  <c r="G134" i="9" s="1"/>
  <c r="E108" i="9"/>
  <c r="E58" i="9"/>
  <c r="E64" i="9" s="1"/>
  <c r="E108" i="10"/>
  <c r="E57" i="10"/>
  <c r="E33" i="10"/>
  <c r="E109" i="10" s="1"/>
  <c r="F109" i="10" s="1"/>
  <c r="D126" i="10"/>
  <c r="D130" i="10" s="1"/>
  <c r="D134" i="10" s="1"/>
  <c r="F117" i="10"/>
  <c r="F126" i="10" s="1"/>
  <c r="F130" i="10" s="1"/>
  <c r="F134" i="10" s="1"/>
  <c r="H108" i="10"/>
  <c r="H131" i="10" s="1"/>
  <c r="G109" i="10"/>
  <c r="I94" i="10"/>
  <c r="I108" i="10" s="1"/>
  <c r="I63" i="10"/>
  <c r="E58" i="10"/>
  <c r="E64" i="10" s="1"/>
  <c r="H58" i="10"/>
  <c r="H64" i="10" s="1"/>
  <c r="G58" i="10"/>
  <c r="G133" i="10" s="1"/>
  <c r="I41" i="10"/>
  <c r="H109" i="10"/>
  <c r="F9" i="10"/>
  <c r="F58" i="10" s="1"/>
  <c r="F64" i="10" s="1"/>
  <c r="I122" i="9"/>
  <c r="I126" i="9" s="1"/>
  <c r="I130" i="9" s="1"/>
  <c r="I134" i="9" s="1"/>
  <c r="G108" i="9"/>
  <c r="F107" i="9"/>
  <c r="E109" i="9"/>
  <c r="I63" i="9"/>
  <c r="G57" i="9"/>
  <c r="I16" i="9"/>
  <c r="F11" i="9"/>
  <c r="F16" i="9" s="1"/>
  <c r="F128" i="8"/>
  <c r="AY126" i="8"/>
  <c r="AY130" i="8" s="1"/>
  <c r="F114" i="8"/>
  <c r="D122" i="3"/>
  <c r="E122" i="3" s="1"/>
  <c r="F104" i="8"/>
  <c r="C138" i="3"/>
  <c r="D117" i="8"/>
  <c r="F124" i="3"/>
  <c r="F125" i="3" s="1"/>
  <c r="I106" i="8"/>
  <c r="C114" i="3"/>
  <c r="E114" i="3" s="1"/>
  <c r="F96" i="8"/>
  <c r="F16" i="10"/>
  <c r="F126" i="9"/>
  <c r="H136" i="9"/>
  <c r="H109" i="9"/>
  <c r="H126" i="8"/>
  <c r="K126" i="8"/>
  <c r="K130" i="8" s="1"/>
  <c r="K131" i="8" s="1"/>
  <c r="G117" i="8"/>
  <c r="G107" i="8"/>
  <c r="G122" i="3"/>
  <c r="G125" i="3" s="1"/>
  <c r="H107" i="8"/>
  <c r="G114" i="3"/>
  <c r="G118" i="3" s="1"/>
  <c r="F25" i="2" s="1"/>
  <c r="I96" i="8"/>
  <c r="I122" i="8"/>
  <c r="F93" i="8"/>
  <c r="F78" i="8"/>
  <c r="C93" i="3"/>
  <c r="B22" i="2" s="1"/>
  <c r="F72" i="8"/>
  <c r="G74" i="8"/>
  <c r="I69" i="8"/>
  <c r="I59" i="8"/>
  <c r="AW58" i="8"/>
  <c r="AW64" i="8" s="1"/>
  <c r="AG58" i="8"/>
  <c r="AG64" i="8" s="1"/>
  <c r="Q58" i="8"/>
  <c r="Q64" i="8" s="1"/>
  <c r="AZ57" i="8"/>
  <c r="AZ110" i="8" s="1"/>
  <c r="AV57" i="8"/>
  <c r="AV110" i="8" s="1"/>
  <c r="AR57" i="8"/>
  <c r="AN57" i="8"/>
  <c r="AN110" i="8" s="1"/>
  <c r="AJ57" i="8"/>
  <c r="AJ110" i="8" s="1"/>
  <c r="AF57" i="8"/>
  <c r="AF110" i="8" s="1"/>
  <c r="AB57" i="8"/>
  <c r="X57" i="8"/>
  <c r="X110" i="8" s="1"/>
  <c r="T57" i="8"/>
  <c r="T110" i="8" s="1"/>
  <c r="P57" i="8"/>
  <c r="P110" i="8" s="1"/>
  <c r="L57" i="8"/>
  <c r="F51" i="8"/>
  <c r="AY58" i="8"/>
  <c r="AY64" i="8" s="1"/>
  <c r="AU58" i="8"/>
  <c r="AU64" i="8" s="1"/>
  <c r="AQ58" i="8"/>
  <c r="AQ64" i="8" s="1"/>
  <c r="AM58" i="8"/>
  <c r="AM64" i="8" s="1"/>
  <c r="AI58" i="8"/>
  <c r="AI64" i="8" s="1"/>
  <c r="AE58" i="8"/>
  <c r="AE64" i="8" s="1"/>
  <c r="AA58" i="8"/>
  <c r="AA64" i="8" s="1"/>
  <c r="W58" i="8"/>
  <c r="W64" i="8" s="1"/>
  <c r="S58" i="8"/>
  <c r="S64" i="8" s="1"/>
  <c r="O58" i="8"/>
  <c r="O64" i="8" s="1"/>
  <c r="K58" i="8"/>
  <c r="K64" i="8" s="1"/>
  <c r="I29" i="8"/>
  <c r="I27" i="8"/>
  <c r="F25" i="8"/>
  <c r="I21" i="8"/>
  <c r="L16" i="8"/>
  <c r="I8" i="8"/>
  <c r="E26" i="6"/>
  <c r="D19" i="6"/>
  <c r="E11" i="6"/>
  <c r="C98" i="3"/>
  <c r="E98" i="3" s="1"/>
  <c r="F116" i="8"/>
  <c r="F115" i="8"/>
  <c r="I111" i="8"/>
  <c r="H115" i="3"/>
  <c r="J115" i="3" s="1"/>
  <c r="F87" i="8"/>
  <c r="I86" i="8"/>
  <c r="I80" i="8"/>
  <c r="E96" i="3"/>
  <c r="F76" i="8"/>
  <c r="F70" i="8"/>
  <c r="H87" i="3"/>
  <c r="I62" i="8"/>
  <c r="F55" i="8"/>
  <c r="AT57" i="8"/>
  <c r="AT110" i="8" s="1"/>
  <c r="AP58" i="8"/>
  <c r="AP64" i="8" s="1"/>
  <c r="AL58" i="8"/>
  <c r="AL64" i="8" s="1"/>
  <c r="AH58" i="8"/>
  <c r="AH64" i="8" s="1"/>
  <c r="AD57" i="8"/>
  <c r="AD110" i="8" s="1"/>
  <c r="Z58" i="8"/>
  <c r="Z64" i="8" s="1"/>
  <c r="V58" i="8"/>
  <c r="V64" i="8" s="1"/>
  <c r="R58" i="8"/>
  <c r="R64" i="8" s="1"/>
  <c r="N58" i="8"/>
  <c r="N64" i="8" s="1"/>
  <c r="F39" i="8"/>
  <c r="AX32" i="8"/>
  <c r="AX58" i="8" s="1"/>
  <c r="AX64" i="8" s="1"/>
  <c r="AC33" i="8"/>
  <c r="AC109" i="8" s="1"/>
  <c r="Y33" i="8"/>
  <c r="Y109" i="8" s="1"/>
  <c r="U33" i="8"/>
  <c r="U109" i="8" s="1"/>
  <c r="Q33" i="8"/>
  <c r="Q109" i="8" s="1"/>
  <c r="M33" i="8"/>
  <c r="M109" i="8" s="1"/>
  <c r="I30" i="8"/>
  <c r="I25" i="8"/>
  <c r="F17" i="8"/>
  <c r="Z33" i="8"/>
  <c r="Z109" i="8" s="1"/>
  <c r="F14" i="8"/>
  <c r="I10" i="8"/>
  <c r="AX33" i="8"/>
  <c r="AX109" i="8" s="1"/>
  <c r="AP33" i="8"/>
  <c r="AP109" i="8" s="1"/>
  <c r="R33" i="8"/>
  <c r="R109" i="8" s="1"/>
  <c r="J9" i="8"/>
  <c r="E83" i="6"/>
  <c r="E41" i="6"/>
  <c r="E42" i="6" s="1"/>
  <c r="E19" i="6"/>
  <c r="D36" i="3" s="1"/>
  <c r="G93" i="3"/>
  <c r="F22" i="2" s="1"/>
  <c r="G109" i="11"/>
  <c r="X33" i="8"/>
  <c r="X109" i="8" s="1"/>
  <c r="D24" i="7"/>
  <c r="J9" i="6"/>
  <c r="E94" i="8"/>
  <c r="D56" i="8"/>
  <c r="E29" i="3"/>
  <c r="F28" i="8"/>
  <c r="H61" i="3"/>
  <c r="F62" i="3"/>
  <c r="Q34" i="16"/>
  <c r="I34" i="16"/>
  <c r="D57" i="15"/>
  <c r="F56" i="15"/>
  <c r="F57" i="14"/>
  <c r="F108" i="12"/>
  <c r="D108" i="12"/>
  <c r="D109" i="12"/>
  <c r="F109" i="12" s="1"/>
  <c r="F82" i="12"/>
  <c r="G108" i="12"/>
  <c r="G109" i="12"/>
  <c r="I109" i="12" s="1"/>
  <c r="F41" i="12"/>
  <c r="F57" i="12" s="1"/>
  <c r="E134" i="11"/>
  <c r="F57" i="11"/>
  <c r="H130" i="3"/>
  <c r="C132" i="3"/>
  <c r="T24" i="16"/>
  <c r="H57" i="15"/>
  <c r="I134" i="14"/>
  <c r="E134" i="14"/>
  <c r="I107" i="14"/>
  <c r="D110" i="14"/>
  <c r="D108" i="14"/>
  <c r="G58" i="14"/>
  <c r="G64" i="14" s="1"/>
  <c r="I32" i="14"/>
  <c r="D108" i="13"/>
  <c r="D133" i="13" s="1"/>
  <c r="F108" i="13"/>
  <c r="D64" i="13"/>
  <c r="E108" i="12"/>
  <c r="E110" i="12"/>
  <c r="F110" i="12" s="1"/>
  <c r="G58" i="12"/>
  <c r="G64" i="12" s="1"/>
  <c r="I56" i="12"/>
  <c r="F58" i="12"/>
  <c r="H57" i="12"/>
  <c r="H110" i="12" s="1"/>
  <c r="H58" i="12"/>
  <c r="H64" i="12" s="1"/>
  <c r="E108" i="11"/>
  <c r="E131" i="11" s="1"/>
  <c r="E136" i="11" s="1"/>
  <c r="I82" i="11"/>
  <c r="G58" i="11"/>
  <c r="G64" i="11" s="1"/>
  <c r="I32" i="11"/>
  <c r="G39" i="18"/>
  <c r="S29" i="16"/>
  <c r="F46" i="15"/>
  <c r="F84" i="14"/>
  <c r="F94" i="14" s="1"/>
  <c r="D94" i="14"/>
  <c r="I82" i="14"/>
  <c r="F117" i="13"/>
  <c r="E57" i="13"/>
  <c r="E58" i="13"/>
  <c r="E64" i="13" s="1"/>
  <c r="F117" i="12"/>
  <c r="F126" i="12" s="1"/>
  <c r="F130" i="12" s="1"/>
  <c r="I32" i="12"/>
  <c r="I94" i="11"/>
  <c r="E59" i="3"/>
  <c r="C62" i="3"/>
  <c r="C71" i="3" s="1"/>
  <c r="D59" i="3"/>
  <c r="E22" i="18"/>
  <c r="E39" i="18" s="1"/>
  <c r="E57" i="14"/>
  <c r="E110" i="14" s="1"/>
  <c r="H131" i="13"/>
  <c r="H136" i="13" s="1"/>
  <c r="F57" i="13"/>
  <c r="F58" i="13"/>
  <c r="F64" i="13" s="1"/>
  <c r="H126" i="12"/>
  <c r="H130" i="12" s="1"/>
  <c r="H134" i="12" s="1"/>
  <c r="I117" i="11"/>
  <c r="I126" i="11" s="1"/>
  <c r="I130" i="11" s="1"/>
  <c r="I134" i="11" s="1"/>
  <c r="G108" i="11"/>
  <c r="G110" i="11"/>
  <c r="I100" i="11"/>
  <c r="H58" i="11"/>
  <c r="H64" i="11" s="1"/>
  <c r="H57" i="11"/>
  <c r="H110" i="11" s="1"/>
  <c r="I41" i="11"/>
  <c r="I57" i="11" s="1"/>
  <c r="E129" i="3"/>
  <c r="H58" i="15"/>
  <c r="E33" i="15"/>
  <c r="E109" i="15" s="1"/>
  <c r="I94" i="14"/>
  <c r="G110" i="14"/>
  <c r="G126" i="13"/>
  <c r="G130" i="13" s="1"/>
  <c r="G134" i="13" s="1"/>
  <c r="G126" i="12"/>
  <c r="G130" i="12" s="1"/>
  <c r="I117" i="12"/>
  <c r="I82" i="12"/>
  <c r="I63" i="12"/>
  <c r="F122" i="11"/>
  <c r="D109" i="11"/>
  <c r="F109" i="11" s="1"/>
  <c r="F16" i="11"/>
  <c r="F33" i="11" s="1"/>
  <c r="H131" i="3"/>
  <c r="D22" i="18"/>
  <c r="D39" i="18" s="1"/>
  <c r="G126" i="15"/>
  <c r="G130" i="15" s="1"/>
  <c r="G134" i="15" s="1"/>
  <c r="F107" i="15"/>
  <c r="G58" i="15"/>
  <c r="G64" i="15" s="1"/>
  <c r="H126" i="14"/>
  <c r="H130" i="14" s="1"/>
  <c r="H134" i="14" s="1"/>
  <c r="E33" i="14"/>
  <c r="I94" i="12"/>
  <c r="I108" i="12" s="1"/>
  <c r="F63" i="12"/>
  <c r="D58" i="12"/>
  <c r="D64" i="12" s="1"/>
  <c r="H109" i="11"/>
  <c r="I16" i="11"/>
  <c r="E126" i="15"/>
  <c r="E130" i="15" s="1"/>
  <c r="E134" i="15" s="1"/>
  <c r="I117" i="15"/>
  <c r="I126" i="15" s="1"/>
  <c r="I130" i="15" s="1"/>
  <c r="H109" i="15"/>
  <c r="H110" i="14"/>
  <c r="I74" i="14"/>
  <c r="I41" i="14"/>
  <c r="I57" i="14" s="1"/>
  <c r="D126" i="13"/>
  <c r="D130" i="13" s="1"/>
  <c r="D126" i="12"/>
  <c r="D130" i="12" s="1"/>
  <c r="I100" i="12"/>
  <c r="I46" i="12"/>
  <c r="E58" i="12"/>
  <c r="E64" i="12" s="1"/>
  <c r="I16" i="12"/>
  <c r="D110" i="11"/>
  <c r="F110" i="11" s="1"/>
  <c r="E58" i="11"/>
  <c r="E64" i="11" s="1"/>
  <c r="D58" i="11"/>
  <c r="D64" i="11" s="1"/>
  <c r="F41" i="11"/>
  <c r="E104" i="3"/>
  <c r="F142" i="3"/>
  <c r="E111" i="3"/>
  <c r="H108" i="3"/>
  <c r="E90" i="3"/>
  <c r="E143" i="3"/>
  <c r="C142" i="3"/>
  <c r="C149" i="3" s="1"/>
  <c r="H117" i="3"/>
  <c r="J117" i="3" s="1"/>
  <c r="E109" i="3"/>
  <c r="E133" i="10"/>
  <c r="E131" i="10"/>
  <c r="E136" i="10" s="1"/>
  <c r="G131" i="10"/>
  <c r="G134" i="10"/>
  <c r="D133" i="10"/>
  <c r="D131" i="10"/>
  <c r="D136" i="10" s="1"/>
  <c r="F108" i="10"/>
  <c r="I57" i="10"/>
  <c r="F57" i="10"/>
  <c r="F33" i="10"/>
  <c r="F130" i="9"/>
  <c r="F134" i="9" s="1"/>
  <c r="F108" i="9"/>
  <c r="E133" i="9"/>
  <c r="E131" i="9"/>
  <c r="E136" i="9" s="1"/>
  <c r="H152" i="3"/>
  <c r="G138" i="3"/>
  <c r="I113" i="8"/>
  <c r="I117" i="8" s="1"/>
  <c r="R131" i="8"/>
  <c r="J131" i="8"/>
  <c r="E110" i="10"/>
  <c r="G110" i="9"/>
  <c r="I110" i="9" s="1"/>
  <c r="D74" i="9"/>
  <c r="D108" i="9" s="1"/>
  <c r="G58" i="9"/>
  <c r="G64" i="9" s="1"/>
  <c r="E57" i="9"/>
  <c r="E110" i="9" s="1"/>
  <c r="F110" i="9" s="1"/>
  <c r="D33" i="9"/>
  <c r="C150" i="3"/>
  <c r="I125" i="8"/>
  <c r="AX131" i="8"/>
  <c r="AP131" i="8"/>
  <c r="AH131" i="8"/>
  <c r="Z131" i="8"/>
  <c r="C31" i="3"/>
  <c r="E31" i="3" s="1"/>
  <c r="F24" i="7"/>
  <c r="F26" i="7" s="1"/>
  <c r="D26" i="7"/>
  <c r="F33" i="9"/>
  <c r="D150" i="3"/>
  <c r="F127" i="8"/>
  <c r="D148" i="3"/>
  <c r="E148" i="3" s="1"/>
  <c r="F125" i="8"/>
  <c r="D110" i="10"/>
  <c r="H57" i="10"/>
  <c r="H110" i="10" s="1"/>
  <c r="I110" i="10" s="1"/>
  <c r="D152" i="3"/>
  <c r="E152" i="3" s="1"/>
  <c r="F129" i="8"/>
  <c r="G150" i="3"/>
  <c r="H130" i="8"/>
  <c r="D146" i="3"/>
  <c r="E146" i="3" s="1"/>
  <c r="F123" i="8"/>
  <c r="D139" i="3"/>
  <c r="E139" i="3" s="1"/>
  <c r="E117" i="8"/>
  <c r="E126" i="8" s="1"/>
  <c r="E130" i="8" s="1"/>
  <c r="N131" i="8"/>
  <c r="I56" i="9"/>
  <c r="I46" i="9"/>
  <c r="F41" i="9"/>
  <c r="F57" i="9" s="1"/>
  <c r="G109" i="9"/>
  <c r="I109" i="9" s="1"/>
  <c r="I32" i="9"/>
  <c r="I129" i="8"/>
  <c r="G126" i="8"/>
  <c r="G130" i="8" s="1"/>
  <c r="I123" i="8"/>
  <c r="G144" i="3"/>
  <c r="H144" i="3" s="1"/>
  <c r="I119" i="8"/>
  <c r="D126" i="8"/>
  <c r="D130" i="8" s="1"/>
  <c r="AT131" i="8"/>
  <c r="AL131" i="8"/>
  <c r="AD131" i="8"/>
  <c r="AY131" i="8"/>
  <c r="AU131" i="8"/>
  <c r="AQ131" i="8"/>
  <c r="AM131" i="8"/>
  <c r="AI131" i="8"/>
  <c r="AE131" i="8"/>
  <c r="AA131" i="8"/>
  <c r="W131" i="8"/>
  <c r="S131" i="8"/>
  <c r="O131" i="8"/>
  <c r="I128" i="8"/>
  <c r="E151" i="3"/>
  <c r="I124" i="8"/>
  <c r="E147" i="3"/>
  <c r="F119" i="8"/>
  <c r="H143" i="3"/>
  <c r="H139" i="3"/>
  <c r="J139" i="3" s="1"/>
  <c r="F113" i="8"/>
  <c r="F117" i="8" s="1"/>
  <c r="AR110" i="8"/>
  <c r="AB110" i="8"/>
  <c r="L110" i="8"/>
  <c r="H124" i="3"/>
  <c r="J124" i="3" s="1"/>
  <c r="F105" i="8"/>
  <c r="F107" i="8" s="1"/>
  <c r="F103" i="8"/>
  <c r="C125" i="3"/>
  <c r="F101" i="8"/>
  <c r="H100" i="8"/>
  <c r="D100" i="8"/>
  <c r="F99" i="8"/>
  <c r="H116" i="3"/>
  <c r="J116" i="3" s="1"/>
  <c r="F97" i="8"/>
  <c r="F95" i="8"/>
  <c r="D108" i="3"/>
  <c r="E108" i="3" s="1"/>
  <c r="F90" i="8"/>
  <c r="I83" i="8"/>
  <c r="F81" i="8"/>
  <c r="D95" i="3"/>
  <c r="F77" i="8"/>
  <c r="F82" i="8" s="1"/>
  <c r="F90" i="3"/>
  <c r="I72" i="8"/>
  <c r="I71" i="8"/>
  <c r="F62" i="8"/>
  <c r="BA58" i="8"/>
  <c r="BA64" i="8" s="1"/>
  <c r="AS58" i="8"/>
  <c r="AS64" i="8" s="1"/>
  <c r="AK58" i="8"/>
  <c r="AK64" i="8" s="1"/>
  <c r="AC58" i="8"/>
  <c r="AC64" i="8" s="1"/>
  <c r="U58" i="8"/>
  <c r="U64" i="8" s="1"/>
  <c r="M58" i="8"/>
  <c r="M64" i="8" s="1"/>
  <c r="E56" i="8"/>
  <c r="H46" i="8"/>
  <c r="F45" i="3"/>
  <c r="I45" i="8"/>
  <c r="I44" i="8"/>
  <c r="C44" i="3"/>
  <c r="E44" i="3" s="1"/>
  <c r="F44" i="8"/>
  <c r="G34" i="3"/>
  <c r="G41" i="3" s="1"/>
  <c r="F15" i="2" s="1"/>
  <c r="H41" i="8"/>
  <c r="AS33" i="8"/>
  <c r="AS109" i="8" s="1"/>
  <c r="AO33" i="8"/>
  <c r="AO109" i="8" s="1"/>
  <c r="AK33" i="8"/>
  <c r="AK109" i="8" s="1"/>
  <c r="AG33" i="8"/>
  <c r="AG109" i="8" s="1"/>
  <c r="H32" i="8"/>
  <c r="F30" i="8"/>
  <c r="F27" i="8"/>
  <c r="F26" i="3"/>
  <c r="H26" i="3" s="1"/>
  <c r="J26" i="3" s="1"/>
  <c r="I26" i="8"/>
  <c r="C24" i="3"/>
  <c r="E24" i="3" s="1"/>
  <c r="F24" i="8"/>
  <c r="F23" i="8"/>
  <c r="F22" i="3"/>
  <c r="H22" i="3" s="1"/>
  <c r="I22" i="8"/>
  <c r="C20" i="3"/>
  <c r="E20" i="3" s="1"/>
  <c r="F20" i="8"/>
  <c r="F17" i="3"/>
  <c r="I17" i="8"/>
  <c r="H16" i="8"/>
  <c r="AD16" i="8"/>
  <c r="AD33" i="8" s="1"/>
  <c r="AD109" i="8" s="1"/>
  <c r="D13" i="8"/>
  <c r="J16" i="8"/>
  <c r="I12" i="8"/>
  <c r="C12" i="3"/>
  <c r="E12" i="3" s="1"/>
  <c r="F12" i="8"/>
  <c r="F7" i="3"/>
  <c r="I7" i="8"/>
  <c r="F23" i="7"/>
  <c r="D60" i="6"/>
  <c r="C42" i="3" s="1"/>
  <c r="E80" i="3"/>
  <c r="H151" i="3"/>
  <c r="H147" i="3"/>
  <c r="E144" i="3"/>
  <c r="E138" i="3"/>
  <c r="AY110" i="8"/>
  <c r="AQ110" i="8"/>
  <c r="AM110" i="8"/>
  <c r="AE110" i="8"/>
  <c r="AA110" i="8"/>
  <c r="W110" i="8"/>
  <c r="S110" i="8"/>
  <c r="O110" i="8"/>
  <c r="K110" i="8"/>
  <c r="E107" i="8"/>
  <c r="I105" i="8"/>
  <c r="E123" i="3"/>
  <c r="I103" i="8"/>
  <c r="E121" i="3"/>
  <c r="I101" i="8"/>
  <c r="C26" i="2"/>
  <c r="E119" i="3"/>
  <c r="G100" i="8"/>
  <c r="I99" i="8"/>
  <c r="E117" i="3"/>
  <c r="I97" i="8"/>
  <c r="E115" i="3"/>
  <c r="I95" i="8"/>
  <c r="F109" i="3"/>
  <c r="H109" i="3" s="1"/>
  <c r="J109" i="3" s="1"/>
  <c r="I91" i="8"/>
  <c r="I90" i="8"/>
  <c r="F105" i="3"/>
  <c r="H105" i="3" s="1"/>
  <c r="J105" i="3" s="1"/>
  <c r="I87" i="8"/>
  <c r="F86" i="8"/>
  <c r="F102" i="3"/>
  <c r="H102" i="3" s="1"/>
  <c r="J102" i="3" s="1"/>
  <c r="I84" i="8"/>
  <c r="G94" i="8"/>
  <c r="H101" i="3"/>
  <c r="J101" i="3" s="1"/>
  <c r="F96" i="3"/>
  <c r="H96" i="3" s="1"/>
  <c r="I78" i="8"/>
  <c r="I77" i="8"/>
  <c r="C95" i="3"/>
  <c r="D82" i="8"/>
  <c r="D91" i="3"/>
  <c r="F73" i="8"/>
  <c r="D87" i="3"/>
  <c r="E87" i="3" s="1"/>
  <c r="F69" i="8"/>
  <c r="D72" i="3"/>
  <c r="E63" i="8"/>
  <c r="AZ58" i="8"/>
  <c r="AZ64" i="8" s="1"/>
  <c r="AR58" i="8"/>
  <c r="AR64" i="8" s="1"/>
  <c r="AB58" i="8"/>
  <c r="AB64" i="8" s="1"/>
  <c r="T58" i="8"/>
  <c r="T64" i="8" s="1"/>
  <c r="L58" i="8"/>
  <c r="L64" i="8" s="1"/>
  <c r="AL57" i="8"/>
  <c r="AL110" i="8" s="1"/>
  <c r="V57" i="8"/>
  <c r="V110" i="8" s="1"/>
  <c r="N57" i="8"/>
  <c r="N110" i="8" s="1"/>
  <c r="F53" i="3"/>
  <c r="H53" i="3" s="1"/>
  <c r="I53" i="8"/>
  <c r="I52" i="8"/>
  <c r="C52" i="3"/>
  <c r="E52" i="3" s="1"/>
  <c r="F52" i="8"/>
  <c r="F49" i="3"/>
  <c r="H49" i="3" s="1"/>
  <c r="I49" i="8"/>
  <c r="I48" i="8"/>
  <c r="C48" i="3"/>
  <c r="E48" i="3" s="1"/>
  <c r="F48" i="8"/>
  <c r="E46" i="8"/>
  <c r="D46" i="3"/>
  <c r="C16" i="2" s="1"/>
  <c r="I40" i="8"/>
  <c r="F40" i="8"/>
  <c r="F37" i="3"/>
  <c r="H37" i="3" s="1"/>
  <c r="J37" i="3" s="1"/>
  <c r="I37" i="8"/>
  <c r="I36" i="8"/>
  <c r="C36" i="3"/>
  <c r="F36" i="8"/>
  <c r="AJ32" i="8"/>
  <c r="AJ33" i="8" s="1"/>
  <c r="AJ109" i="8" s="1"/>
  <c r="AF33" i="8"/>
  <c r="AF109" i="8" s="1"/>
  <c r="AB33" i="8"/>
  <c r="AB109" i="8" s="1"/>
  <c r="L33" i="8"/>
  <c r="L109" i="8" s="1"/>
  <c r="E32" i="8"/>
  <c r="D19" i="8"/>
  <c r="J32" i="8"/>
  <c r="J33" i="8" s="1"/>
  <c r="J109" i="8" s="1"/>
  <c r="D32" i="3"/>
  <c r="I15" i="8"/>
  <c r="D15" i="8"/>
  <c r="F8" i="8"/>
  <c r="E26" i="7"/>
  <c r="D11" i="6"/>
  <c r="C34" i="3" s="1"/>
  <c r="J11" i="6"/>
  <c r="J13" i="6" s="1"/>
  <c r="F26" i="2"/>
  <c r="H119" i="3"/>
  <c r="J119" i="3" s="1"/>
  <c r="B26" i="2"/>
  <c r="D26" i="2" s="1"/>
  <c r="D110" i="3"/>
  <c r="E110" i="3" s="1"/>
  <c r="F92" i="8"/>
  <c r="D106" i="3"/>
  <c r="E106" i="3" s="1"/>
  <c r="F88" i="8"/>
  <c r="C103" i="3"/>
  <c r="E103" i="3" s="1"/>
  <c r="F85" i="8"/>
  <c r="D93" i="3"/>
  <c r="F75" i="8"/>
  <c r="C91" i="3"/>
  <c r="D74" i="8"/>
  <c r="F88" i="3"/>
  <c r="H88" i="3" s="1"/>
  <c r="I70" i="8"/>
  <c r="I74" i="8" s="1"/>
  <c r="F73" i="3"/>
  <c r="I61" i="8"/>
  <c r="I63" i="8" s="1"/>
  <c r="C72" i="3"/>
  <c r="E72" i="3" s="1"/>
  <c r="F60" i="8"/>
  <c r="F63" i="8" s="1"/>
  <c r="D63" i="8"/>
  <c r="F43" i="3"/>
  <c r="I43" i="8"/>
  <c r="G46" i="8"/>
  <c r="F42" i="8"/>
  <c r="F46" i="8" s="1"/>
  <c r="D34" i="3"/>
  <c r="E41" i="8"/>
  <c r="C26" i="3"/>
  <c r="E26" i="3" s="1"/>
  <c r="F26" i="8"/>
  <c r="F24" i="3"/>
  <c r="H24" i="3" s="1"/>
  <c r="J24" i="3" s="1"/>
  <c r="I24" i="8"/>
  <c r="C22" i="3"/>
  <c r="E22" i="3" s="1"/>
  <c r="F22" i="8"/>
  <c r="F20" i="3"/>
  <c r="H20" i="3" s="1"/>
  <c r="I20" i="8"/>
  <c r="C18" i="3"/>
  <c r="F18" i="8"/>
  <c r="F13" i="3"/>
  <c r="H13" i="3" s="1"/>
  <c r="J13" i="3" s="1"/>
  <c r="I13" i="8"/>
  <c r="F11" i="3"/>
  <c r="I11" i="8"/>
  <c r="G16" i="8"/>
  <c r="C10" i="3"/>
  <c r="F10" i="8"/>
  <c r="D8" i="3"/>
  <c r="E8" i="3" s="1"/>
  <c r="E9" i="8"/>
  <c r="C7" i="3"/>
  <c r="D9" i="8"/>
  <c r="F7" i="8"/>
  <c r="F9" i="8" s="1"/>
  <c r="G31" i="3"/>
  <c r="H26" i="7"/>
  <c r="F20" i="7"/>
  <c r="H80" i="3"/>
  <c r="F86" i="3"/>
  <c r="D125" i="3"/>
  <c r="E120" i="3"/>
  <c r="E26" i="2"/>
  <c r="H94" i="8"/>
  <c r="F111" i="3"/>
  <c r="H111" i="3" s="1"/>
  <c r="J111" i="3" s="1"/>
  <c r="I93" i="8"/>
  <c r="F107" i="3"/>
  <c r="H107" i="3" s="1"/>
  <c r="I89" i="8"/>
  <c r="G103" i="3"/>
  <c r="H103" i="3" s="1"/>
  <c r="J103" i="3" s="1"/>
  <c r="I85" i="8"/>
  <c r="D84" i="8"/>
  <c r="V94" i="8"/>
  <c r="D101" i="3"/>
  <c r="F83" i="8"/>
  <c r="F94" i="3"/>
  <c r="H94" i="3" s="1"/>
  <c r="I76" i="8"/>
  <c r="E74" i="8"/>
  <c r="G91" i="3"/>
  <c r="H74" i="8"/>
  <c r="D89" i="3"/>
  <c r="E89" i="3" s="1"/>
  <c r="F71" i="8"/>
  <c r="G72" i="3"/>
  <c r="H63" i="8"/>
  <c r="H56" i="8"/>
  <c r="F55" i="3"/>
  <c r="H55" i="3" s="1"/>
  <c r="I55" i="8"/>
  <c r="F54" i="8"/>
  <c r="F51" i="3"/>
  <c r="H51" i="3" s="1"/>
  <c r="I51" i="8"/>
  <c r="C50" i="3"/>
  <c r="E50" i="3" s="1"/>
  <c r="F50" i="8"/>
  <c r="F47" i="3"/>
  <c r="I47" i="8"/>
  <c r="G56" i="8"/>
  <c r="F39" i="3"/>
  <c r="H39" i="3" s="1"/>
  <c r="J39" i="3" s="1"/>
  <c r="I39" i="8"/>
  <c r="C38" i="3"/>
  <c r="E38" i="3" s="1"/>
  <c r="F38" i="8"/>
  <c r="F35" i="3"/>
  <c r="H35" i="3" s="1"/>
  <c r="J35" i="3" s="1"/>
  <c r="I35" i="8"/>
  <c r="F34" i="8"/>
  <c r="D41" i="8"/>
  <c r="D57" i="8" s="1"/>
  <c r="F29" i="8"/>
  <c r="F19" i="3"/>
  <c r="H19" i="3" s="1"/>
  <c r="J19" i="3" s="1"/>
  <c r="I19" i="8"/>
  <c r="G32" i="8"/>
  <c r="G32" i="3"/>
  <c r="F14" i="3"/>
  <c r="H14" i="3" s="1"/>
  <c r="J14" i="3" s="1"/>
  <c r="I14" i="8"/>
  <c r="AT16" i="8"/>
  <c r="AT33" i="8" s="1"/>
  <c r="AT109" i="8" s="1"/>
  <c r="E13" i="8"/>
  <c r="D13" i="3" s="1"/>
  <c r="D16" i="3" s="1"/>
  <c r="C12" i="2" s="1"/>
  <c r="G7" i="3"/>
  <c r="G9" i="3" s="1"/>
  <c r="F10" i="2" s="1"/>
  <c r="H9" i="8"/>
  <c r="F31" i="3"/>
  <c r="H31" i="3" s="1"/>
  <c r="J31" i="3" s="1"/>
  <c r="I24" i="7"/>
  <c r="I26" i="7" s="1"/>
  <c r="G26" i="7"/>
  <c r="I20" i="7"/>
  <c r="D42" i="6"/>
  <c r="C85" i="3"/>
  <c r="E85" i="3" s="1"/>
  <c r="D74" i="4"/>
  <c r="C82" i="3" s="1"/>
  <c r="E82" i="3" s="1"/>
  <c r="D58" i="4"/>
  <c r="C81" i="3" s="1"/>
  <c r="E81" i="3" s="1"/>
  <c r="E94" i="3"/>
  <c r="F93" i="3"/>
  <c r="E22" i="2" s="1"/>
  <c r="H52" i="3"/>
  <c r="H50" i="3"/>
  <c r="H48" i="3"/>
  <c r="D56" i="3"/>
  <c r="F44" i="3"/>
  <c r="H44" i="3" s="1"/>
  <c r="J44" i="3" s="1"/>
  <c r="F42" i="3"/>
  <c r="F40" i="3"/>
  <c r="H40" i="3" s="1"/>
  <c r="J40" i="3" s="1"/>
  <c r="D39" i="3"/>
  <c r="E39" i="3" s="1"/>
  <c r="F38" i="3"/>
  <c r="H38" i="3" s="1"/>
  <c r="J38" i="3" s="1"/>
  <c r="D37" i="3"/>
  <c r="F36" i="3"/>
  <c r="H36" i="3" s="1"/>
  <c r="J36" i="3" s="1"/>
  <c r="D35" i="3"/>
  <c r="F34" i="3"/>
  <c r="E27" i="3"/>
  <c r="E25" i="3"/>
  <c r="E23" i="3"/>
  <c r="E21" i="3"/>
  <c r="H18" i="3"/>
  <c r="H15" i="3"/>
  <c r="J15" i="3" s="1"/>
  <c r="H12" i="3"/>
  <c r="J12" i="3" s="1"/>
  <c r="E11" i="2"/>
  <c r="G11" i="2" s="1"/>
  <c r="H10" i="3"/>
  <c r="J10" i="3" s="1"/>
  <c r="E30" i="3"/>
  <c r="H113" i="3"/>
  <c r="C113" i="3"/>
  <c r="C118" i="3" s="1"/>
  <c r="B25" i="2" s="1"/>
  <c r="G100" i="3"/>
  <c r="F23" i="2" s="1"/>
  <c r="C100" i="3"/>
  <c r="B23" i="2" s="1"/>
  <c r="G75" i="3"/>
  <c r="F19" i="2" s="1"/>
  <c r="E73" i="3"/>
  <c r="E55" i="3"/>
  <c r="E53" i="3"/>
  <c r="E51" i="3"/>
  <c r="E49" i="3"/>
  <c r="G56" i="3"/>
  <c r="E47" i="3"/>
  <c r="G45" i="3"/>
  <c r="G43" i="3"/>
  <c r="E43" i="3"/>
  <c r="C37" i="3"/>
  <c r="C35" i="3"/>
  <c r="H29" i="3"/>
  <c r="J29" i="3" s="1"/>
  <c r="H27" i="3"/>
  <c r="J27" i="3" s="1"/>
  <c r="H25" i="3"/>
  <c r="J25" i="3" s="1"/>
  <c r="H23" i="3"/>
  <c r="J23" i="3" s="1"/>
  <c r="H21" i="3"/>
  <c r="B13" i="2"/>
  <c r="D13" i="2" s="1"/>
  <c r="E17" i="3"/>
  <c r="E14" i="3"/>
  <c r="G16" i="3"/>
  <c r="F12" i="2" s="1"/>
  <c r="C11" i="3"/>
  <c r="H8" i="3"/>
  <c r="J8" i="3" s="1"/>
  <c r="H30" i="3"/>
  <c r="J30" i="3" s="1"/>
  <c r="D67" i="6"/>
  <c r="D82" i="6" s="1"/>
  <c r="E62" i="3"/>
  <c r="E71" i="3" s="1"/>
  <c r="H65" i="3"/>
  <c r="F71" i="3"/>
  <c r="E137" i="3"/>
  <c r="E130" i="3"/>
  <c r="D132" i="3"/>
  <c r="H137" i="3"/>
  <c r="H60" i="3"/>
  <c r="E131" i="3"/>
  <c r="H129" i="3"/>
  <c r="H132" i="3" s="1"/>
  <c r="G132" i="3"/>
  <c r="F132" i="3"/>
  <c r="D62" i="3"/>
  <c r="D71" i="3" s="1"/>
  <c r="D75" i="3" s="1"/>
  <c r="C19" i="2" s="1"/>
  <c r="I126" i="12"/>
  <c r="I130" i="12" s="1"/>
  <c r="I134" i="12" s="1"/>
  <c r="F108" i="15"/>
  <c r="F82" i="15"/>
  <c r="E58" i="15"/>
  <c r="E64" i="15" s="1"/>
  <c r="G109" i="13"/>
  <c r="I109" i="13" s="1"/>
  <c r="G108" i="13"/>
  <c r="I94" i="13"/>
  <c r="F22" i="18"/>
  <c r="F39" i="18" s="1"/>
  <c r="O34" i="16"/>
  <c r="K34" i="16"/>
  <c r="G34" i="16"/>
  <c r="C34" i="16"/>
  <c r="H108" i="15"/>
  <c r="H110" i="15"/>
  <c r="G109" i="15"/>
  <c r="I109" i="15" s="1"/>
  <c r="G108" i="15"/>
  <c r="I117" i="13"/>
  <c r="I126" i="13" s="1"/>
  <c r="I130" i="13" s="1"/>
  <c r="I134" i="13" s="1"/>
  <c r="G58" i="13"/>
  <c r="G64" i="13" s="1"/>
  <c r="G57" i="13"/>
  <c r="G110" i="13" s="1"/>
  <c r="I110" i="13" s="1"/>
  <c r="I41" i="13"/>
  <c r="T33" i="16"/>
  <c r="I63" i="13"/>
  <c r="S24" i="16"/>
  <c r="S34" i="16" s="1"/>
  <c r="T12" i="16"/>
  <c r="I100" i="15"/>
  <c r="I82" i="15"/>
  <c r="F41" i="15"/>
  <c r="F13" i="15"/>
  <c r="F16" i="15" s="1"/>
  <c r="F33" i="15" s="1"/>
  <c r="D16" i="15"/>
  <c r="D33" i="15" s="1"/>
  <c r="I16" i="15"/>
  <c r="I33" i="15" s="1"/>
  <c r="I100" i="13"/>
  <c r="I57" i="13"/>
  <c r="G134" i="11"/>
  <c r="G131" i="11"/>
  <c r="D133" i="11"/>
  <c r="D126" i="15"/>
  <c r="D130" i="15" s="1"/>
  <c r="D134" i="15" s="1"/>
  <c r="F117" i="15"/>
  <c r="E108" i="15"/>
  <c r="E110" i="15"/>
  <c r="F110" i="15" s="1"/>
  <c r="F84" i="15"/>
  <c r="F94" i="15" s="1"/>
  <c r="D94" i="15"/>
  <c r="I63" i="15"/>
  <c r="G57" i="15"/>
  <c r="G110" i="15" s="1"/>
  <c r="H64" i="15"/>
  <c r="I41" i="15"/>
  <c r="F100" i="14"/>
  <c r="F9" i="14"/>
  <c r="E110" i="13"/>
  <c r="F110" i="13" s="1"/>
  <c r="E108" i="13"/>
  <c r="G110" i="12"/>
  <c r="I110" i="12" s="1"/>
  <c r="H131" i="11"/>
  <c r="T29" i="16"/>
  <c r="F122" i="15"/>
  <c r="D108" i="15"/>
  <c r="D110" i="15"/>
  <c r="I94" i="15"/>
  <c r="F108" i="14"/>
  <c r="H133" i="14"/>
  <c r="H131" i="14"/>
  <c r="H136" i="14" s="1"/>
  <c r="I82" i="13"/>
  <c r="F126" i="14"/>
  <c r="F130" i="14" s="1"/>
  <c r="F134" i="14" s="1"/>
  <c r="I108" i="14"/>
  <c r="G109" i="14"/>
  <c r="I109" i="14" s="1"/>
  <c r="G108" i="14"/>
  <c r="D131" i="13"/>
  <c r="D136" i="13" s="1"/>
  <c r="D134" i="13"/>
  <c r="F126" i="11"/>
  <c r="F130" i="11" s="1"/>
  <c r="F134" i="11" s="1"/>
  <c r="E58" i="14"/>
  <c r="E64" i="14" s="1"/>
  <c r="F8" i="14"/>
  <c r="D9" i="14"/>
  <c r="D131" i="12"/>
  <c r="D136" i="12" s="1"/>
  <c r="D134" i="12"/>
  <c r="D126" i="14"/>
  <c r="D130" i="14" s="1"/>
  <c r="D134" i="14" s="1"/>
  <c r="E108" i="14"/>
  <c r="E109" i="14"/>
  <c r="I58" i="14"/>
  <c r="I64" i="14" s="1"/>
  <c r="D16" i="14"/>
  <c r="F12" i="14"/>
  <c r="F16" i="14" s="1"/>
  <c r="F122" i="13"/>
  <c r="F126" i="13" s="1"/>
  <c r="F130" i="13" s="1"/>
  <c r="D126" i="11"/>
  <c r="D130" i="11" s="1"/>
  <c r="D134" i="11" s="1"/>
  <c r="H134" i="13"/>
  <c r="D118" i="3" l="1"/>
  <c r="C25" i="2" s="1"/>
  <c r="D25" i="2" s="1"/>
  <c r="H86" i="3"/>
  <c r="J86" i="3" s="1"/>
  <c r="J80" i="3"/>
  <c r="G64" i="10"/>
  <c r="G136" i="10" s="1"/>
  <c r="I58" i="13"/>
  <c r="I33" i="13"/>
  <c r="H114" i="3"/>
  <c r="J114" i="3" s="1"/>
  <c r="I9" i="8"/>
  <c r="D83" i="6"/>
  <c r="I41" i="8"/>
  <c r="E37" i="3"/>
  <c r="G131" i="12"/>
  <c r="G136" i="12" s="1"/>
  <c r="I58" i="12"/>
  <c r="I64" i="12" s="1"/>
  <c r="G131" i="9"/>
  <c r="G136" i="9" s="1"/>
  <c r="G136" i="11"/>
  <c r="G133" i="11"/>
  <c r="F118" i="3"/>
  <c r="E25" i="2" s="1"/>
  <c r="D142" i="3"/>
  <c r="D149" i="3" s="1"/>
  <c r="D153" i="3" s="1"/>
  <c r="J113" i="3"/>
  <c r="F41" i="8"/>
  <c r="I154" i="3"/>
  <c r="I58" i="15"/>
  <c r="I64" i="15" s="1"/>
  <c r="I33" i="14"/>
  <c r="G134" i="12"/>
  <c r="I108" i="11"/>
  <c r="I33" i="11"/>
  <c r="I109" i="10"/>
  <c r="F149" i="3"/>
  <c r="F153" i="3" s="1"/>
  <c r="E29" i="2" s="1"/>
  <c r="I108" i="9"/>
  <c r="I131" i="9" s="1"/>
  <c r="I33" i="9"/>
  <c r="H122" i="3"/>
  <c r="H136" i="10"/>
  <c r="I131" i="11"/>
  <c r="I58" i="11"/>
  <c r="I64" i="11" s="1"/>
  <c r="H133" i="11"/>
  <c r="H136" i="11"/>
  <c r="I109" i="11"/>
  <c r="H136" i="12"/>
  <c r="I110" i="14"/>
  <c r="I134" i="15"/>
  <c r="F134" i="12"/>
  <c r="F131" i="12"/>
  <c r="F136" i="12" s="1"/>
  <c r="E43" i="6"/>
  <c r="E84" i="6" s="1"/>
  <c r="D40" i="3"/>
  <c r="D41" i="3" s="1"/>
  <c r="C15" i="2" s="1"/>
  <c r="F33" i="14"/>
  <c r="I108" i="13"/>
  <c r="I131" i="13" s="1"/>
  <c r="D131" i="14"/>
  <c r="D109" i="15"/>
  <c r="F109" i="15" s="1"/>
  <c r="I46" i="8"/>
  <c r="F56" i="8"/>
  <c r="AJ58" i="8"/>
  <c r="AJ64" i="8" s="1"/>
  <c r="I107" i="8"/>
  <c r="F58" i="9"/>
  <c r="F64" i="9" s="1"/>
  <c r="F64" i="12"/>
  <c r="G133" i="12"/>
  <c r="F133" i="12"/>
  <c r="I58" i="10"/>
  <c r="I64" i="10" s="1"/>
  <c r="I108" i="15"/>
  <c r="I131" i="15" s="1"/>
  <c r="F126" i="15"/>
  <c r="F130" i="15" s="1"/>
  <c r="F134" i="15" s="1"/>
  <c r="F58" i="15"/>
  <c r="F64" i="15" s="1"/>
  <c r="I57" i="15"/>
  <c r="D43" i="6"/>
  <c r="G33" i="8"/>
  <c r="G109" i="8" s="1"/>
  <c r="E36" i="3"/>
  <c r="I100" i="8"/>
  <c r="F92" i="3"/>
  <c r="E21" i="2" s="1"/>
  <c r="D109" i="9"/>
  <c r="F109" i="9" s="1"/>
  <c r="H133" i="10"/>
  <c r="F58" i="11"/>
  <c r="F110" i="14"/>
  <c r="I33" i="12"/>
  <c r="F133" i="13"/>
  <c r="H133" i="12"/>
  <c r="G22" i="2"/>
  <c r="I110" i="11"/>
  <c r="E133" i="11"/>
  <c r="E131" i="12"/>
  <c r="E136" i="12" s="1"/>
  <c r="E133" i="12"/>
  <c r="D133" i="12"/>
  <c r="D9" i="3"/>
  <c r="C10" i="2" s="1"/>
  <c r="E35" i="3"/>
  <c r="F100" i="3"/>
  <c r="E23" i="2" s="1"/>
  <c r="G23" i="2" s="1"/>
  <c r="F112" i="3"/>
  <c r="E24" i="2" s="1"/>
  <c r="E95" i="3"/>
  <c r="H90" i="3"/>
  <c r="F32" i="3"/>
  <c r="E14" i="2" s="1"/>
  <c r="C153" i="3"/>
  <c r="B29" i="2" s="1"/>
  <c r="F57" i="8"/>
  <c r="E34" i="3"/>
  <c r="D110" i="8"/>
  <c r="D131" i="15"/>
  <c r="F131" i="15"/>
  <c r="F136" i="15" s="1"/>
  <c r="F133" i="15"/>
  <c r="E75" i="3"/>
  <c r="H47" i="3"/>
  <c r="F56" i="3"/>
  <c r="H57" i="8"/>
  <c r="H110" i="8" s="1"/>
  <c r="H58" i="8"/>
  <c r="H64" i="8" s="1"/>
  <c r="C15" i="3"/>
  <c r="E15" i="3" s="1"/>
  <c r="F15" i="8"/>
  <c r="E142" i="3"/>
  <c r="C86" i="3"/>
  <c r="C92" i="3" s="1"/>
  <c r="B21" i="2" s="1"/>
  <c r="F27" i="2"/>
  <c r="G108" i="8"/>
  <c r="G131" i="8" s="1"/>
  <c r="H108" i="8"/>
  <c r="H131" i="8" s="1"/>
  <c r="I126" i="8"/>
  <c r="I130" i="8" s="1"/>
  <c r="F131" i="10"/>
  <c r="F136" i="10" s="1"/>
  <c r="F133" i="10"/>
  <c r="E133" i="14"/>
  <c r="E131" i="14"/>
  <c r="E136" i="14" s="1"/>
  <c r="I131" i="12"/>
  <c r="F131" i="14"/>
  <c r="F57" i="15"/>
  <c r="E131" i="13"/>
  <c r="E136" i="13" s="1"/>
  <c r="E133" i="13"/>
  <c r="E131" i="15"/>
  <c r="E136" i="15" s="1"/>
  <c r="E133" i="15"/>
  <c r="D58" i="15"/>
  <c r="D64" i="15" s="1"/>
  <c r="I110" i="15"/>
  <c r="C56" i="3"/>
  <c r="C75" i="3"/>
  <c r="B19" i="2" s="1"/>
  <c r="H32" i="3"/>
  <c r="J32" i="3" s="1"/>
  <c r="F46" i="3"/>
  <c r="E16" i="2" s="1"/>
  <c r="H42" i="3"/>
  <c r="J42" i="3" s="1"/>
  <c r="D89" i="4"/>
  <c r="I32" i="8"/>
  <c r="G46" i="3"/>
  <c r="F16" i="2" s="1"/>
  <c r="I82" i="8"/>
  <c r="V108" i="8"/>
  <c r="V131" i="8" s="1"/>
  <c r="V109" i="8"/>
  <c r="G26" i="2"/>
  <c r="H43" i="3"/>
  <c r="C22" i="2"/>
  <c r="D22" i="2" s="1"/>
  <c r="E93" i="3"/>
  <c r="C19" i="3"/>
  <c r="E19" i="3" s="1"/>
  <c r="D32" i="8"/>
  <c r="F19" i="8"/>
  <c r="C40" i="3"/>
  <c r="E27" i="2"/>
  <c r="E86" i="3"/>
  <c r="H93" i="3"/>
  <c r="J93" i="3" s="1"/>
  <c r="I58" i="9"/>
  <c r="I57" i="9"/>
  <c r="E150" i="3"/>
  <c r="D133" i="9"/>
  <c r="D131" i="9"/>
  <c r="D136" i="9" s="1"/>
  <c r="G142" i="3"/>
  <c r="G149" i="3" s="1"/>
  <c r="G153" i="3" s="1"/>
  <c r="H138" i="3"/>
  <c r="F131" i="13"/>
  <c r="F136" i="13" s="1"/>
  <c r="F134" i="13"/>
  <c r="F131" i="11"/>
  <c r="E11" i="3"/>
  <c r="E101" i="3"/>
  <c r="D112" i="3"/>
  <c r="B11" i="2"/>
  <c r="D11" i="2" s="1"/>
  <c r="E10" i="3"/>
  <c r="AT58" i="8"/>
  <c r="AT64" i="8" s="1"/>
  <c r="D92" i="3"/>
  <c r="C21" i="2" s="1"/>
  <c r="E91" i="3"/>
  <c r="I131" i="14"/>
  <c r="I136" i="14" s="1"/>
  <c r="I133" i="14"/>
  <c r="H133" i="15"/>
  <c r="H131" i="15"/>
  <c r="H136" i="15" s="1"/>
  <c r="E132" i="3"/>
  <c r="E56" i="3"/>
  <c r="H34" i="3"/>
  <c r="F41" i="3"/>
  <c r="E15" i="2" s="1"/>
  <c r="G15" i="2" s="1"/>
  <c r="G58" i="8"/>
  <c r="G64" i="8" s="1"/>
  <c r="G57" i="8"/>
  <c r="G110" i="8" s="1"/>
  <c r="G92" i="3"/>
  <c r="F21" i="2" s="1"/>
  <c r="H91" i="3"/>
  <c r="C102" i="3"/>
  <c r="F84" i="8"/>
  <c r="F94" i="8" s="1"/>
  <c r="D94" i="8"/>
  <c r="G25" i="2"/>
  <c r="E125" i="3"/>
  <c r="I16" i="8"/>
  <c r="F32" i="8"/>
  <c r="J58" i="8"/>
  <c r="J64" i="8" s="1"/>
  <c r="E42" i="3"/>
  <c r="H73" i="3"/>
  <c r="F75" i="3"/>
  <c r="E19" i="2" s="1"/>
  <c r="E16" i="8"/>
  <c r="E58" i="8" s="1"/>
  <c r="E64" i="8" s="1"/>
  <c r="E33" i="8"/>
  <c r="E109" i="8" s="1"/>
  <c r="G112" i="3"/>
  <c r="G126" i="3" s="1"/>
  <c r="E113" i="3"/>
  <c r="E108" i="8"/>
  <c r="E131" i="8" s="1"/>
  <c r="F9" i="3"/>
  <c r="E10" i="2" s="1"/>
  <c r="H7" i="3"/>
  <c r="E57" i="8"/>
  <c r="E110" i="8" s="1"/>
  <c r="F110" i="8" s="1"/>
  <c r="F100" i="8"/>
  <c r="B27" i="2"/>
  <c r="F126" i="8"/>
  <c r="F130" i="8" s="1"/>
  <c r="F133" i="9"/>
  <c r="F131" i="9"/>
  <c r="F136" i="9" s="1"/>
  <c r="G133" i="14"/>
  <c r="G131" i="14"/>
  <c r="G136" i="14" s="1"/>
  <c r="G131" i="13"/>
  <c r="G136" i="13" s="1"/>
  <c r="G133" i="13"/>
  <c r="E100" i="3"/>
  <c r="E7" i="3"/>
  <c r="C9" i="3"/>
  <c r="B10" i="2" s="1"/>
  <c r="D58" i="14"/>
  <c r="D33" i="14"/>
  <c r="D109" i="14" s="1"/>
  <c r="F109" i="14" s="1"/>
  <c r="F58" i="14"/>
  <c r="F64" i="14" s="1"/>
  <c r="D131" i="11"/>
  <c r="D136" i="11" s="1"/>
  <c r="T34" i="16"/>
  <c r="G133" i="15"/>
  <c r="G131" i="15"/>
  <c r="G136" i="15" s="1"/>
  <c r="H71" i="3"/>
  <c r="H62" i="3"/>
  <c r="C45" i="3"/>
  <c r="E45" i="3" s="1"/>
  <c r="F17" i="2"/>
  <c r="H100" i="3"/>
  <c r="C17" i="2"/>
  <c r="H72" i="3"/>
  <c r="D100" i="3"/>
  <c r="C23" i="2" s="1"/>
  <c r="D23" i="2" s="1"/>
  <c r="F14" i="2"/>
  <c r="G33" i="3"/>
  <c r="I56" i="8"/>
  <c r="C27" i="2"/>
  <c r="F16" i="3"/>
  <c r="E12" i="2" s="1"/>
  <c r="G12" i="2" s="1"/>
  <c r="H11" i="3"/>
  <c r="E18" i="3"/>
  <c r="C32" i="3"/>
  <c r="AD58" i="8"/>
  <c r="AD64" i="8" s="1"/>
  <c r="C14" i="2"/>
  <c r="D33" i="3"/>
  <c r="F74" i="8"/>
  <c r="H112" i="3"/>
  <c r="J112" i="3" s="1"/>
  <c r="C13" i="3"/>
  <c r="E13" i="3" s="1"/>
  <c r="F13" i="8"/>
  <c r="F16" i="8" s="1"/>
  <c r="D16" i="8"/>
  <c r="E13" i="2"/>
  <c r="G13" i="2" s="1"/>
  <c r="H17" i="3"/>
  <c r="H33" i="8"/>
  <c r="H109" i="8" s="1"/>
  <c r="H45" i="3"/>
  <c r="J45" i="3" s="1"/>
  <c r="I94" i="8"/>
  <c r="I108" i="8" s="1"/>
  <c r="H125" i="3"/>
  <c r="J125" i="3" s="1"/>
  <c r="H150" i="3"/>
  <c r="D89" i="6"/>
  <c r="F110" i="10"/>
  <c r="G133" i="9"/>
  <c r="I131" i="10"/>
  <c r="I136" i="12" l="1"/>
  <c r="I133" i="13"/>
  <c r="I64" i="13"/>
  <c r="I136" i="13" s="1"/>
  <c r="H118" i="3"/>
  <c r="J118" i="3" s="1"/>
  <c r="D84" i="6"/>
  <c r="I136" i="10"/>
  <c r="I133" i="10"/>
  <c r="I133" i="12"/>
  <c r="H16" i="3"/>
  <c r="J16" i="3" s="1"/>
  <c r="J11" i="3"/>
  <c r="H9" i="3"/>
  <c r="J9" i="3" s="1"/>
  <c r="J7" i="3"/>
  <c r="I131" i="8"/>
  <c r="H142" i="3"/>
  <c r="J142" i="3" s="1"/>
  <c r="J138" i="3"/>
  <c r="D126" i="3"/>
  <c r="D154" i="3" s="1"/>
  <c r="H92" i="3"/>
  <c r="J92" i="3" s="1"/>
  <c r="J91" i="3"/>
  <c r="J43" i="3"/>
  <c r="H41" i="3"/>
  <c r="J41" i="3" s="1"/>
  <c r="J34" i="3"/>
  <c r="I133" i="15"/>
  <c r="I136" i="11"/>
  <c r="I133" i="11"/>
  <c r="I109" i="8"/>
  <c r="G58" i="3"/>
  <c r="G76" i="3" s="1"/>
  <c r="F18" i="2"/>
  <c r="F20" i="2" s="1"/>
  <c r="G57" i="3"/>
  <c r="G128" i="3" s="1"/>
  <c r="G160" i="3" s="1"/>
  <c r="I136" i="15"/>
  <c r="D57" i="3"/>
  <c r="D128" i="3" s="1"/>
  <c r="D160" i="3" s="1"/>
  <c r="F126" i="3"/>
  <c r="F154" i="3" s="1"/>
  <c r="E40" i="3"/>
  <c r="D58" i="3"/>
  <c r="D76" i="3" s="1"/>
  <c r="G27" i="2"/>
  <c r="F133" i="11"/>
  <c r="F64" i="11"/>
  <c r="F136" i="11" s="1"/>
  <c r="G16" i="2"/>
  <c r="C16" i="3"/>
  <c r="B12" i="2" s="1"/>
  <c r="D12" i="2" s="1"/>
  <c r="C18" i="2"/>
  <c r="C20" i="2" s="1"/>
  <c r="F108" i="8"/>
  <c r="F131" i="8" s="1"/>
  <c r="F29" i="2"/>
  <c r="G29" i="2" s="1"/>
  <c r="G157" i="3"/>
  <c r="C46" i="3"/>
  <c r="B16" i="2" s="1"/>
  <c r="D16" i="2" s="1"/>
  <c r="G154" i="3"/>
  <c r="H56" i="3"/>
  <c r="F33" i="3"/>
  <c r="F127" i="3" s="1"/>
  <c r="F159" i="3" s="1"/>
  <c r="D133" i="15"/>
  <c r="I110" i="8"/>
  <c r="D10" i="2"/>
  <c r="D27" i="2"/>
  <c r="G10" i="2"/>
  <c r="G19" i="2"/>
  <c r="D108" i="8"/>
  <c r="D131" i="8" s="1"/>
  <c r="E16" i="3"/>
  <c r="E149" i="3"/>
  <c r="E153" i="3" s="1"/>
  <c r="E157" i="3" s="1"/>
  <c r="G14" i="2"/>
  <c r="C157" i="3"/>
  <c r="C29" i="2"/>
  <c r="D29" i="2" s="1"/>
  <c r="D157" i="3"/>
  <c r="E32" i="3"/>
  <c r="D64" i="14"/>
  <c r="D136" i="14" s="1"/>
  <c r="D133" i="14"/>
  <c r="D33" i="8"/>
  <c r="D109" i="8" s="1"/>
  <c r="F109" i="8" s="1"/>
  <c r="D58" i="8"/>
  <c r="D64" i="8" s="1"/>
  <c r="I57" i="8"/>
  <c r="I58" i="8"/>
  <c r="I64" i="8" s="1"/>
  <c r="E9" i="3"/>
  <c r="E118" i="3"/>
  <c r="H75" i="3"/>
  <c r="F33" i="8"/>
  <c r="E92" i="3"/>
  <c r="I64" i="9"/>
  <c r="I136" i="9" s="1"/>
  <c r="I133" i="9"/>
  <c r="D19" i="2"/>
  <c r="B17" i="2"/>
  <c r="D17" i="2" s="1"/>
  <c r="F133" i="14"/>
  <c r="E28" i="2"/>
  <c r="E30" i="2" s="1"/>
  <c r="C41" i="3"/>
  <c r="B15" i="2" s="1"/>
  <c r="D15" i="2" s="1"/>
  <c r="F157" i="3"/>
  <c r="D21" i="2"/>
  <c r="B14" i="2"/>
  <c r="D14" i="2" s="1"/>
  <c r="C33" i="3"/>
  <c r="F24" i="2"/>
  <c r="F28" i="2" s="1"/>
  <c r="G127" i="3"/>
  <c r="E46" i="3"/>
  <c r="C112" i="3"/>
  <c r="E102" i="3"/>
  <c r="C24" i="2"/>
  <c r="C28" i="2" s="1"/>
  <c r="D127" i="3"/>
  <c r="I33" i="8"/>
  <c r="H46" i="3"/>
  <c r="J46" i="3" s="1"/>
  <c r="F136" i="14"/>
  <c r="E17" i="2"/>
  <c r="G17" i="2" s="1"/>
  <c r="F57" i="3"/>
  <c r="F128" i="3" s="1"/>
  <c r="F160" i="3" s="1"/>
  <c r="F58" i="3"/>
  <c r="F76" i="3" s="1"/>
  <c r="D136" i="15"/>
  <c r="G21" i="2"/>
  <c r="E41" i="3"/>
  <c r="F58" i="8"/>
  <c r="F64" i="8" s="1"/>
  <c r="H33" i="3" l="1"/>
  <c r="J33" i="3" s="1"/>
  <c r="H149" i="3"/>
  <c r="J149" i="3" s="1"/>
  <c r="H126" i="3"/>
  <c r="J126" i="3" s="1"/>
  <c r="D156" i="3"/>
  <c r="D162" i="3"/>
  <c r="G162" i="3"/>
  <c r="G156" i="3"/>
  <c r="E18" i="2"/>
  <c r="E20" i="2" s="1"/>
  <c r="E33" i="2" s="1"/>
  <c r="E58" i="3"/>
  <c r="E76" i="3" s="1"/>
  <c r="D18" i="2"/>
  <c r="D20" i="2" s="1"/>
  <c r="B24" i="2"/>
  <c r="C127" i="3"/>
  <c r="C159" i="3" s="1"/>
  <c r="C126" i="3"/>
  <c r="F162" i="3"/>
  <c r="E33" i="3"/>
  <c r="G18" i="2"/>
  <c r="G20" i="2" s="1"/>
  <c r="B18" i="2"/>
  <c r="B20" i="2" s="1"/>
  <c r="H58" i="3"/>
  <c r="J58" i="3" s="1"/>
  <c r="H57" i="3"/>
  <c r="J57" i="3" s="1"/>
  <c r="G24" i="2"/>
  <c r="G28" i="2" s="1"/>
  <c r="G30" i="2" s="1"/>
  <c r="D159" i="3"/>
  <c r="E112" i="3"/>
  <c r="E126" i="3" s="1"/>
  <c r="C58" i="3"/>
  <c r="C76" i="3" s="1"/>
  <c r="F156" i="3"/>
  <c r="E57" i="3"/>
  <c r="F30" i="2"/>
  <c r="F33" i="2" s="1"/>
  <c r="H127" i="3"/>
  <c r="G159" i="3"/>
  <c r="H159" i="3" s="1"/>
  <c r="C57" i="3"/>
  <c r="C128" i="3" s="1"/>
  <c r="C30" i="2"/>
  <c r="C33" i="2" s="1"/>
  <c r="H128" i="3"/>
  <c r="H160" i="3" s="1"/>
  <c r="H153" i="3" l="1"/>
  <c r="J153" i="3" s="1"/>
  <c r="E127" i="3"/>
  <c r="G33" i="2"/>
  <c r="E159" i="3"/>
  <c r="C160" i="3"/>
  <c r="E128" i="3"/>
  <c r="E160" i="3" s="1"/>
  <c r="D24" i="2"/>
  <c r="D28" i="2" s="1"/>
  <c r="D30" i="2" s="1"/>
  <c r="D33" i="2" s="1"/>
  <c r="B28" i="2"/>
  <c r="B30" i="2" s="1"/>
  <c r="B33" i="2" s="1"/>
  <c r="E154" i="3"/>
  <c r="E162" i="3" s="1"/>
  <c r="E156" i="3"/>
  <c r="H76" i="3"/>
  <c r="H156" i="3"/>
  <c r="C156" i="3"/>
  <c r="C154" i="3"/>
  <c r="C162" i="3" s="1"/>
  <c r="H157" i="3" l="1"/>
  <c r="H154" i="3"/>
  <c r="J154" i="3" s="1"/>
  <c r="J76" i="3"/>
  <c r="H162" i="3" l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</commentList>
</comments>
</file>

<file path=xl/sharedStrings.xml><?xml version="1.0" encoding="utf-8"?>
<sst xmlns="http://schemas.openxmlformats.org/spreadsheetml/2006/main" count="3489" uniqueCount="828">
  <si>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</si>
  <si>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</si>
  <si>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</si>
  <si>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</si>
  <si>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</si>
  <si>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Barcsi Városi Könyvtár</t>
  </si>
  <si>
    <t>1.melléklet</t>
  </si>
  <si>
    <t>a 3/2017.(III.9.) önkormányzati rendelethez</t>
  </si>
  <si>
    <t>Barcs Város Önkormányzata 2017. évi költségvetése</t>
  </si>
  <si>
    <t>Az egységes rovatrend szerint a kiemelt kiadási és bevételi jogcímek (E Ft)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</si>
  <si>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</si>
  <si>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</si>
  <si>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</si>
  <si>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</si>
  <si>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</si>
  <si>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</si>
  <si>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</si>
  <si>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</si>
  <si>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</si>
  <si>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</si>
  <si>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</si>
  <si>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</si>
  <si>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</si>
  <si>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</si>
  <si>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</si>
  <si>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</si>
  <si>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</si>
  <si>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</si>
  <si>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</si>
  <si>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</si>
  <si>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</si>
  <si>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</si>
  <si>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</si>
  <si>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</si>
  <si>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</si>
  <si>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</si>
  <si>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</si>
  <si>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</si>
  <si>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Kiadások - Bevételek (EFt)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</si>
  <si>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</si>
  <si>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</si>
  <si>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</si>
  <si>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</si>
  <si>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</si>
  <si>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</si>
  <si>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</si>
  <si>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</si>
  <si>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</si>
  <si>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</si>
  <si>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</si>
  <si>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</si>
  <si>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</si>
  <si>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</si>
  <si>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</si>
  <si>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</si>
  <si>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</si>
  <si>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</si>
  <si>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</si>
  <si>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</si>
  <si>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</si>
  <si>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</si>
  <si>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</si>
  <si>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</si>
  <si>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</si>
  <si>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</si>
  <si>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</si>
  <si>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</si>
  <si>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</si>
  <si>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</si>
  <si>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</si>
  <si>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</si>
  <si>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</si>
  <si>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</si>
  <si>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</si>
  <si>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</si>
  <si>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</si>
  <si>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</si>
  <si>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</si>
  <si>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</si>
  <si>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</si>
  <si>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</si>
  <si>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</si>
  <si>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</si>
  <si>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</si>
  <si>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</si>
  <si>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</si>
  <si>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</si>
  <si>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</si>
  <si>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</si>
  <si>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</si>
  <si>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</si>
  <si>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</si>
  <si>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</si>
  <si>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</si>
  <si>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</si>
  <si>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</si>
  <si>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</si>
  <si>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</si>
  <si>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</si>
  <si>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</si>
  <si>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</si>
  <si>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</si>
  <si>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</si>
  <si>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</si>
  <si>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</si>
  <si>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</si>
  <si>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</si>
  <si>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</si>
  <si>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</si>
  <si>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</si>
  <si>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</si>
  <si>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</si>
  <si>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</si>
  <si>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</si>
  <si>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</si>
  <si>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</si>
  <si>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</si>
  <si>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</si>
  <si>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</si>
  <si>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</si>
  <si>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</si>
  <si>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</si>
  <si>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</si>
  <si>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</si>
  <si>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</si>
  <si>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</si>
  <si>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</si>
  <si>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</si>
  <si>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</si>
  <si>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</si>
  <si>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</si>
  <si>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</si>
  <si>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</si>
  <si>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</si>
  <si>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</si>
  <si>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</si>
  <si>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</si>
  <si>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</si>
  <si>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</si>
  <si>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</si>
  <si>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</si>
  <si>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</si>
  <si>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</si>
  <si>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</si>
  <si>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</si>
  <si>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</si>
  <si>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</si>
  <si>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</si>
  <si>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</si>
  <si>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</si>
  <si>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</si>
  <si>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</si>
  <si>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</si>
  <si>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</si>
  <si>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</si>
  <si>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</si>
  <si>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</si>
  <si>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</si>
  <si>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</si>
  <si>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</si>
  <si>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</si>
  <si>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</si>
  <si>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</si>
  <si>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</si>
  <si>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</si>
  <si>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</si>
  <si>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</si>
  <si>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</si>
  <si>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</si>
  <si>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</si>
  <si>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</si>
  <si>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</si>
  <si>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</si>
  <si>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</si>
  <si>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</si>
  <si>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</si>
  <si>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</si>
  <si>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</si>
  <si>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</si>
  <si>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</si>
  <si>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</si>
  <si>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</si>
  <si>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</si>
  <si>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</si>
  <si>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</si>
  <si>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</si>
  <si>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</si>
  <si>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</si>
  <si>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</si>
  <si>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</si>
  <si>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</si>
  <si>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</si>
  <si>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</si>
  <si>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</si>
  <si>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</si>
  <si>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</si>
  <si>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</si>
  <si>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</si>
  <si>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</si>
  <si>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</si>
  <si>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</si>
  <si>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</si>
  <si>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</si>
  <si>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</si>
  <si>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</si>
  <si>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</si>
  <si>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</si>
  <si>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</si>
  <si>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</si>
  <si>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</si>
  <si>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</si>
  <si>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</si>
  <si>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</si>
  <si>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</si>
  <si>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</si>
  <si>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</si>
  <si>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</si>
  <si>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</si>
  <si>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</si>
  <si>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</si>
  <si>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</si>
  <si>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</si>
  <si>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</si>
  <si>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</si>
  <si>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</si>
  <si>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</si>
  <si>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</si>
  <si>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</si>
  <si>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</si>
  <si>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</si>
  <si>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</si>
  <si>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</si>
  <si>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</si>
  <si>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</si>
  <si>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</si>
  <si>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</si>
  <si>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</si>
  <si>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</si>
  <si>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</si>
  <si>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</si>
  <si>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</si>
  <si>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</si>
  <si>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</si>
  <si>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</si>
  <si>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</si>
  <si>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</si>
  <si>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</si>
  <si>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</si>
  <si>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</si>
  <si>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</si>
  <si>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</si>
  <si>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</si>
  <si>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</si>
  <si>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</si>
  <si>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</si>
  <si>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</si>
  <si>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</si>
  <si>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</si>
  <si>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</si>
  <si>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</si>
  <si>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</si>
  <si>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</si>
  <si>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</si>
  <si>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</si>
  <si>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</si>
  <si>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</si>
  <si>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</si>
  <si>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</si>
  <si>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</si>
  <si>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</si>
  <si>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</si>
  <si>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</si>
  <si>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</si>
  <si>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</si>
  <si>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</si>
  <si>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</si>
  <si>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</si>
  <si>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</si>
  <si>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</si>
  <si>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</si>
  <si>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</si>
  <si>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</si>
  <si>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</si>
  <si>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</si>
  <si>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</si>
  <si>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</si>
  <si>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</si>
  <si>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</si>
  <si>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</si>
  <si>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</si>
  <si>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</si>
  <si>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</si>
  <si>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</si>
  <si>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</si>
  <si>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</si>
  <si>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</si>
  <si>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</si>
  <si>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</si>
  <si>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</si>
  <si>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</si>
  <si>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</si>
  <si>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</si>
  <si>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</si>
  <si>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</si>
  <si>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</si>
  <si>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</si>
  <si>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</si>
  <si>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</si>
  <si>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</si>
  <si>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</si>
  <si>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</si>
  <si>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</si>
  <si>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</si>
  <si>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</si>
  <si>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</si>
  <si>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</si>
  <si>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</si>
  <si>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</si>
  <si>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</si>
  <si>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</si>
  <si>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</si>
  <si>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</si>
  <si>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</si>
  <si>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</si>
  <si>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</si>
  <si>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</si>
  <si>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</si>
  <si>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</si>
  <si>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</si>
  <si>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</si>
  <si>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</si>
  <si>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</si>
  <si>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</si>
  <si>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Helyi adó, egyéb közhatalmi bevételek és a működési támogatások (E Ft)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</si>
  <si>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</si>
  <si>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</si>
  <si>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</si>
  <si>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</si>
  <si>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</si>
  <si>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</si>
  <si>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</si>
  <si>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</si>
  <si>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</si>
  <si>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</si>
  <si>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</si>
  <si>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</si>
  <si>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</si>
  <si>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</si>
  <si>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</si>
  <si>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</si>
  <si>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</si>
  <si>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09354121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</si>
  <si>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</si>
  <si>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</si>
  <si>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</si>
  <si>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</si>
  <si>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</si>
  <si>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</si>
  <si>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</si>
  <si>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</si>
  <si>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</si>
  <si>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</si>
  <si>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</si>
  <si>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</si>
  <si>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</si>
  <si>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</si>
  <si>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</si>
  <si>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</si>
  <si>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</si>
  <si>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</si>
  <si>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</si>
  <si>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</si>
  <si>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</si>
  <si>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</si>
  <si>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</si>
  <si>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</si>
  <si>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</si>
  <si>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</si>
  <si>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</si>
  <si>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</si>
  <si>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</si>
  <si>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</si>
  <si>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</si>
  <si>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</si>
  <si>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</si>
  <si>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</si>
  <si>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</si>
  <si>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</si>
  <si>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</si>
  <si>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2016.évi bérkompenzáció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</si>
  <si>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</si>
  <si>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</si>
  <si>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</si>
  <si>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</si>
  <si>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</si>
  <si>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Köznevelési int.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</si>
  <si>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</si>
  <si>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</si>
  <si>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</si>
  <si>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</si>
  <si>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</si>
  <si>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</si>
  <si>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</si>
  <si>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</si>
  <si>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</si>
  <si>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</si>
  <si>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</si>
  <si>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</si>
  <si>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Bölcsődei ellátás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</si>
  <si>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</si>
  <si>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</si>
  <si>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</si>
  <si>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</si>
  <si>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</si>
  <si>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</si>
  <si>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Ágazati pótlék</t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</si>
  <si>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</si>
  <si>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</si>
  <si>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</si>
  <si>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</si>
  <si>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Közművelődési bérpótlék+szocho</t>
  </si>
  <si>
    <t>Könyvtári célú érdekeltségnövelő támogatás</t>
  </si>
  <si>
    <t>091141</t>
  </si>
  <si>
    <t>Települési önkormányzatok kulturális feladatainak támogatása összesen</t>
  </si>
  <si>
    <t>Települési önkormányzatok köznevelési támogatása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</si>
  <si>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</si>
  <si>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</si>
  <si>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</si>
  <si>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</si>
  <si>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</si>
  <si>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</si>
  <si>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</si>
  <si>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</si>
  <si>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</si>
  <si>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Támogatások, kölcsönök bevételei és a felhalmozási bevételek (E Ft)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</si>
  <si>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</si>
  <si>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</si>
  <si>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</si>
  <si>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</si>
  <si>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</si>
  <si>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</si>
  <si>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</si>
  <si>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</si>
  <si>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</si>
  <si>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ASP csatlakozás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</si>
  <si>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</si>
  <si>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</si>
  <si>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</si>
  <si>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</si>
  <si>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</si>
  <si>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</si>
  <si>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</si>
  <si>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</si>
  <si>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</si>
  <si>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</si>
  <si>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</si>
  <si>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</si>
  <si>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</si>
  <si>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</si>
  <si>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</si>
  <si>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</si>
  <si>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</si>
  <si>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</si>
  <si>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</si>
  <si>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</si>
  <si>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</si>
  <si>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</si>
  <si>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</si>
  <si>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</si>
  <si>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</si>
  <si>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</si>
  <si>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</si>
  <si>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</si>
  <si>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</si>
  <si>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</si>
  <si>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</si>
  <si>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</si>
  <si>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</si>
  <si>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</si>
  <si>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</si>
  <si>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</si>
  <si>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</si>
  <si>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</si>
  <si>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</si>
  <si>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</si>
  <si>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</si>
  <si>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</si>
  <si>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</si>
  <si>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</si>
  <si>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</si>
  <si>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</si>
  <si>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</si>
  <si>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</si>
  <si>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</si>
  <si>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</si>
  <si>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</si>
  <si>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</si>
  <si>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</si>
  <si>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</si>
  <si>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</si>
  <si>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</si>
  <si>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</si>
  <si>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</si>
  <si>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</si>
  <si>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</si>
  <si>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</si>
  <si>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</si>
  <si>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</si>
  <si>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</si>
  <si>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</si>
  <si>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</si>
  <si>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</si>
  <si>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</si>
  <si>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Beruházások és felújítások (E Ft)</t>
  </si>
  <si>
    <t>Windows 10 szoftver + Office (3db) Foglalkoztatási paktum  TOP-5.1.2</t>
  </si>
  <si>
    <t>Paktum</t>
  </si>
  <si>
    <t>056111</t>
  </si>
  <si>
    <t>ASP csatlakozáshoz Windows 10+ Office 2016 szoftver (5+5 db)</t>
  </si>
  <si>
    <t>Immateriális javak beszerzése, létesítése összesen</t>
  </si>
  <si>
    <t>ASP</t>
  </si>
  <si>
    <t>0562133</t>
  </si>
  <si>
    <t>Ingatlanok beszerzése, létesítése  összesen</t>
  </si>
  <si>
    <t>Számítógép, monitor beszerzés  (3db) Foglalkoztatási paktum  TOP-5.1.2</t>
  </si>
  <si>
    <t>ASP csatlakozáshoz számítógép , monitor és kártyaolvasó (5+5+25 db)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</si>
  <si>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</si>
  <si>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</si>
  <si>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</si>
  <si>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</si>
  <si>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</si>
  <si>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</si>
  <si>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Iroda berendezés, fénymásoló,stb. Foglalkoztatási paktum  TOP-5.1.2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</si>
  <si>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</si>
  <si>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</si>
  <si>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</si>
  <si>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</si>
  <si>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Windows 10 szoftver + Office (3db) Foglalkoztatási paktum  TOP-5.1.2 ÁFA</t>
  </si>
  <si>
    <t>ASP csatlakozáshoz Windows 10+ Office 2016 szoftver (5+5 db) ÁFA</t>
  </si>
  <si>
    <t>ASP csatlakozáshoz számítógép , monitor és kártyolvasó (5+5+25 db) ÁFA</t>
  </si>
  <si>
    <t>Számítógép beszerzés (4 db) ÁFA</t>
  </si>
  <si>
    <t>Barcsi Gyógyfürdő és Rekreációs Központ gázmotoros rendszer kialakít. ÁFA</t>
  </si>
  <si>
    <t>Barcs Város területén közvilágítás bővítések ÁFA</t>
  </si>
  <si>
    <t>Nagyterem hangosítás korszerűsítése ÁFA</t>
  </si>
  <si>
    <t>Iroda berendezés, fénymásoló,stb. Foglalkoztatási paktum  TOP-5.1.2 ÁFA</t>
  </si>
  <si>
    <t>A Barcsi Járás Integrált gyermekprogramja eszközbeszerzés ÁFA</t>
  </si>
  <si>
    <t>Számítógép beszerzés  (3db) Foglalkoztatási paktum  TOP-5.1.2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</si>
  <si>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</si>
  <si>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</si>
  <si>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</si>
  <si>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</si>
  <si>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</si>
  <si>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</si>
  <si>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</si>
  <si>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</si>
  <si>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</si>
  <si>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</si>
  <si>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</si>
  <si>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</si>
  <si>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</si>
  <si>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</si>
  <si>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</si>
  <si>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</si>
  <si>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Csillag Étterem körforgalma és a  Gárdonyi u. közötti útszakasz fejlesztése ÁFA</t>
  </si>
  <si>
    <t>Barcs Város Óvodája és Bölcsödéje Deák Ferenc utcai Tagóvodája felújítása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</si>
  <si>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</si>
  <si>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</si>
  <si>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</si>
  <si>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</si>
  <si>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</si>
  <si>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</si>
  <si>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</si>
  <si>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</si>
  <si>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</si>
  <si>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</si>
  <si>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</si>
  <si>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</si>
  <si>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</si>
  <si>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TOP-7.1.1-16 Barcsi Helyi Közösség -Közös Többszörös (Színház felújítás)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</si>
  <si>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</si>
  <si>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</si>
  <si>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</si>
  <si>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</si>
  <si>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</si>
  <si>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</si>
  <si>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</si>
  <si>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Általános- és céltartalékok (E Ft)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</si>
  <si>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</si>
  <si>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</si>
  <si>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</si>
  <si>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</si>
  <si>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</si>
  <si>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</si>
  <si>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</si>
  <si>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</si>
  <si>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</si>
  <si>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</si>
  <si>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</si>
  <si>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</si>
  <si>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</si>
  <si>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</si>
  <si>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</si>
  <si>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</si>
  <si>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</si>
  <si>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</si>
  <si>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</si>
  <si>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</si>
  <si>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Önkormányzat 2017. évi költségvetése</t>
  </si>
  <si>
    <t>Kiadások - Bevételek (E Ft)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</si>
  <si>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</si>
  <si>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</si>
  <si>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</si>
  <si>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</si>
  <si>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</si>
  <si>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</si>
  <si>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</si>
  <si>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</si>
  <si>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</si>
  <si>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</si>
  <si>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</si>
  <si>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</si>
  <si>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</si>
  <si>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</si>
  <si>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</si>
  <si>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</si>
  <si>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</si>
  <si>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</si>
  <si>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</si>
  <si>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</si>
  <si>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</si>
  <si>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</si>
  <si>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</si>
  <si>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</si>
  <si>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</si>
  <si>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</si>
  <si>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</si>
  <si>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</si>
  <si>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</si>
  <si>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</si>
  <si>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</si>
  <si>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</si>
  <si>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</si>
  <si>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</si>
  <si>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</si>
  <si>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</si>
  <si>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</si>
  <si>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</si>
  <si>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</si>
  <si>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</si>
  <si>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</si>
  <si>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</si>
  <si>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</si>
  <si>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</si>
  <si>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</si>
  <si>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</si>
  <si>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</si>
  <si>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</si>
  <si>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</si>
  <si>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</si>
  <si>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</si>
  <si>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</si>
  <si>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</si>
  <si>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</si>
  <si>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</si>
  <si>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</si>
  <si>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</si>
  <si>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 xml:space="preserve"> 2017. évi költségvetése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</si>
  <si>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</si>
  <si>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</si>
  <si>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</si>
  <si>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</si>
  <si>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</si>
  <si>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</si>
  <si>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</si>
  <si>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</si>
  <si>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</si>
  <si>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</si>
  <si>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</si>
  <si>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</si>
  <si>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</si>
  <si>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</si>
  <si>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</si>
  <si>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</si>
  <si>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</si>
  <si>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13.melléklet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</si>
  <si>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</si>
  <si>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</si>
  <si>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</si>
  <si>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</si>
  <si>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</si>
  <si>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</si>
  <si>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</si>
  <si>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</si>
  <si>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</si>
  <si>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</si>
  <si>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</si>
  <si>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</si>
  <si>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</si>
  <si>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</si>
  <si>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</si>
  <si>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</si>
  <si>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</si>
  <si>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</si>
  <si>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</si>
  <si>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</si>
  <si>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</si>
  <si>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</si>
  <si>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</si>
  <si>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</si>
  <si>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</si>
  <si>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</si>
  <si>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</si>
  <si>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</si>
  <si>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</si>
  <si>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</si>
  <si>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</si>
  <si>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</si>
  <si>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EGYÉB BÉRRENDSZER ÖSSZESEN (18+..+21)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</si>
  <si>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</si>
  <si>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</si>
  <si>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</si>
  <si>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VÁLASZTOTT TISZTSÉGVISELŐK ÖSSZESEN (23+..+25)</t>
  </si>
  <si>
    <t>KÖLTSÉGVETÉSI ENGEDÉLYEZETT LÉTSZÁMKERETBE TARTOZÓ FOGLALKOZTATOTTAK LÉTSZÁMA MINDÖSSZESEN (5+17+22+26)</t>
  </si>
  <si>
    <t>ok</t>
  </si>
  <si>
    <t>16.melléklet</t>
  </si>
  <si>
    <t>Lakosságnak juttatott támogatások, szociális, rászorultsági jellegű ellátások (E Ft)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</si>
  <si>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</si>
  <si>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</si>
  <si>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</si>
  <si>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</si>
  <si>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</si>
  <si>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</si>
  <si>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</si>
  <si>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</si>
  <si>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</si>
  <si>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</si>
  <si>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</si>
  <si>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</si>
  <si>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</si>
  <si>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</si>
  <si>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</si>
  <si>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</si>
  <si>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</si>
  <si>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</si>
  <si>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</si>
  <si>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</si>
  <si>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</si>
  <si>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</si>
  <si>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</si>
  <si>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</si>
  <si>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</si>
  <si>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</si>
  <si>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</si>
  <si>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</si>
  <si>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</si>
  <si>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</si>
  <si>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</si>
  <si>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</si>
  <si>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A költségvetési hiány külső finanszírozására vagy a költségvetési többlet felhasználására szolgáló finanszírozási bevételek és kiadások  (E Ft)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</si>
  <si>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</si>
  <si>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</si>
  <si>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</si>
  <si>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</si>
  <si>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</si>
  <si>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</si>
  <si>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</si>
  <si>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</si>
  <si>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</si>
  <si>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2017.évi folyószámlahitel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</si>
  <si>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</si>
  <si>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</si>
  <si>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</si>
  <si>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</si>
  <si>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</si>
  <si>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</si>
  <si>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</si>
  <si>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</si>
  <si>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</si>
  <si>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</si>
  <si>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</si>
  <si>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</si>
  <si>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</si>
  <si>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</si>
  <si>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</si>
  <si>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</si>
  <si>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</si>
  <si>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</si>
  <si>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</si>
  <si>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</si>
  <si>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</si>
  <si>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</si>
  <si>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</si>
  <si>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</si>
  <si>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</si>
  <si>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</si>
  <si>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</si>
  <si>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</si>
  <si>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</si>
  <si>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</si>
  <si>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</si>
  <si>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</si>
  <si>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</si>
  <si>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</si>
  <si>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</si>
  <si>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</si>
  <si>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</si>
  <si>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</si>
  <si>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</si>
  <si>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</si>
  <si>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</si>
  <si>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</si>
  <si>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</si>
  <si>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</si>
  <si>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</si>
  <si>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</si>
  <si>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</si>
  <si>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</si>
  <si>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5. melléklet</t>
  </si>
  <si>
    <t>Telekvásárlás</t>
  </si>
  <si>
    <t>Kikötői úszómű felújítása</t>
  </si>
  <si>
    <r>
      <t xml:space="preserve">a 3/2017.(III.9.) önkormányzati rendelethez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</si>
  <si>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t>Polgármesteri béremelés különbözetének támogatása</t>
  </si>
  <si>
    <t>Múzeumi infrastruktúra fejlesztése ÁFA</t>
  </si>
  <si>
    <t>Múzeumi infrastruktúra fejlesztése</t>
  </si>
  <si>
    <t>Múzeális intézmények szakmai támogatása (Kubinyi Ágoston program)</t>
  </si>
  <si>
    <t>Múzeális intézmények szakmai támogatása</t>
  </si>
  <si>
    <t>Múzeális intézmények szakmai támogatása ÁFA</t>
  </si>
  <si>
    <t>Minimálbér, bérminimum kiegészítő támogatás</t>
  </si>
  <si>
    <t>EU-s pályázatok forráskiegészítése</t>
  </si>
  <si>
    <t>a 1/2018.(III.14.)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</si>
</sst>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\-??\ _F_t_-;_-@_-"/>
    <numFmt numFmtId="165" formatCode="\ ##########"/>
    <numFmt numFmtId="166" formatCode="0__"/>
  </numFmts>
  <fonts count="67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vertAlign val="superscript"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9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64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64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9" fillId="0" borderId="0"/>
    <xf numFmtId="0" fontId="64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334">
    <xf numFmtId="0" fontId="0" fillId="0" borderId="0" xfId="0"/>
    <xf numFmtId="0" fontId="22" fillId="0" borderId="0" xfId="0" applyFont="1" applyBorder="1" applyAlignment="1">
      <alignment horizontal="center" wrapText="1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0" borderId="10" xfId="0" applyFont="1" applyFill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/>
    <xf numFmtId="3" fontId="24" fillId="0" borderId="10" xfId="0" applyNumberFormat="1" applyFont="1" applyBorder="1"/>
    <xf numFmtId="3" fontId="25" fillId="0" borderId="10" xfId="0" applyNumberFormat="1" applyFont="1" applyBorder="1"/>
    <xf numFmtId="0" fontId="25" fillId="0" borderId="10" xfId="0" applyFont="1" applyBorder="1"/>
    <xf numFmtId="0" fontId="25" fillId="0" borderId="0" xfId="0" applyFont="1"/>
    <xf numFmtId="0" fontId="25" fillId="11" borderId="10" xfId="0" applyFont="1" applyFill="1" applyBorder="1"/>
    <xf numFmtId="3" fontId="25" fillId="11" borderId="10" xfId="0" applyNumberFormat="1" applyFont="1" applyFill="1" applyBorder="1"/>
    <xf numFmtId="0" fontId="28" fillId="0" borderId="0" xfId="0" applyFont="1"/>
    <xf numFmtId="0" fontId="29" fillId="0" borderId="0" xfId="0" applyFont="1"/>
    <xf numFmtId="3" fontId="28" fillId="0" borderId="0" xfId="0" applyNumberFormat="1" applyFont="1"/>
    <xf numFmtId="3" fontId="29" fillId="0" borderId="0" xfId="0" applyNumberFormat="1" applyFont="1"/>
    <xf numFmtId="0" fontId="30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4" fillId="0" borderId="0" xfId="0" applyNumberFormat="1" applyFont="1" applyAlignment="1">
      <alignment wrapText="1"/>
    </xf>
    <xf numFmtId="3" fontId="25" fillId="0" borderId="0" xfId="0" applyNumberFormat="1" applyFont="1" applyAlignment="1">
      <alignment wrapText="1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32" fillId="0" borderId="0" xfId="0" applyFont="1"/>
    <xf numFmtId="0" fontId="25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3" fontId="25" fillId="0" borderId="10" xfId="0" applyNumberFormat="1" applyFont="1" applyFill="1" applyBorder="1" applyAlignment="1">
      <alignment horizontal="center" wrapText="1"/>
    </xf>
    <xf numFmtId="0" fontId="24" fillId="0" borderId="10" xfId="0" applyFont="1" applyFill="1" applyBorder="1" applyAlignment="1">
      <alignment vertical="center" wrapText="1"/>
    </xf>
    <xf numFmtId="165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5" fontId="25" fillId="0" borderId="10" xfId="0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3" fillId="24" borderId="10" xfId="0" applyFont="1" applyFill="1" applyBorder="1"/>
    <xf numFmtId="165" fontId="25" fillId="24" borderId="10" xfId="0" applyNumberFormat="1" applyFont="1" applyFill="1" applyBorder="1" applyAlignment="1">
      <alignment vertical="center"/>
    </xf>
    <xf numFmtId="3" fontId="25" fillId="24" borderId="10" xfId="0" applyNumberFormat="1" applyFont="1" applyFill="1" applyBorder="1"/>
    <xf numFmtId="166" fontId="24" fillId="0" borderId="10" xfId="0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/>
    </xf>
    <xf numFmtId="165" fontId="25" fillId="10" borderId="10" xfId="0" applyNumberFormat="1" applyFont="1" applyFill="1" applyBorder="1" applyAlignment="1">
      <alignment vertical="center"/>
    </xf>
    <xf numFmtId="3" fontId="25" fillId="10" borderId="10" xfId="0" applyNumberFormat="1" applyFont="1" applyFill="1" applyBorder="1"/>
    <xf numFmtId="0" fontId="28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5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4" fillId="0" borderId="0" xfId="0" applyFont="1" applyBorder="1"/>
    <xf numFmtId="3" fontId="24" fillId="0" borderId="0" xfId="0" applyNumberFormat="1" applyFont="1" applyBorder="1"/>
    <xf numFmtId="3" fontId="25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1" fillId="5" borderId="10" xfId="0" applyFont="1" applyFill="1" applyBorder="1" applyAlignment="1">
      <alignment horizontal="left" indent="2"/>
    </xf>
    <xf numFmtId="0" fontId="31" fillId="5" borderId="10" xfId="0" applyFont="1" applyFill="1" applyBorder="1" applyAlignment="1">
      <alignment horizontal="left" vertical="center"/>
    </xf>
    <xf numFmtId="3" fontId="31" fillId="5" borderId="10" xfId="0" applyNumberFormat="1" applyFont="1" applyFill="1" applyBorder="1"/>
    <xf numFmtId="3" fontId="25" fillId="0" borderId="0" xfId="0" applyNumberFormat="1" applyFont="1"/>
    <xf numFmtId="0" fontId="25" fillId="0" borderId="0" xfId="0" applyFont="1" applyBorder="1"/>
    <xf numFmtId="0" fontId="24" fillId="0" borderId="0" xfId="0" applyFont="1" applyAlignment="1">
      <alignment horizontal="right"/>
    </xf>
    <xf numFmtId="0" fontId="24" fillId="0" borderId="0" xfId="0" applyFont="1" applyFill="1"/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25" fillId="0" borderId="10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24" fillId="0" borderId="10" xfId="0" applyFont="1" applyFill="1" applyBorder="1" applyAlignment="1">
      <alignment horizontal="left" vertical="center" wrapText="1" indent="1"/>
    </xf>
    <xf numFmtId="3" fontId="37" fillId="0" borderId="0" xfId="0" applyNumberFormat="1" applyFont="1" applyAlignment="1">
      <alignment horizontal="center"/>
    </xf>
    <xf numFmtId="0" fontId="25" fillId="20" borderId="10" xfId="0" applyFont="1" applyFill="1" applyBorder="1" applyAlignment="1">
      <alignment horizontal="left" vertical="center" wrapText="1"/>
    </xf>
    <xf numFmtId="0" fontId="25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/>
    <xf numFmtId="3" fontId="37" fillId="20" borderId="0" xfId="0" applyNumberFormat="1" applyFont="1" applyFill="1" applyAlignment="1">
      <alignment horizontal="center"/>
    </xf>
    <xf numFmtId="0" fontId="24" fillId="20" borderId="0" xfId="0" applyFont="1" applyFill="1"/>
    <xf numFmtId="0" fontId="38" fillId="0" borderId="10" xfId="0" applyFont="1" applyFill="1" applyBorder="1" applyAlignment="1">
      <alignment horizontal="left" vertical="center" wrapText="1" indent="2"/>
    </xf>
    <xf numFmtId="0" fontId="38" fillId="0" borderId="10" xfId="0" applyFont="1" applyFill="1" applyBorder="1" applyAlignment="1">
      <alignment horizontal="left" vertical="center" wrapText="1"/>
    </xf>
    <xf numFmtId="3" fontId="37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0" fontId="37" fillId="20" borderId="0" xfId="0" applyFont="1" applyFill="1" applyAlignment="1">
      <alignment horizontal="center"/>
    </xf>
    <xf numFmtId="3" fontId="24" fillId="20" borderId="0" xfId="0" applyNumberFormat="1" applyFont="1" applyFill="1" applyAlignment="1">
      <alignment horizontal="center"/>
    </xf>
    <xf numFmtId="0" fontId="21" fillId="0" borderId="10" xfId="79" applyFont="1" applyFill="1" applyBorder="1" applyAlignment="1" applyProtection="1">
      <alignment horizontal="left" vertical="center" wrapText="1" indent="2"/>
    </xf>
    <xf numFmtId="3" fontId="24" fillId="0" borderId="10" xfId="0" applyNumberFormat="1" applyFont="1" applyBorder="1" applyAlignment="1">
      <alignment horizontal="right"/>
    </xf>
    <xf numFmtId="0" fontId="24" fillId="25" borderId="10" xfId="0" applyFont="1" applyFill="1" applyBorder="1" applyAlignment="1">
      <alignment horizontal="left" vertical="top" wrapText="1" indent="3"/>
    </xf>
    <xf numFmtId="0" fontId="25" fillId="20" borderId="10" xfId="0" applyFont="1" applyFill="1" applyBorder="1" applyAlignment="1">
      <alignment vertical="center" wrapText="1"/>
    </xf>
    <xf numFmtId="3" fontId="25" fillId="20" borderId="10" xfId="0" applyNumberFormat="1" applyFont="1" applyFill="1" applyBorder="1" applyAlignment="1">
      <alignment horizontal="right"/>
    </xf>
    <xf numFmtId="3" fontId="25" fillId="20" borderId="0" xfId="0" applyNumberFormat="1" applyFont="1" applyFill="1"/>
    <xf numFmtId="10" fontId="25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79" applyFont="1" applyBorder="1" applyAlignment="1">
      <alignment horizontal="left" indent="2"/>
    </xf>
    <xf numFmtId="0" fontId="24" fillId="0" borderId="10" xfId="0" applyFont="1" applyFill="1" applyBorder="1" applyAlignment="1">
      <alignment horizontal="left" vertical="center" wrapText="1" indent="2"/>
    </xf>
    <xf numFmtId="0" fontId="24" fillId="0" borderId="10" xfId="0" applyFont="1" applyBorder="1" applyAlignment="1">
      <alignment horizontal="left" indent="2"/>
    </xf>
    <xf numFmtId="0" fontId="37" fillId="0" borderId="0" xfId="0" applyFont="1" applyFill="1"/>
    <xf numFmtId="0" fontId="38" fillId="0" borderId="10" xfId="79" applyFont="1" applyFill="1" applyBorder="1" applyAlignment="1" applyProtection="1">
      <alignment horizontal="left" vertical="center" wrapText="1" indent="2"/>
    </xf>
    <xf numFmtId="0" fontId="37" fillId="0" borderId="10" xfId="0" applyFont="1" applyFill="1" applyBorder="1" applyAlignment="1">
      <alignment horizontal="left" vertical="center"/>
    </xf>
    <xf numFmtId="3" fontId="37" fillId="0" borderId="10" xfId="0" applyNumberFormat="1" applyFont="1" applyBorder="1" applyAlignment="1">
      <alignment horizontal="right"/>
    </xf>
    <xf numFmtId="0" fontId="37" fillId="0" borderId="0" xfId="0" applyFont="1"/>
    <xf numFmtId="0" fontId="25" fillId="20" borderId="10" xfId="0" applyFont="1" applyFill="1" applyBorder="1"/>
    <xf numFmtId="3" fontId="24" fillId="20" borderId="0" xfId="0" applyNumberFormat="1" applyFont="1" applyFill="1"/>
    <xf numFmtId="3" fontId="24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1" fillId="0" borderId="0" xfId="0" applyFont="1" applyBorder="1" applyAlignment="1">
      <alignment horizontal="center" wrapText="1"/>
    </xf>
    <xf numFmtId="0" fontId="38" fillId="0" borderId="10" xfId="0" applyFont="1" applyFill="1" applyBorder="1" applyAlignment="1">
      <alignment horizontal="left" vertical="center" wrapText="1" indent="1"/>
    </xf>
    <xf numFmtId="0" fontId="37" fillId="0" borderId="10" xfId="0" applyFont="1" applyFill="1" applyBorder="1" applyAlignment="1">
      <alignment horizontal="left" vertical="center" wrapText="1" indent="1"/>
    </xf>
    <xf numFmtId="0" fontId="40" fillId="0" borderId="0" xfId="0" applyFont="1"/>
    <xf numFmtId="0" fontId="41" fillId="20" borderId="10" xfId="0" applyFont="1" applyFill="1" applyBorder="1"/>
    <xf numFmtId="0" fontId="31" fillId="20" borderId="10" xfId="0" applyFont="1" applyFill="1" applyBorder="1" applyAlignment="1">
      <alignment horizontal="left" vertical="center"/>
    </xf>
    <xf numFmtId="3" fontId="31" fillId="20" borderId="10" xfId="0" applyNumberFormat="1" applyFont="1" applyFill="1" applyBorder="1"/>
    <xf numFmtId="0" fontId="40" fillId="20" borderId="0" xfId="0" applyFont="1" applyFill="1"/>
    <xf numFmtId="0" fontId="41" fillId="0" borderId="10" xfId="0" applyFont="1" applyBorder="1"/>
    <xf numFmtId="3" fontId="31" fillId="0" borderId="10" xfId="0" applyNumberFormat="1" applyFont="1" applyBorder="1"/>
    <xf numFmtId="0" fontId="38" fillId="0" borderId="10" xfId="79" applyFont="1" applyFill="1" applyBorder="1" applyAlignment="1" applyProtection="1">
      <alignment horizontal="left" vertical="center" wrapText="1" indent="1"/>
    </xf>
    <xf numFmtId="0" fontId="25" fillId="20" borderId="11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/>
    </xf>
    <xf numFmtId="3" fontId="25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/>
    </xf>
    <xf numFmtId="3" fontId="24" fillId="0" borderId="12" xfId="0" applyNumberFormat="1" applyFont="1" applyBorder="1"/>
    <xf numFmtId="3" fontId="24" fillId="0" borderId="10" xfId="0" applyNumberFormat="1" applyFont="1" applyFill="1" applyBorder="1" applyAlignment="1">
      <alignment horizontal="right"/>
    </xf>
    <xf numFmtId="3" fontId="24" fillId="0" borderId="10" xfId="0" applyNumberFormat="1" applyFont="1" applyFill="1" applyBorder="1"/>
    <xf numFmtId="10" fontId="24" fillId="20" borderId="0" xfId="0" applyNumberFormat="1" applyFont="1" applyFill="1"/>
    <xf numFmtId="0" fontId="24" fillId="0" borderId="12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horizontal="left" vertical="center" wrapText="1" indent="1"/>
    </xf>
    <xf numFmtId="0" fontId="37" fillId="0" borderId="13" xfId="0" applyFont="1" applyFill="1" applyBorder="1" applyAlignment="1">
      <alignment horizontal="left" vertical="center" wrapText="1"/>
    </xf>
    <xf numFmtId="3" fontId="24" fillId="0" borderId="13" xfId="0" applyNumberFormat="1" applyFont="1" applyBorder="1"/>
    <xf numFmtId="3" fontId="25" fillId="0" borderId="13" xfId="0" applyNumberFormat="1" applyFont="1" applyBorder="1"/>
    <xf numFmtId="0" fontId="25" fillId="20" borderId="13" xfId="0" applyFont="1" applyFill="1" applyBorder="1" applyAlignment="1">
      <alignment horizontal="left" vertical="center" wrapText="1"/>
    </xf>
    <xf numFmtId="3" fontId="25" fillId="20" borderId="13" xfId="0" applyNumberFormat="1" applyFont="1" applyFill="1" applyBorder="1"/>
    <xf numFmtId="0" fontId="37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79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Fill="1"/>
    <xf numFmtId="0" fontId="24" fillId="0" borderId="0" xfId="0" applyFont="1" applyBorder="1" applyAlignment="1">
      <alignment wrapText="1"/>
    </xf>
    <xf numFmtId="3" fontId="24" fillId="0" borderId="0" xfId="0" applyNumberFormat="1" applyFont="1" applyBorder="1" applyAlignment="1">
      <alignment wrapText="1"/>
    </xf>
    <xf numFmtId="3" fontId="42" fillId="20" borderId="0" xfId="0" applyNumberFormat="1" applyFont="1" applyFill="1"/>
    <xf numFmtId="0" fontId="37" fillId="0" borderId="10" xfId="0" applyFont="1" applyBorder="1" applyAlignment="1">
      <alignment horizontal="left" indent="1"/>
    </xf>
    <xf numFmtId="3" fontId="24" fillId="0" borderId="0" xfId="0" applyNumberFormat="1" applyFont="1" applyFill="1"/>
    <xf numFmtId="0" fontId="31" fillId="20" borderId="10" xfId="0" applyFont="1" applyFill="1" applyBorder="1"/>
    <xf numFmtId="0" fontId="31" fillId="0" borderId="10" xfId="0" applyFont="1" applyBorder="1"/>
    <xf numFmtId="0" fontId="43" fillId="0" borderId="0" xfId="0" applyFont="1" applyFill="1"/>
    <xf numFmtId="0" fontId="43" fillId="0" borderId="0" xfId="0" applyFont="1"/>
    <xf numFmtId="0" fontId="44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7" fillId="0" borderId="0" xfId="0" applyFont="1"/>
    <xf numFmtId="0" fontId="25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wrapText="1"/>
    </xf>
    <xf numFmtId="0" fontId="44" fillId="0" borderId="10" xfId="0" applyFont="1" applyBorder="1" applyAlignment="1">
      <alignment wrapText="1"/>
    </xf>
    <xf numFmtId="0" fontId="43" fillId="20" borderId="0" xfId="0" applyFont="1" applyFill="1"/>
    <xf numFmtId="0" fontId="21" fillId="0" borderId="10" xfId="79" applyFont="1" applyFill="1" applyBorder="1" applyAlignment="1" applyProtection="1">
      <alignment horizontal="left" vertical="center" wrapText="1" indent="3"/>
    </xf>
    <xf numFmtId="0" fontId="30" fillId="20" borderId="10" xfId="0" applyFont="1" applyFill="1" applyBorder="1" applyAlignment="1">
      <alignment horizontal="left" vertical="center" wrapText="1" indent="1"/>
    </xf>
    <xf numFmtId="0" fontId="45" fillId="20" borderId="10" xfId="0" applyFont="1" applyFill="1" applyBorder="1"/>
    <xf numFmtId="3" fontId="45" fillId="20" borderId="10" xfId="0" applyNumberFormat="1" applyFont="1" applyFill="1" applyBorder="1"/>
    <xf numFmtId="0" fontId="45" fillId="20" borderId="0" xfId="0" applyFont="1" applyFill="1"/>
    <xf numFmtId="0" fontId="42" fillId="0" borderId="0" xfId="0" applyFont="1"/>
    <xf numFmtId="0" fontId="46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47" fillId="0" borderId="0" xfId="0" applyFont="1"/>
    <xf numFmtId="0" fontId="42" fillId="0" borderId="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vertical="center" wrapText="1"/>
    </xf>
    <xf numFmtId="165" fontId="42" fillId="0" borderId="10" xfId="0" applyNumberFormat="1" applyFont="1" applyFill="1" applyBorder="1" applyAlignment="1">
      <alignment vertical="center"/>
    </xf>
    <xf numFmtId="3" fontId="42" fillId="0" borderId="10" xfId="0" applyNumberFormat="1" applyFont="1" applyBorder="1"/>
    <xf numFmtId="3" fontId="42" fillId="0" borderId="12" xfId="0" applyNumberFormat="1" applyFont="1" applyBorder="1"/>
    <xf numFmtId="3" fontId="44" fillId="0" borderId="10" xfId="0" applyNumberFormat="1" applyFont="1" applyBorder="1"/>
    <xf numFmtId="0" fontId="42" fillId="0" borderId="10" xfId="0" applyFont="1" applyBorder="1"/>
    <xf numFmtId="0" fontId="42" fillId="0" borderId="10" xfId="0" applyFont="1" applyFill="1" applyBorder="1" applyAlignment="1">
      <alignment horizontal="left" vertical="center" wrapText="1"/>
    </xf>
    <xf numFmtId="0" fontId="42" fillId="20" borderId="0" xfId="0" applyFont="1" applyFill="1"/>
    <xf numFmtId="0" fontId="44" fillId="20" borderId="10" xfId="0" applyFont="1" applyFill="1" applyBorder="1" applyAlignment="1">
      <alignment vertical="center" wrapText="1"/>
    </xf>
    <xf numFmtId="165" fontId="44" fillId="20" borderId="10" xfId="0" applyNumberFormat="1" applyFont="1" applyFill="1" applyBorder="1" applyAlignment="1">
      <alignment vertical="center"/>
    </xf>
    <xf numFmtId="3" fontId="44" fillId="20" borderId="10" xfId="0" applyNumberFormat="1" applyFont="1" applyFill="1" applyBorder="1"/>
    <xf numFmtId="0" fontId="44" fillId="20" borderId="10" xfId="0" applyFont="1" applyFill="1" applyBorder="1" applyAlignment="1">
      <alignment horizontal="left" vertical="center" wrapText="1"/>
    </xf>
    <xf numFmtId="3" fontId="42" fillId="20" borderId="10" xfId="0" applyNumberFormat="1" applyFont="1" applyFill="1" applyBorder="1"/>
    <xf numFmtId="3" fontId="42" fillId="20" borderId="12" xfId="0" applyNumberFormat="1" applyFont="1" applyFill="1" applyBorder="1"/>
    <xf numFmtId="3" fontId="42" fillId="26" borderId="10" xfId="0" applyNumberFormat="1" applyFont="1" applyFill="1" applyBorder="1"/>
    <xf numFmtId="3" fontId="42" fillId="26" borderId="12" xfId="0" applyNumberFormat="1" applyFont="1" applyFill="1" applyBorder="1"/>
    <xf numFmtId="0" fontId="48" fillId="2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vertical="center"/>
    </xf>
    <xf numFmtId="0" fontId="50" fillId="24" borderId="10" xfId="0" applyFont="1" applyFill="1" applyBorder="1"/>
    <xf numFmtId="165" fontId="44" fillId="24" borderId="10" xfId="0" applyNumberFormat="1" applyFont="1" applyFill="1" applyBorder="1" applyAlignment="1">
      <alignment vertical="center"/>
    </xf>
    <xf numFmtId="3" fontId="44" fillId="24" borderId="10" xfId="0" applyNumberFormat="1" applyFont="1" applyFill="1" applyBorder="1"/>
    <xf numFmtId="166" fontId="42" fillId="0" borderId="10" xfId="0" applyNumberFormat="1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/>
    </xf>
    <xf numFmtId="0" fontId="44" fillId="20" borderId="10" xfId="0" applyFont="1" applyFill="1" applyBorder="1" applyAlignment="1">
      <alignment horizontal="left" vertical="center"/>
    </xf>
    <xf numFmtId="0" fontId="49" fillId="0" borderId="10" xfId="0" applyFont="1" applyFill="1" applyBorder="1" applyAlignment="1">
      <alignment horizontal="left" vertical="center" wrapText="1"/>
    </xf>
    <xf numFmtId="0" fontId="44" fillId="10" borderId="10" xfId="0" applyFont="1" applyFill="1" applyBorder="1" applyAlignment="1">
      <alignment horizontal="left" vertical="center"/>
    </xf>
    <xf numFmtId="165" fontId="44" fillId="10" borderId="10" xfId="0" applyNumberFormat="1" applyFont="1" applyFill="1" applyBorder="1" applyAlignment="1">
      <alignment vertical="center"/>
    </xf>
    <xf numFmtId="3" fontId="44" fillId="10" borderId="10" xfId="0" applyNumberFormat="1" applyFont="1" applyFill="1" applyBorder="1"/>
    <xf numFmtId="0" fontId="49" fillId="0" borderId="10" xfId="0" applyFont="1" applyFill="1" applyBorder="1" applyAlignment="1">
      <alignment horizontal="left" vertical="center"/>
    </xf>
    <xf numFmtId="3" fontId="48" fillId="0" borderId="10" xfId="0" applyNumberFormat="1" applyFont="1" applyFill="1" applyBorder="1" applyAlignment="1">
      <alignment horizontal="right" vertical="center"/>
    </xf>
    <xf numFmtId="3" fontId="49" fillId="0" borderId="10" xfId="0" applyNumberFormat="1" applyFont="1" applyFill="1" applyBorder="1" applyAlignment="1">
      <alignment horizontal="right" vertical="center" wrapText="1"/>
    </xf>
    <xf numFmtId="0" fontId="48" fillId="10" borderId="10" xfId="0" applyFont="1" applyFill="1" applyBorder="1" applyAlignment="1">
      <alignment horizontal="left" vertical="center"/>
    </xf>
    <xf numFmtId="0" fontId="44" fillId="10" borderId="10" xfId="0" applyFont="1" applyFill="1" applyBorder="1" applyAlignment="1">
      <alignment horizontal="left" vertical="center" wrapText="1"/>
    </xf>
    <xf numFmtId="3" fontId="48" fillId="10" borderId="10" xfId="0" applyNumberFormat="1" applyFont="1" applyFill="1" applyBorder="1" applyAlignment="1">
      <alignment horizontal="right" vertical="center"/>
    </xf>
    <xf numFmtId="0" fontId="44" fillId="11" borderId="10" xfId="0" applyFont="1" applyFill="1" applyBorder="1"/>
    <xf numFmtId="3" fontId="44" fillId="11" borderId="10" xfId="0" applyNumberFormat="1" applyFont="1" applyFill="1" applyBorder="1"/>
    <xf numFmtId="0" fontId="42" fillId="0" borderId="0" xfId="0" applyFont="1" applyFill="1" applyBorder="1"/>
    <xf numFmtId="0" fontId="44" fillId="0" borderId="0" xfId="0" applyFont="1" applyFill="1" applyBorder="1"/>
    <xf numFmtId="3" fontId="44" fillId="0" borderId="0" xfId="0" applyNumberFormat="1" applyFont="1" applyFill="1" applyBorder="1"/>
    <xf numFmtId="0" fontId="27" fillId="0" borderId="0" xfId="0" applyFont="1" applyBorder="1" applyAlignment="1">
      <alignment horizontal="center" vertical="top" wrapText="1"/>
    </xf>
    <xf numFmtId="0" fontId="42" fillId="0" borderId="0" xfId="0" applyFont="1" applyBorder="1" applyAlignment="1"/>
    <xf numFmtId="0" fontId="42" fillId="0" borderId="0" xfId="0" applyFont="1" applyBorder="1"/>
    <xf numFmtId="0" fontId="42" fillId="0" borderId="0" xfId="0" applyFont="1" applyFill="1"/>
    <xf numFmtId="3" fontId="42" fillId="0" borderId="10" xfId="0" applyNumberFormat="1" applyFont="1" applyFill="1" applyBorder="1"/>
    <xf numFmtId="3" fontId="44" fillId="20" borderId="12" xfId="0" applyNumberFormat="1" applyFont="1" applyFill="1" applyBorder="1"/>
    <xf numFmtId="0" fontId="48" fillId="10" borderId="10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indent="2"/>
    </xf>
    <xf numFmtId="0" fontId="51" fillId="5" borderId="10" xfId="0" applyFont="1" applyFill="1" applyBorder="1" applyAlignment="1">
      <alignment horizontal="left" vertical="center"/>
    </xf>
    <xf numFmtId="3" fontId="51" fillId="5" borderId="10" xfId="0" applyNumberFormat="1" applyFont="1" applyFill="1" applyBorder="1"/>
    <xf numFmtId="0" fontId="48" fillId="0" borderId="10" xfId="0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horizontal="left" vertical="center" indent="1"/>
    </xf>
    <xf numFmtId="0" fontId="52" fillId="0" borderId="10" xfId="0" applyFont="1" applyFill="1" applyBorder="1" applyAlignment="1">
      <alignment horizontal="left" vertical="center" indent="4"/>
    </xf>
    <xf numFmtId="0" fontId="53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4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/>
    </xf>
    <xf numFmtId="0" fontId="56" fillId="0" borderId="0" xfId="0" applyFont="1"/>
    <xf numFmtId="0" fontId="38" fillId="0" borderId="10" xfId="0" applyFont="1" applyFill="1" applyBorder="1" applyAlignment="1">
      <alignment horizontal="left" vertical="center" indent="1"/>
    </xf>
    <xf numFmtId="0" fontId="38" fillId="0" borderId="10" xfId="0" applyFont="1" applyFill="1" applyBorder="1" applyAlignment="1">
      <alignment horizontal="left" vertical="center" indent="4"/>
    </xf>
    <xf numFmtId="0" fontId="27" fillId="0" borderId="0" xfId="0" applyFont="1" applyBorder="1" applyAlignment="1">
      <alignment horizontal="center" wrapText="1"/>
    </xf>
    <xf numFmtId="0" fontId="57" fillId="0" borderId="0" xfId="0" applyFont="1" applyAlignment="1">
      <alignment wrapText="1"/>
    </xf>
    <xf numFmtId="0" fontId="45" fillId="0" borderId="0" xfId="0" applyFont="1"/>
    <xf numFmtId="0" fontId="44" fillId="0" borderId="10" xfId="0" applyFont="1" applyBorder="1" applyAlignment="1">
      <alignment horizontal="center" wrapText="1"/>
    </xf>
    <xf numFmtId="0" fontId="58" fillId="0" borderId="10" xfId="0" applyFont="1" applyBorder="1" applyAlignment="1">
      <alignment horizontal="center" vertical="center" wrapText="1"/>
    </xf>
    <xf numFmtId="0" fontId="59" fillId="0" borderId="10" xfId="7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9" fillId="0" borderId="10" xfId="75" applyFont="1" applyFill="1" applyBorder="1" applyAlignment="1">
      <alignment horizontal="left" vertical="center" wrapText="1"/>
    </xf>
    <xf numFmtId="4" fontId="49" fillId="0" borderId="10" xfId="0" applyNumberFormat="1" applyFont="1" applyFill="1" applyBorder="1" applyAlignment="1">
      <alignment horizontal="right" vertical="center" wrapText="1"/>
    </xf>
    <xf numFmtId="4" fontId="44" fillId="0" borderId="10" xfId="0" applyNumberFormat="1" applyFont="1" applyBorder="1" applyAlignment="1">
      <alignment horizontal="right"/>
    </xf>
    <xf numFmtId="0" fontId="42" fillId="20" borderId="10" xfId="0" applyFont="1" applyFill="1" applyBorder="1" applyAlignment="1">
      <alignment horizontal="center"/>
    </xf>
    <xf numFmtId="0" fontId="48" fillId="20" borderId="10" xfId="75" applyFont="1" applyFill="1" applyBorder="1" applyAlignment="1">
      <alignment horizontal="left" vertical="center" wrapText="1"/>
    </xf>
    <xf numFmtId="4" fontId="48" fillId="20" borderId="10" xfId="0" applyNumberFormat="1" applyFont="1" applyFill="1" applyBorder="1" applyAlignment="1">
      <alignment horizontal="right" vertical="center" wrapText="1"/>
    </xf>
    <xf numFmtId="4" fontId="44" fillId="20" borderId="10" xfId="0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42" fillId="0" borderId="0" xfId="0" applyFont="1" applyAlignment="1">
      <alignment wrapText="1"/>
    </xf>
    <xf numFmtId="3" fontId="21" fillId="0" borderId="0" xfId="0" applyNumberFormat="1" applyFont="1"/>
    <xf numFmtId="0" fontId="63" fillId="0" borderId="0" xfId="0" applyFont="1" applyFill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0" fillId="0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3" fontId="38" fillId="0" borderId="0" xfId="0" applyNumberFormat="1" applyFont="1" applyAlignment="1">
      <alignment horizontal="center" wrapText="1"/>
    </xf>
    <xf numFmtId="0" fontId="63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4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4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8" fillId="0" borderId="10" xfId="78" applyFont="1" applyBorder="1" applyAlignment="1">
      <alignment horizontal="left" indent="3"/>
    </xf>
    <xf numFmtId="0" fontId="37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38" fillId="0" borderId="10" xfId="0" applyFont="1" applyFill="1" applyBorder="1" applyAlignment="1">
      <alignment horizontal="left" vertical="center" wrapText="1" indent="3"/>
    </xf>
    <xf numFmtId="0" fontId="31" fillId="0" borderId="0" xfId="0" applyFont="1" applyFill="1"/>
    <xf numFmtId="0" fontId="30" fillId="20" borderId="10" xfId="0" applyFont="1" applyFill="1" applyBorder="1" applyAlignment="1">
      <alignment vertical="center" wrapText="1"/>
    </xf>
    <xf numFmtId="0" fontId="31" fillId="20" borderId="10" xfId="0" applyFont="1" applyFill="1" applyBorder="1" applyAlignment="1">
      <alignment horizontal="left" vertical="center" wrapText="1"/>
    </xf>
    <xf numFmtId="0" fontId="31" fillId="20" borderId="0" xfId="0" applyFont="1" applyFill="1"/>
    <xf numFmtId="0" fontId="31" fillId="0" borderId="0" xfId="0" applyFont="1"/>
    <xf numFmtId="0" fontId="30" fillId="0" borderId="10" xfId="0" applyFont="1" applyFill="1" applyBorder="1" applyAlignment="1">
      <alignment vertical="center"/>
    </xf>
    <xf numFmtId="0" fontId="31" fillId="0" borderId="10" xfId="0" applyFont="1" applyFill="1" applyBorder="1" applyAlignment="1">
      <alignment horizontal="left" vertical="center" wrapText="1"/>
    </xf>
    <xf numFmtId="0" fontId="30" fillId="20" borderId="10" xfId="0" applyFont="1" applyFill="1" applyBorder="1" applyAlignment="1">
      <alignment vertical="center"/>
    </xf>
    <xf numFmtId="0" fontId="30" fillId="20" borderId="10" xfId="0" applyFont="1" applyFill="1" applyBorder="1" applyAlignment="1">
      <alignment horizontal="left" vertical="center" wrapText="1"/>
    </xf>
    <xf numFmtId="0" fontId="38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7" fillId="0" borderId="10" xfId="0" applyFont="1" applyFill="1" applyBorder="1" applyAlignment="1">
      <alignment horizontal="left" vertical="center" wrapText="1" indent="4"/>
    </xf>
    <xf numFmtId="0" fontId="38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left" indent="2"/>
    </xf>
    <xf numFmtId="0" fontId="25" fillId="0" borderId="10" xfId="0" applyFont="1" applyBorder="1" applyAlignment="1">
      <alignment horizontal="center" wrapText="1"/>
    </xf>
    <xf numFmtId="3" fontId="37" fillId="0" borderId="0" xfId="0" applyNumberFormat="1" applyFont="1"/>
    <xf numFmtId="1" fontId="25" fillId="20" borderId="0" xfId="0" applyNumberFormat="1" applyFont="1" applyFill="1"/>
    <xf numFmtId="1" fontId="24" fillId="0" borderId="0" xfId="0" applyNumberFormat="1" applyFont="1"/>
    <xf numFmtId="3" fontId="25" fillId="0" borderId="1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42" fillId="0" borderId="14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60" fillId="0" borderId="10" xfId="75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left" wrapText="1"/>
    </xf>
    <xf numFmtId="3" fontId="25" fillId="0" borderId="10" xfId="0" applyNumberFormat="1" applyFont="1" applyBorder="1" applyAlignment="1">
      <alignment horizontal="center" vertical="center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al_KTRSZJ" xfId="75"/>
    <cellStyle name="Normál_KVRENMUNKA" xfId="79"/>
    <cellStyle name="Note" xfId="80"/>
    <cellStyle name="Output" xfId="81"/>
    <cellStyle name="Összesen" xfId="88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2" customWidth="1"/>
    <col min="2" max="2" width="11.42578125" style="3" customWidth="1"/>
    <col min="3" max="3" width="11.5703125" style="3" customWidth="1"/>
    <col min="4" max="4" width="12.42578125" style="3" customWidth="1"/>
    <col min="5" max="5" width="11" style="3" customWidth="1"/>
    <col min="6" max="6" width="10.7109375" style="3" customWidth="1"/>
    <col min="7" max="7" width="13.140625" style="3" customWidth="1"/>
    <col min="8" max="16384" width="9.140625" style="2"/>
  </cols>
  <sheetData>
    <row r="1" spans="1:7" x14ac:dyDescent="0.25">
      <c r="D1" s="4"/>
      <c r="G1" s="4" t="s">
        <v>6</v>
      </c>
    </row>
    <row r="2" spans="1:7" x14ac:dyDescent="0.25">
      <c r="D2" s="5"/>
      <c r="G2" s="5" t="s">
        <v>827</v>
      </c>
    </row>
    <row r="3" spans="1:7" x14ac:dyDescent="0.25">
      <c r="D3" s="5"/>
      <c r="G3" s="5"/>
    </row>
    <row r="4" spans="1:7" ht="40.5" x14ac:dyDescent="0.3">
      <c r="A4" s="6" t="s">
        <v>8</v>
      </c>
    </row>
    <row r="5" spans="1:7" ht="20.25" x14ac:dyDescent="0.3">
      <c r="A5" s="6"/>
    </row>
    <row r="6" spans="1:7" ht="50.25" customHeight="1" x14ac:dyDescent="0.35">
      <c r="A6" s="7" t="s">
        <v>9</v>
      </c>
    </row>
    <row r="7" spans="1:7" ht="19.5" x14ac:dyDescent="0.35">
      <c r="A7" s="7"/>
    </row>
    <row r="8" spans="1:7" x14ac:dyDescent="0.25">
      <c r="B8" s="318" t="s">
        <v>10</v>
      </c>
      <c r="C8" s="318"/>
      <c r="D8" s="318"/>
      <c r="E8" s="318" t="s">
        <v>11</v>
      </c>
      <c r="F8" s="318"/>
      <c r="G8" s="318"/>
    </row>
    <row r="9" spans="1:7" s="11" customFormat="1" ht="47.25" x14ac:dyDescent="0.25">
      <c r="A9" s="8" t="s">
        <v>12</v>
      </c>
      <c r="B9" s="9" t="s">
        <v>13</v>
      </c>
      <c r="C9" s="9" t="s">
        <v>14</v>
      </c>
      <c r="D9" s="10" t="s">
        <v>15</v>
      </c>
      <c r="E9" s="9" t="s">
        <v>13</v>
      </c>
      <c r="F9" s="9" t="s">
        <v>14</v>
      </c>
      <c r="G9" s="10" t="s">
        <v>15</v>
      </c>
    </row>
    <row r="10" spans="1:7" x14ac:dyDescent="0.25">
      <c r="A10" s="12" t="s">
        <v>16</v>
      </c>
      <c r="B10" s="13">
        <f>+'2 Össz'!C9</f>
        <v>992745</v>
      </c>
      <c r="C10" s="13">
        <f>+'2 Össz'!D9</f>
        <v>637983</v>
      </c>
      <c r="D10" s="14">
        <f t="shared" ref="D10:D17" si="0">SUM(B10:C10)</f>
        <v>1630728</v>
      </c>
      <c r="E10" s="13">
        <f>+'2 Össz'!F9</f>
        <v>1058247</v>
      </c>
      <c r="F10" s="13">
        <f>+'2 Össz'!G9</f>
        <v>293722</v>
      </c>
      <c r="G10" s="14">
        <f t="shared" ref="G10:G17" si="1">SUM(E10:F10)</f>
        <v>1351969</v>
      </c>
    </row>
    <row r="11" spans="1:7" x14ac:dyDescent="0.25">
      <c r="A11" s="12" t="s">
        <v>17</v>
      </c>
      <c r="B11" s="13">
        <f>+'2 Össz'!C10</f>
        <v>205350</v>
      </c>
      <c r="C11" s="13">
        <f>+'2 Össz'!D10</f>
        <v>150417</v>
      </c>
      <c r="D11" s="14">
        <f t="shared" si="0"/>
        <v>355767</v>
      </c>
      <c r="E11" s="13">
        <f>+'2 Össz'!F10</f>
        <v>220137</v>
      </c>
      <c r="F11" s="13">
        <f>+'2 Össz'!G10</f>
        <v>60039</v>
      </c>
      <c r="G11" s="14">
        <f t="shared" si="1"/>
        <v>280176</v>
      </c>
    </row>
    <row r="12" spans="1:7" x14ac:dyDescent="0.25">
      <c r="A12" s="12" t="s">
        <v>18</v>
      </c>
      <c r="B12" s="13">
        <f>+'2 Össz'!C16</f>
        <v>654348</v>
      </c>
      <c r="C12" s="13">
        <f>+'2 Össz'!D16</f>
        <v>840497</v>
      </c>
      <c r="D12" s="14">
        <f t="shared" si="0"/>
        <v>1494845</v>
      </c>
      <c r="E12" s="13">
        <f>+'2 Össz'!F16</f>
        <v>658039</v>
      </c>
      <c r="F12" s="13">
        <f>+'2 Össz'!G16</f>
        <v>383648</v>
      </c>
      <c r="G12" s="14">
        <f t="shared" si="1"/>
        <v>1041687</v>
      </c>
    </row>
    <row r="13" spans="1:7" x14ac:dyDescent="0.25">
      <c r="A13" s="12" t="s">
        <v>19</v>
      </c>
      <c r="B13" s="13">
        <f>+'2 Össz'!C17</f>
        <v>62380</v>
      </c>
      <c r="C13" s="13">
        <f>+'2 Össz'!D17</f>
        <v>0</v>
      </c>
      <c r="D13" s="14">
        <f t="shared" si="0"/>
        <v>62380</v>
      </c>
      <c r="E13" s="13">
        <f>+'2 Össz'!F17</f>
        <v>62380</v>
      </c>
      <c r="F13" s="13">
        <f>+'2 Össz'!G17</f>
        <v>0</v>
      </c>
      <c r="G13" s="14">
        <f t="shared" si="1"/>
        <v>62380</v>
      </c>
    </row>
    <row r="14" spans="1:7" x14ac:dyDescent="0.25">
      <c r="A14" s="12" t="s">
        <v>20</v>
      </c>
      <c r="B14" s="13">
        <f>+'2 Össz'!C32</f>
        <v>131178</v>
      </c>
      <c r="C14" s="13">
        <f>+'2 Össz'!D32</f>
        <v>33577</v>
      </c>
      <c r="D14" s="14">
        <f t="shared" si="0"/>
        <v>164755</v>
      </c>
      <c r="E14" s="13">
        <f>+'2 Össz'!F32</f>
        <v>99523</v>
      </c>
      <c r="F14" s="13">
        <f>+'2 Össz'!G32</f>
        <v>33827</v>
      </c>
      <c r="G14" s="14">
        <f t="shared" si="1"/>
        <v>133350</v>
      </c>
    </row>
    <row r="15" spans="1:7" x14ac:dyDescent="0.25">
      <c r="A15" s="12" t="s">
        <v>21</v>
      </c>
      <c r="B15" s="13">
        <f>+'2 Össz'!C41</f>
        <v>39015</v>
      </c>
      <c r="C15" s="13">
        <f>+'2 Össz'!D41</f>
        <v>155951</v>
      </c>
      <c r="D15" s="14">
        <f t="shared" si="0"/>
        <v>194966</v>
      </c>
      <c r="E15" s="13">
        <f>+'2 Össz'!F41</f>
        <v>33360</v>
      </c>
      <c r="F15" s="13">
        <f>+'2 Össz'!G41</f>
        <v>55386</v>
      </c>
      <c r="G15" s="14">
        <f t="shared" si="1"/>
        <v>88746</v>
      </c>
    </row>
    <row r="16" spans="1:7" x14ac:dyDescent="0.25">
      <c r="A16" s="12" t="s">
        <v>22</v>
      </c>
      <c r="B16" s="13">
        <f>+'2 Össz'!C46</f>
        <v>3033857</v>
      </c>
      <c r="C16" s="13">
        <f>+'2 Össz'!D46</f>
        <v>6350</v>
      </c>
      <c r="D16" s="14">
        <f t="shared" si="0"/>
        <v>3040207</v>
      </c>
      <c r="E16" s="13">
        <f>+'2 Össz'!F46</f>
        <v>567081</v>
      </c>
      <c r="F16" s="13">
        <f>+'2 Össz'!G46</f>
        <v>6350</v>
      </c>
      <c r="G16" s="14">
        <f t="shared" si="1"/>
        <v>573431</v>
      </c>
    </row>
    <row r="17" spans="1:7" x14ac:dyDescent="0.25">
      <c r="A17" s="12" t="s">
        <v>23</v>
      </c>
      <c r="B17" s="13">
        <f>+'2 Össz'!C56</f>
        <v>0</v>
      </c>
      <c r="C17" s="13">
        <f>+'2 Össz'!D56</f>
        <v>3000</v>
      </c>
      <c r="D17" s="14">
        <f t="shared" si="0"/>
        <v>3000</v>
      </c>
      <c r="E17" s="13">
        <f>+'2 Össz'!F56</f>
        <v>0</v>
      </c>
      <c r="F17" s="13">
        <f>+'2 Össz'!G56</f>
        <v>3000</v>
      </c>
      <c r="G17" s="14">
        <f t="shared" si="1"/>
        <v>3000</v>
      </c>
    </row>
    <row r="18" spans="1:7" s="16" customFormat="1" x14ac:dyDescent="0.25">
      <c r="A18" s="15" t="s">
        <v>24</v>
      </c>
      <c r="B18" s="14">
        <f t="shared" ref="B18:G18" si="2">SUM(B10:B17)</f>
        <v>5118873</v>
      </c>
      <c r="C18" s="14">
        <f t="shared" si="2"/>
        <v>1827775</v>
      </c>
      <c r="D18" s="14">
        <f t="shared" si="2"/>
        <v>6946648</v>
      </c>
      <c r="E18" s="14">
        <f t="shared" si="2"/>
        <v>2698767</v>
      </c>
      <c r="F18" s="14">
        <f t="shared" si="2"/>
        <v>835972</v>
      </c>
      <c r="G18" s="14">
        <f t="shared" si="2"/>
        <v>3534739</v>
      </c>
    </row>
    <row r="19" spans="1:7" s="16" customFormat="1" x14ac:dyDescent="0.25">
      <c r="A19" s="15" t="s">
        <v>25</v>
      </c>
      <c r="B19" s="14">
        <f>+'2 Össz'!C75</f>
        <v>114994</v>
      </c>
      <c r="C19" s="14">
        <f>+'2 Össz'!D75</f>
        <v>0</v>
      </c>
      <c r="D19" s="14">
        <f>SUM(B19:C19)</f>
        <v>114994</v>
      </c>
      <c r="E19" s="14">
        <f>+'2 Össz'!F75</f>
        <v>114994</v>
      </c>
      <c r="F19" s="14">
        <f>+'2 Össz'!G75</f>
        <v>0</v>
      </c>
      <c r="G19" s="14">
        <f>SUM(E19:F19)</f>
        <v>114994</v>
      </c>
    </row>
    <row r="20" spans="1:7" s="16" customFormat="1" x14ac:dyDescent="0.25">
      <c r="A20" s="17" t="s">
        <v>26</v>
      </c>
      <c r="B20" s="18">
        <f t="shared" ref="B20:G20" si="3">+B19+B18</f>
        <v>5233867</v>
      </c>
      <c r="C20" s="18">
        <f t="shared" si="3"/>
        <v>1827775</v>
      </c>
      <c r="D20" s="18">
        <f t="shared" si="3"/>
        <v>7061642</v>
      </c>
      <c r="E20" s="18">
        <f t="shared" si="3"/>
        <v>2813761</v>
      </c>
      <c r="F20" s="18">
        <f t="shared" si="3"/>
        <v>835972</v>
      </c>
      <c r="G20" s="18">
        <f t="shared" si="3"/>
        <v>3649733</v>
      </c>
    </row>
    <row r="21" spans="1:7" x14ac:dyDescent="0.25">
      <c r="A21" s="12" t="s">
        <v>27</v>
      </c>
      <c r="B21" s="13">
        <f>+'2 Össz'!C92</f>
        <v>1350506</v>
      </c>
      <c r="C21" s="13">
        <f>+'2 Össz'!D92</f>
        <v>1276195</v>
      </c>
      <c r="D21" s="14">
        <f t="shared" ref="D21:D27" si="4">SUM(B21:C21)</f>
        <v>2626701</v>
      </c>
      <c r="E21" s="13">
        <f>+'2 Össz'!F92</f>
        <v>1252904</v>
      </c>
      <c r="F21" s="13">
        <f>+'2 Össz'!G92</f>
        <v>544876</v>
      </c>
      <c r="G21" s="14">
        <f t="shared" ref="G21:G27" si="5">SUM(E21:F21)</f>
        <v>1797780</v>
      </c>
    </row>
    <row r="22" spans="1:7" x14ac:dyDescent="0.25">
      <c r="A22" s="12" t="s">
        <v>28</v>
      </c>
      <c r="B22" s="13">
        <f>+'2 Össz'!C93</f>
        <v>3094159</v>
      </c>
      <c r="C22" s="13">
        <f>+'2 Össz'!D93</f>
        <v>144623</v>
      </c>
      <c r="D22" s="14">
        <f t="shared" si="4"/>
        <v>3238782</v>
      </c>
      <c r="E22" s="13">
        <f>+'2 Össz'!F93</f>
        <v>637611</v>
      </c>
      <c r="F22" s="13">
        <f>+'2 Össz'!G93</f>
        <v>0</v>
      </c>
      <c r="G22" s="14">
        <f t="shared" si="5"/>
        <v>637611</v>
      </c>
    </row>
    <row r="23" spans="1:7" x14ac:dyDescent="0.25">
      <c r="A23" s="12" t="s">
        <v>29</v>
      </c>
      <c r="B23" s="13">
        <f>+'2 Össz'!C100</f>
        <v>264283</v>
      </c>
      <c r="C23" s="13">
        <f>+'2 Össz'!D100</f>
        <v>167517</v>
      </c>
      <c r="D23" s="14">
        <f t="shared" si="4"/>
        <v>431800</v>
      </c>
      <c r="E23" s="13">
        <f>+'2 Össz'!F100</f>
        <v>264283</v>
      </c>
      <c r="F23" s="13">
        <f>+'2 Össz'!G100</f>
        <v>167517</v>
      </c>
      <c r="G23" s="14">
        <f t="shared" si="5"/>
        <v>431800</v>
      </c>
    </row>
    <row r="24" spans="1:7" x14ac:dyDescent="0.25">
      <c r="A24" s="12" t="s">
        <v>30</v>
      </c>
      <c r="B24" s="13">
        <f>+'2 Össz'!C112</f>
        <v>238122</v>
      </c>
      <c r="C24" s="13">
        <f>+'2 Össz'!D112</f>
        <v>181279</v>
      </c>
      <c r="D24" s="14">
        <f t="shared" si="4"/>
        <v>419401</v>
      </c>
      <c r="E24" s="13">
        <f>+'2 Össz'!F112</f>
        <v>238457</v>
      </c>
      <c r="F24" s="13">
        <f>+'2 Össz'!G112</f>
        <v>181839</v>
      </c>
      <c r="G24" s="14">
        <f t="shared" si="5"/>
        <v>420296</v>
      </c>
    </row>
    <row r="25" spans="1:7" x14ac:dyDescent="0.25">
      <c r="A25" s="12" t="s">
        <v>31</v>
      </c>
      <c r="B25" s="13">
        <f>+'2 Össz'!C118</f>
        <v>0</v>
      </c>
      <c r="C25" s="13">
        <f>+'2 Össz'!D118</f>
        <v>30000</v>
      </c>
      <c r="D25" s="14">
        <f t="shared" si="4"/>
        <v>30000</v>
      </c>
      <c r="E25" s="13">
        <f>+'2 Össz'!F118</f>
        <v>0</v>
      </c>
      <c r="F25" s="13">
        <f>+'2 Össz'!G118</f>
        <v>3260</v>
      </c>
      <c r="G25" s="14">
        <f t="shared" si="5"/>
        <v>3260</v>
      </c>
    </row>
    <row r="26" spans="1:7" x14ac:dyDescent="0.25">
      <c r="A26" s="12" t="s">
        <v>32</v>
      </c>
      <c r="B26" s="13">
        <f>+'2 Össz'!C119</f>
        <v>0</v>
      </c>
      <c r="C26" s="13">
        <f>+'2 Össz'!D119</f>
        <v>0</v>
      </c>
      <c r="D26" s="14">
        <f t="shared" si="4"/>
        <v>0</v>
      </c>
      <c r="E26" s="13">
        <f>+'2 Össz'!F119</f>
        <v>21928</v>
      </c>
      <c r="F26" s="13">
        <f>+'2 Össz'!G119</f>
        <v>0</v>
      </c>
      <c r="G26" s="14">
        <f t="shared" si="5"/>
        <v>21928</v>
      </c>
    </row>
    <row r="27" spans="1:7" x14ac:dyDescent="0.25">
      <c r="A27" s="12" t="s">
        <v>33</v>
      </c>
      <c r="B27" s="13">
        <f>+'2 Össz'!C125</f>
        <v>29400</v>
      </c>
      <c r="C27" s="13">
        <f>+'2 Össz'!D125</f>
        <v>0</v>
      </c>
      <c r="D27" s="14">
        <f t="shared" si="4"/>
        <v>29400</v>
      </c>
      <c r="E27" s="13">
        <f>+'2 Össz'!F125</f>
        <v>30350</v>
      </c>
      <c r="F27" s="13">
        <f>+'2 Össz'!G125</f>
        <v>0</v>
      </c>
      <c r="G27" s="14">
        <f t="shared" si="5"/>
        <v>30350</v>
      </c>
    </row>
    <row r="28" spans="1:7" s="16" customFormat="1" x14ac:dyDescent="0.25">
      <c r="A28" s="15" t="s">
        <v>34</v>
      </c>
      <c r="B28" s="14">
        <f t="shared" ref="B28:G28" si="6">SUM(B21:B27)</f>
        <v>4976470</v>
      </c>
      <c r="C28" s="14">
        <f t="shared" si="6"/>
        <v>1799614</v>
      </c>
      <c r="D28" s="14">
        <f t="shared" si="6"/>
        <v>6776084</v>
      </c>
      <c r="E28" s="14">
        <f t="shared" si="6"/>
        <v>2445533</v>
      </c>
      <c r="F28" s="14">
        <f t="shared" si="6"/>
        <v>897492</v>
      </c>
      <c r="G28" s="14">
        <f t="shared" si="6"/>
        <v>3343025</v>
      </c>
    </row>
    <row r="29" spans="1:7" s="16" customFormat="1" x14ac:dyDescent="0.25">
      <c r="A29" s="15" t="s">
        <v>35</v>
      </c>
      <c r="B29" s="14">
        <f>+'2 Össz'!C153</f>
        <v>257397</v>
      </c>
      <c r="C29" s="14">
        <f>+'2 Össz'!D153</f>
        <v>28161</v>
      </c>
      <c r="D29" s="14">
        <f>SUM(B29:C29)</f>
        <v>285558</v>
      </c>
      <c r="E29" s="14">
        <f>+'2 Össz'!F153</f>
        <v>273086</v>
      </c>
      <c r="F29" s="14">
        <f>+'2 Össz'!G153</f>
        <v>33622</v>
      </c>
      <c r="G29" s="14">
        <f>SUM(E29:F29)</f>
        <v>306708</v>
      </c>
    </row>
    <row r="30" spans="1:7" s="16" customFormat="1" x14ac:dyDescent="0.25">
      <c r="A30" s="17" t="s">
        <v>36</v>
      </c>
      <c r="B30" s="18">
        <f t="shared" ref="B30:G30" si="7">+B29+B28</f>
        <v>5233867</v>
      </c>
      <c r="C30" s="18">
        <f t="shared" si="7"/>
        <v>1827775</v>
      </c>
      <c r="D30" s="18">
        <f t="shared" si="7"/>
        <v>7061642</v>
      </c>
      <c r="E30" s="18">
        <f t="shared" si="7"/>
        <v>2718619</v>
      </c>
      <c r="F30" s="18">
        <f t="shared" si="7"/>
        <v>931114</v>
      </c>
      <c r="G30" s="18">
        <f t="shared" si="7"/>
        <v>3649733</v>
      </c>
    </row>
    <row r="33" spans="2:7" x14ac:dyDescent="0.25">
      <c r="B33" s="3">
        <f t="shared" ref="B33:G33" si="8">+B30-B20</f>
        <v>0</v>
      </c>
      <c r="C33" s="3">
        <f t="shared" si="8"/>
        <v>0</v>
      </c>
      <c r="D33" s="3">
        <f t="shared" si="8"/>
        <v>0</v>
      </c>
      <c r="E33" s="3">
        <f t="shared" si="8"/>
        <v>-95142</v>
      </c>
      <c r="F33" s="3">
        <f t="shared" si="8"/>
        <v>95142</v>
      </c>
      <c r="G33" s="3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3" width="9.85546875" style="19" customWidth="1"/>
    <col min="4" max="5" width="10.28515625" style="19" customWidth="1"/>
    <col min="6" max="6" width="10.2851562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676</v>
      </c>
    </row>
    <row r="2" spans="2:9" s="2" customFormat="1" ht="20.25" x14ac:dyDescent="0.3">
      <c r="B2" s="244" t="s">
        <v>2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v>19674</v>
      </c>
      <c r="E7" s="13">
        <v>144179</v>
      </c>
      <c r="F7" s="14">
        <f>+D7+E7</f>
        <v>163853</v>
      </c>
      <c r="G7" s="13">
        <v>19674</v>
      </c>
      <c r="H7" s="13">
        <f>165068-G7</f>
        <v>145394</v>
      </c>
      <c r="I7" s="14">
        <f>+G7+H7</f>
        <v>165068</v>
      </c>
    </row>
    <row r="8" spans="2:9" x14ac:dyDescent="0.25">
      <c r="B8" s="44" t="s">
        <v>42</v>
      </c>
      <c r="C8" s="43" t="s">
        <v>43</v>
      </c>
      <c r="D8" s="13">
        <v>500</v>
      </c>
      <c r="E8" s="13">
        <v>1177</v>
      </c>
      <c r="F8" s="14">
        <f>+D8+E8</f>
        <v>1677</v>
      </c>
      <c r="G8" s="13">
        <v>99</v>
      </c>
      <c r="H8" s="13">
        <f>2467-G8</f>
        <v>2368</v>
      </c>
      <c r="I8" s="14">
        <f>+G8+H8</f>
        <v>2467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20174</v>
      </c>
      <c r="E9" s="14">
        <f t="shared" si="0"/>
        <v>145356</v>
      </c>
      <c r="F9" s="14">
        <f t="shared" si="0"/>
        <v>165530</v>
      </c>
      <c r="G9" s="14">
        <f t="shared" ref="G9:H9" si="1">SUM(G7:G8)</f>
        <v>19773</v>
      </c>
      <c r="H9" s="14">
        <f t="shared" si="1"/>
        <v>147762</v>
      </c>
      <c r="I9" s="14">
        <f t="shared" si="0"/>
        <v>167535</v>
      </c>
    </row>
    <row r="10" spans="2:9" x14ac:dyDescent="0.25">
      <c r="B10" s="47" t="s">
        <v>46</v>
      </c>
      <c r="C10" s="46" t="s">
        <v>47</v>
      </c>
      <c r="D10" s="13">
        <v>5054</v>
      </c>
      <c r="E10" s="13">
        <v>29726</v>
      </c>
      <c r="F10" s="14">
        <f t="shared" ref="F10:F15" si="2">+D10+E10</f>
        <v>34780</v>
      </c>
      <c r="G10" s="13">
        <v>5054</v>
      </c>
      <c r="H10" s="13">
        <f>37855-G10</f>
        <v>32801</v>
      </c>
      <c r="I10" s="14">
        <f t="shared" ref="I10:I15" si="3">+G10+H10</f>
        <v>37855</v>
      </c>
    </row>
    <row r="11" spans="2:9" x14ac:dyDescent="0.25">
      <c r="B11" s="44" t="s">
        <v>48</v>
      </c>
      <c r="C11" s="43" t="s">
        <v>49</v>
      </c>
      <c r="D11" s="13">
        <v>850</v>
      </c>
      <c r="E11" s="13">
        <v>55800</v>
      </c>
      <c r="F11" s="14">
        <f t="shared" si="2"/>
        <v>56650</v>
      </c>
      <c r="G11" s="13">
        <v>850</v>
      </c>
      <c r="H11" s="13">
        <f>45422-G11</f>
        <v>44572</v>
      </c>
      <c r="I11" s="14">
        <f t="shared" si="3"/>
        <v>45422</v>
      </c>
    </row>
    <row r="12" spans="2:9" x14ac:dyDescent="0.25">
      <c r="B12" s="44" t="s">
        <v>50</v>
      </c>
      <c r="C12" s="43" t="s">
        <v>51</v>
      </c>
      <c r="D12" s="13">
        <v>400</v>
      </c>
      <c r="E12" s="13">
        <v>6130</v>
      </c>
      <c r="F12" s="14">
        <f t="shared" si="2"/>
        <v>6530</v>
      </c>
      <c r="G12" s="13">
        <v>400</v>
      </c>
      <c r="H12" s="13">
        <f>10904-G12</f>
        <v>10504</v>
      </c>
      <c r="I12" s="14">
        <f t="shared" si="3"/>
        <v>10904</v>
      </c>
    </row>
    <row r="13" spans="2:9" x14ac:dyDescent="0.25">
      <c r="B13" s="44" t="s">
        <v>52</v>
      </c>
      <c r="C13" s="43" t="s">
        <v>53</v>
      </c>
      <c r="D13" s="13">
        <v>2100</v>
      </c>
      <c r="E13" s="13">
        <v>140881</v>
      </c>
      <c r="F13" s="14">
        <f t="shared" si="2"/>
        <v>142981</v>
      </c>
      <c r="G13" s="13">
        <v>6000</v>
      </c>
      <c r="H13" s="13">
        <f>173462-G13</f>
        <v>167462</v>
      </c>
      <c r="I13" s="14">
        <f t="shared" si="3"/>
        <v>173462</v>
      </c>
    </row>
    <row r="14" spans="2:9" x14ac:dyDescent="0.25">
      <c r="B14" s="44" t="s">
        <v>54</v>
      </c>
      <c r="C14" s="43" t="s">
        <v>55</v>
      </c>
      <c r="D14" s="13">
        <v>200</v>
      </c>
      <c r="E14" s="13">
        <v>300</v>
      </c>
      <c r="F14" s="14">
        <f t="shared" si="2"/>
        <v>500</v>
      </c>
      <c r="G14" s="13">
        <v>200</v>
      </c>
      <c r="H14" s="13">
        <f>759-G14</f>
        <v>559</v>
      </c>
      <c r="I14" s="14">
        <f t="shared" si="3"/>
        <v>759</v>
      </c>
    </row>
    <row r="15" spans="2:9" x14ac:dyDescent="0.25">
      <c r="B15" s="44" t="s">
        <v>56</v>
      </c>
      <c r="C15" s="43" t="s">
        <v>57</v>
      </c>
      <c r="D15" s="13">
        <v>96</v>
      </c>
      <c r="E15" s="13">
        <v>22485</v>
      </c>
      <c r="F15" s="14">
        <f t="shared" si="2"/>
        <v>22581</v>
      </c>
      <c r="G15" s="13">
        <v>550</v>
      </c>
      <c r="H15" s="13">
        <f>19443-G15</f>
        <v>18893</v>
      </c>
      <c r="I15" s="14">
        <f t="shared" si="3"/>
        <v>19443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3646</v>
      </c>
      <c r="E16" s="14">
        <f t="shared" si="4"/>
        <v>225596</v>
      </c>
      <c r="F16" s="14">
        <f t="shared" si="4"/>
        <v>229242</v>
      </c>
      <c r="G16" s="14">
        <f t="shared" ref="G16:H16" si="5">SUM(G11:G15)</f>
        <v>8000</v>
      </c>
      <c r="H16" s="14">
        <f t="shared" si="5"/>
        <v>241990</v>
      </c>
      <c r="I16" s="14">
        <f t="shared" si="4"/>
        <v>249990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x14ac:dyDescent="0.25">
      <c r="B19" s="49" t="s">
        <v>64</v>
      </c>
      <c r="C19" s="43" t="s">
        <v>65</v>
      </c>
      <c r="D19" s="13"/>
      <c r="E19" s="13">
        <v>2427</v>
      </c>
      <c r="F19" s="14">
        <f t="shared" si="6"/>
        <v>2427</v>
      </c>
      <c r="G19" s="13"/>
      <c r="H19" s="13">
        <v>2427</v>
      </c>
      <c r="I19" s="14">
        <f t="shared" si="7"/>
        <v>2427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2427</v>
      </c>
      <c r="F32" s="14">
        <f t="shared" si="8"/>
        <v>2427</v>
      </c>
      <c r="G32" s="14">
        <f t="shared" ref="G32:H32" si="9">SUM(G18:G31)</f>
        <v>0</v>
      </c>
      <c r="H32" s="14">
        <f t="shared" si="9"/>
        <v>2427</v>
      </c>
      <c r="I32" s="14">
        <f t="shared" si="8"/>
        <v>2427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28874</v>
      </c>
      <c r="E33" s="53">
        <f t="shared" si="10"/>
        <v>403105</v>
      </c>
      <c r="F33" s="53">
        <f t="shared" si="10"/>
        <v>431979</v>
      </c>
      <c r="G33" s="53">
        <f t="shared" ref="G33:H33" si="11">+G32+G17+G16+G10+G9</f>
        <v>32827</v>
      </c>
      <c r="H33" s="53">
        <f t="shared" si="11"/>
        <v>424980</v>
      </c>
      <c r="I33" s="53">
        <f t="shared" si="10"/>
        <v>457807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>
        <v>500</v>
      </c>
      <c r="F36" s="14">
        <f t="shared" si="12"/>
        <v>500</v>
      </c>
      <c r="G36" s="13"/>
      <c r="H36" s="13">
        <v>500</v>
      </c>
      <c r="I36" s="14">
        <f t="shared" si="13"/>
        <v>500</v>
      </c>
    </row>
    <row r="37" spans="2:9" x14ac:dyDescent="0.25">
      <c r="B37" s="54" t="s">
        <v>99</v>
      </c>
      <c r="C37" s="43" t="s">
        <v>100</v>
      </c>
      <c r="D37" s="13"/>
      <c r="E37" s="13">
        <v>2000</v>
      </c>
      <c r="F37" s="14">
        <f t="shared" si="12"/>
        <v>2000</v>
      </c>
      <c r="G37" s="13">
        <v>644</v>
      </c>
      <c r="H37" s="13">
        <f>2049-G37</f>
        <v>1405</v>
      </c>
      <c r="I37" s="14">
        <f t="shared" si="13"/>
        <v>2049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/>
      <c r="E40" s="13">
        <v>675</v>
      </c>
      <c r="F40" s="14">
        <f t="shared" si="12"/>
        <v>675</v>
      </c>
      <c r="G40" s="13"/>
      <c r="H40" s="13">
        <v>525</v>
      </c>
      <c r="I40" s="14">
        <f t="shared" si="13"/>
        <v>525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0</v>
      </c>
      <c r="E41" s="14">
        <f t="shared" si="14"/>
        <v>3175</v>
      </c>
      <c r="F41" s="14">
        <f t="shared" si="14"/>
        <v>3175</v>
      </c>
      <c r="G41" s="14">
        <f t="shared" si="14"/>
        <v>644</v>
      </c>
      <c r="H41" s="14">
        <f t="shared" si="14"/>
        <v>2430</v>
      </c>
      <c r="I41" s="14">
        <f t="shared" si="14"/>
        <v>3074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idden="1" x14ac:dyDescent="0.25">
      <c r="B48" s="57" t="s">
        <v>668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0</v>
      </c>
      <c r="E57" s="53">
        <f t="shared" si="19"/>
        <v>3175</v>
      </c>
      <c r="F57" s="53">
        <f t="shared" si="19"/>
        <v>3175</v>
      </c>
      <c r="G57" s="53">
        <f t="shared" si="19"/>
        <v>644</v>
      </c>
      <c r="H57" s="53">
        <f t="shared" si="19"/>
        <v>2430</v>
      </c>
      <c r="I57" s="53">
        <f t="shared" si="19"/>
        <v>3074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28874</v>
      </c>
      <c r="E58" s="60">
        <f t="shared" si="20"/>
        <v>406280</v>
      </c>
      <c r="F58" s="60">
        <f t="shared" si="20"/>
        <v>435154</v>
      </c>
      <c r="G58" s="60">
        <f t="shared" si="20"/>
        <v>33471</v>
      </c>
      <c r="H58" s="60">
        <f t="shared" si="20"/>
        <v>427410</v>
      </c>
      <c r="I58" s="60">
        <f t="shared" si="20"/>
        <v>460881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28874</v>
      </c>
      <c r="E64" s="18">
        <f t="shared" si="22"/>
        <v>406280</v>
      </c>
      <c r="F64" s="18">
        <f t="shared" si="22"/>
        <v>435154</v>
      </c>
      <c r="G64" s="18">
        <f t="shared" si="22"/>
        <v>33471</v>
      </c>
      <c r="H64" s="18">
        <f t="shared" si="22"/>
        <v>427410</v>
      </c>
      <c r="I64" s="18">
        <f t="shared" si="22"/>
        <v>460881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28874</v>
      </c>
      <c r="E73" s="13">
        <v>370456</v>
      </c>
      <c r="F73" s="14">
        <f t="shared" si="23"/>
        <v>399330</v>
      </c>
      <c r="G73" s="13">
        <v>28874</v>
      </c>
      <c r="H73" s="13">
        <f>418011-G73</f>
        <v>389137</v>
      </c>
      <c r="I73" s="14">
        <f t="shared" si="24"/>
        <v>418011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28874</v>
      </c>
      <c r="E74" s="14">
        <f t="shared" si="25"/>
        <v>370456</v>
      </c>
      <c r="F74" s="14">
        <f t="shared" si="25"/>
        <v>399330</v>
      </c>
      <c r="G74" s="14">
        <f t="shared" ref="G74:H74" si="26">+G73+G72+G71+G70+G69+G68</f>
        <v>28874</v>
      </c>
      <c r="H74" s="14">
        <f t="shared" si="26"/>
        <v>389137</v>
      </c>
      <c r="I74" s="14">
        <f t="shared" si="25"/>
        <v>418011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:H82" si="30">SUM(G76:G81)</f>
        <v>0</v>
      </c>
      <c r="H82" s="14">
        <f t="shared" si="30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>
        <v>50</v>
      </c>
      <c r="F83" s="14">
        <f t="shared" ref="F83:F93" si="31">+E83+D83</f>
        <v>50</v>
      </c>
      <c r="G83" s="13"/>
      <c r="H83" s="13">
        <v>71</v>
      </c>
      <c r="I83" s="14">
        <f t="shared" ref="I83:I93" si="32">+H83+G83</f>
        <v>71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/>
      <c r="E84" s="13">
        <v>26725</v>
      </c>
      <c r="F84" s="14">
        <f t="shared" si="31"/>
        <v>26725</v>
      </c>
      <c r="G84" s="13"/>
      <c r="H84" s="13">
        <v>27059</v>
      </c>
      <c r="I84" s="14">
        <f t="shared" si="32"/>
        <v>27059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>
        <v>6600</v>
      </c>
      <c r="F85" s="14">
        <f t="shared" si="31"/>
        <v>6600</v>
      </c>
      <c r="G85" s="13"/>
      <c r="H85" s="13">
        <v>5298</v>
      </c>
      <c r="I85" s="14">
        <f t="shared" si="32"/>
        <v>5298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1"/>
        <v>0</v>
      </c>
      <c r="G87" s="13"/>
      <c r="H87" s="13"/>
      <c r="I87" s="14">
        <f t="shared" si="32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/>
      <c r="E88" s="13"/>
      <c r="F88" s="14">
        <f t="shared" si="31"/>
        <v>0</v>
      </c>
      <c r="G88" s="13"/>
      <c r="H88" s="13"/>
      <c r="I88" s="14">
        <f t="shared" si="32"/>
        <v>0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>
        <v>22</v>
      </c>
      <c r="F90" s="14">
        <f t="shared" si="31"/>
        <v>22</v>
      </c>
      <c r="G90" s="13"/>
      <c r="H90" s="13">
        <v>0</v>
      </c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>
        <v>0</v>
      </c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1"/>
        <v>0</v>
      </c>
      <c r="G93" s="13"/>
      <c r="H93" s="13">
        <v>620</v>
      </c>
      <c r="I93" s="14">
        <f t="shared" si="32"/>
        <v>620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0</v>
      </c>
      <c r="E94" s="14">
        <f t="shared" si="33"/>
        <v>33397</v>
      </c>
      <c r="F94" s="14">
        <f t="shared" si="33"/>
        <v>33397</v>
      </c>
      <c r="G94" s="14">
        <f t="shared" si="33"/>
        <v>0</v>
      </c>
      <c r="H94" s="14">
        <f t="shared" si="33"/>
        <v>33048</v>
      </c>
      <c r="I94" s="14">
        <f t="shared" si="33"/>
        <v>33048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5">SUM(D102:D106)</f>
        <v>0</v>
      </c>
      <c r="E107" s="14">
        <f t="shared" si="35"/>
        <v>0</v>
      </c>
      <c r="F107" s="14">
        <f t="shared" si="35"/>
        <v>0</v>
      </c>
      <c r="G107" s="14">
        <f t="shared" si="35"/>
        <v>0</v>
      </c>
      <c r="H107" s="14">
        <f t="shared" si="35"/>
        <v>0</v>
      </c>
      <c r="I107" s="14">
        <f t="shared" si="35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6">+D107+D101+D100+D94+D82+D75+D74</f>
        <v>28874</v>
      </c>
      <c r="E108" s="60">
        <f t="shared" si="36"/>
        <v>403853</v>
      </c>
      <c r="F108" s="60">
        <f t="shared" si="36"/>
        <v>432727</v>
      </c>
      <c r="G108" s="60">
        <f t="shared" si="36"/>
        <v>28874</v>
      </c>
      <c r="H108" s="60">
        <f t="shared" si="36"/>
        <v>422185</v>
      </c>
      <c r="I108" s="60">
        <f t="shared" si="36"/>
        <v>451059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0</v>
      </c>
      <c r="E109" s="75">
        <f>+E101+E94+E82+E74-E33</f>
        <v>748</v>
      </c>
      <c r="F109" s="75">
        <f t="shared" ref="F109:F116" si="37">+E109+D109</f>
        <v>748</v>
      </c>
      <c r="G109" s="75">
        <f>+G101+G94+G82+G74-G33</f>
        <v>-3953</v>
      </c>
      <c r="H109" s="75">
        <f>+H101+H94+H82+H74-H33</f>
        <v>-2795</v>
      </c>
      <c r="I109" s="75">
        <f t="shared" ref="I109:I116" si="38">+H109+G109</f>
        <v>-6748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0</v>
      </c>
      <c r="E110" s="75">
        <f>+E107+E100+E75-E57</f>
        <v>-3175</v>
      </c>
      <c r="F110" s="75">
        <f t="shared" si="37"/>
        <v>-3175</v>
      </c>
      <c r="G110" s="75">
        <f>+G107+G100+G75-G57</f>
        <v>-644</v>
      </c>
      <c r="H110" s="75">
        <f>+H107+H100+H75-H57</f>
        <v>-2430</v>
      </c>
      <c r="I110" s="75">
        <f t="shared" si="38"/>
        <v>-3074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37"/>
        <v>0</v>
      </c>
      <c r="G111" s="13"/>
      <c r="H111" s="13"/>
      <c r="I111" s="14">
        <f t="shared" si="38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7"/>
        <v>0</v>
      </c>
      <c r="G112" s="13"/>
      <c r="H112" s="13"/>
      <c r="I112" s="14">
        <f t="shared" si="38"/>
        <v>0</v>
      </c>
    </row>
    <row r="113" spans="1:9" x14ac:dyDescent="0.25">
      <c r="B113" s="44" t="s">
        <v>294</v>
      </c>
      <c r="C113" s="44" t="s">
        <v>295</v>
      </c>
      <c r="D113" s="13"/>
      <c r="E113" s="13">
        <v>2427</v>
      </c>
      <c r="F113" s="14">
        <f t="shared" si="37"/>
        <v>2427</v>
      </c>
      <c r="G113" s="13"/>
      <c r="H113" s="13">
        <v>7888</v>
      </c>
      <c r="I113" s="14">
        <f t="shared" si="38"/>
        <v>7888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7"/>
        <v>0</v>
      </c>
      <c r="G114" s="13"/>
      <c r="H114" s="13"/>
      <c r="I114" s="14">
        <f t="shared" si="38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7"/>
        <v>0</v>
      </c>
      <c r="G115" s="13"/>
      <c r="H115" s="13"/>
      <c r="I115" s="14">
        <f t="shared" si="38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37"/>
        <v>0</v>
      </c>
      <c r="G116" s="13"/>
      <c r="H116" s="13"/>
      <c r="I116" s="14">
        <f t="shared" si="38"/>
        <v>0</v>
      </c>
    </row>
    <row r="117" spans="1:9" x14ac:dyDescent="0.25">
      <c r="A117" s="79" t="s">
        <v>670</v>
      </c>
      <c r="B117" s="47" t="s">
        <v>300</v>
      </c>
      <c r="C117" s="47" t="s">
        <v>301</v>
      </c>
      <c r="D117" s="14">
        <f t="shared" ref="D117:I117" si="39">SUM(D113:D116)</f>
        <v>0</v>
      </c>
      <c r="E117" s="14">
        <f t="shared" si="39"/>
        <v>2427</v>
      </c>
      <c r="F117" s="14">
        <f t="shared" si="39"/>
        <v>2427</v>
      </c>
      <c r="G117" s="14">
        <f t="shared" si="39"/>
        <v>0</v>
      </c>
      <c r="H117" s="14">
        <f t="shared" si="39"/>
        <v>7888</v>
      </c>
      <c r="I117" s="14">
        <f t="shared" si="39"/>
        <v>7888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0">+E118+D118</f>
        <v>0</v>
      </c>
      <c r="G118" s="13"/>
      <c r="H118" s="13"/>
      <c r="I118" s="14">
        <f t="shared" ref="I118:I125" si="41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0"/>
        <v>0</v>
      </c>
      <c r="G119" s="13"/>
      <c r="H119" s="13"/>
      <c r="I119" s="14">
        <f t="shared" si="41"/>
        <v>0</v>
      </c>
    </row>
    <row r="120" spans="1:9" x14ac:dyDescent="0.25">
      <c r="A120" s="19" t="s">
        <v>677</v>
      </c>
      <c r="B120" s="63" t="s">
        <v>306</v>
      </c>
      <c r="C120" s="44" t="s">
        <v>307</v>
      </c>
      <c r="D120" s="13"/>
      <c r="E120" s="13"/>
      <c r="F120" s="14">
        <f t="shared" si="40"/>
        <v>0</v>
      </c>
      <c r="G120" s="13"/>
      <c r="H120" s="13">
        <v>1934</v>
      </c>
      <c r="I120" s="14">
        <f t="shared" si="41"/>
        <v>1934</v>
      </c>
    </row>
    <row r="121" spans="1:9" s="249" customFormat="1" x14ac:dyDescent="0.25">
      <c r="B121" s="250" t="s">
        <v>672</v>
      </c>
      <c r="C121" s="145"/>
      <c r="D121" s="94"/>
      <c r="E121" s="94"/>
      <c r="F121" s="127">
        <f t="shared" si="40"/>
        <v>0</v>
      </c>
      <c r="G121" s="94"/>
      <c r="H121" s="94">
        <f>+H120</f>
        <v>1934</v>
      </c>
      <c r="I121" s="127">
        <f t="shared" si="41"/>
        <v>1934</v>
      </c>
    </row>
    <row r="122" spans="1:9" s="249" customFormat="1" x14ac:dyDescent="0.25">
      <c r="B122" s="251" t="s">
        <v>662</v>
      </c>
      <c r="C122" s="145"/>
      <c r="D122" s="94">
        <f>+D120-D121</f>
        <v>0</v>
      </c>
      <c r="E122" s="94">
        <f>+E120-E121</f>
        <v>0</v>
      </c>
      <c r="F122" s="127">
        <f t="shared" si="40"/>
        <v>0</v>
      </c>
      <c r="G122" s="94">
        <f>+G120-G121</f>
        <v>0</v>
      </c>
      <c r="H122" s="13">
        <v>0</v>
      </c>
      <c r="I122" s="127">
        <f t="shared" si="41"/>
        <v>0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0"/>
        <v>0</v>
      </c>
      <c r="G123" s="13"/>
      <c r="H123" s="13"/>
      <c r="I123" s="14">
        <f t="shared" si="41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0"/>
        <v>0</v>
      </c>
      <c r="G124" s="13"/>
      <c r="H124" s="13"/>
      <c r="I124" s="14">
        <f t="shared" si="41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0"/>
        <v>0</v>
      </c>
      <c r="G125" s="13"/>
      <c r="H125" s="13"/>
      <c r="I125" s="14">
        <f t="shared" si="41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0</v>
      </c>
      <c r="E126" s="14">
        <f>SUM(E118:E125)+E117+E112+E111-E121-E122</f>
        <v>2427</v>
      </c>
      <c r="F126" s="14">
        <f>SUM(F118:F124)+F117+F112+F111-F121-F122</f>
        <v>2427</v>
      </c>
      <c r="G126" s="14">
        <f>SUM(G118:G125)+G117+G112+G111-G121-G122</f>
        <v>0</v>
      </c>
      <c r="H126" s="14">
        <f>SUM(H118:H125)+H117+H112+H111-H121-H122</f>
        <v>9822</v>
      </c>
      <c r="I126" s="14">
        <f>SUM(I118:I124)+I117+I112+I111-I121-I122</f>
        <v>9822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0</v>
      </c>
      <c r="E130" s="60">
        <f>+E128+E127+E126+E129</f>
        <v>2427</v>
      </c>
      <c r="F130" s="60">
        <f>+F129+F127+F126</f>
        <v>2427</v>
      </c>
      <c r="G130" s="60">
        <f>+G128+G127+G126+G129</f>
        <v>0</v>
      </c>
      <c r="H130" s="60">
        <f>+H128+H127+H126+H129</f>
        <v>9822</v>
      </c>
      <c r="I130" s="60">
        <f>+I129+I127+I126</f>
        <v>9822</v>
      </c>
    </row>
    <row r="131" spans="2:9" x14ac:dyDescent="0.25">
      <c r="B131" s="17" t="s">
        <v>324</v>
      </c>
      <c r="C131" s="17" t="s">
        <v>325</v>
      </c>
      <c r="D131" s="18">
        <f t="shared" ref="D131:I131" si="42">+D108+D130</f>
        <v>28874</v>
      </c>
      <c r="E131" s="18">
        <f t="shared" si="42"/>
        <v>406280</v>
      </c>
      <c r="F131" s="18">
        <f t="shared" si="42"/>
        <v>435154</v>
      </c>
      <c r="G131" s="18">
        <f t="shared" si="42"/>
        <v>28874</v>
      </c>
      <c r="H131" s="18">
        <f t="shared" si="42"/>
        <v>432007</v>
      </c>
      <c r="I131" s="18">
        <f t="shared" si="42"/>
        <v>460881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3">+D108-D58</f>
        <v>0</v>
      </c>
      <c r="E133" s="14">
        <f t="shared" si="43"/>
        <v>-2427</v>
      </c>
      <c r="F133" s="14">
        <f t="shared" si="43"/>
        <v>-2427</v>
      </c>
      <c r="G133" s="14">
        <f t="shared" si="43"/>
        <v>-4597</v>
      </c>
      <c r="H133" s="14">
        <f t="shared" si="43"/>
        <v>-5225</v>
      </c>
      <c r="I133" s="14">
        <f t="shared" si="43"/>
        <v>-9822</v>
      </c>
    </row>
    <row r="134" spans="2:9" x14ac:dyDescent="0.25">
      <c r="B134" s="15" t="s">
        <v>327</v>
      </c>
      <c r="C134" s="15"/>
      <c r="D134" s="14">
        <f t="shared" ref="D134:I134" si="44">+D130-D63</f>
        <v>0</v>
      </c>
      <c r="E134" s="14">
        <f t="shared" si="44"/>
        <v>2427</v>
      </c>
      <c r="F134" s="14">
        <f t="shared" si="44"/>
        <v>2427</v>
      </c>
      <c r="G134" s="14">
        <f t="shared" si="44"/>
        <v>0</v>
      </c>
      <c r="H134" s="14">
        <f t="shared" si="44"/>
        <v>9822</v>
      </c>
      <c r="I134" s="14">
        <f t="shared" si="44"/>
        <v>9822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5">+D131-D64</f>
        <v>0</v>
      </c>
      <c r="E136" s="3">
        <f t="shared" si="45"/>
        <v>0</v>
      </c>
      <c r="F136" s="3">
        <f t="shared" si="45"/>
        <v>0</v>
      </c>
      <c r="G136" s="3">
        <f t="shared" si="45"/>
        <v>-4597</v>
      </c>
      <c r="H136" s="3">
        <f t="shared" si="45"/>
        <v>4597</v>
      </c>
      <c r="I136" s="3">
        <f t="shared" si="45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42578125" style="19" customWidth="1"/>
    <col min="3" max="3" width="9.7109375" style="19" customWidth="1"/>
    <col min="4" max="5" width="10" style="19" customWidth="1"/>
    <col min="6" max="6" width="10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678</v>
      </c>
    </row>
    <row r="2" spans="2:9" s="2" customFormat="1" ht="20.25" x14ac:dyDescent="0.3">
      <c r="B2" s="244" t="s">
        <v>3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v>229974</v>
      </c>
      <c r="E7" s="13">
        <v>13505</v>
      </c>
      <c r="F7" s="14">
        <f>+D7+E7</f>
        <v>243479</v>
      </c>
      <c r="G7" s="13">
        <f>256474+2747+2730+2743-140</f>
        <v>264554</v>
      </c>
      <c r="H7" s="13">
        <v>13505</v>
      </c>
      <c r="I7" s="14">
        <f>+G7+H7</f>
        <v>278059</v>
      </c>
    </row>
    <row r="8" spans="2:9" x14ac:dyDescent="0.25">
      <c r="B8" s="44" t="s">
        <v>42</v>
      </c>
      <c r="C8" s="43" t="s">
        <v>43</v>
      </c>
      <c r="D8" s="13">
        <v>7559</v>
      </c>
      <c r="E8" s="13"/>
      <c r="F8" s="14">
        <f>+D8+E8</f>
        <v>7559</v>
      </c>
      <c r="G8" s="13">
        <v>8553</v>
      </c>
      <c r="H8" s="13"/>
      <c r="I8" s="14">
        <f>+G8+H8</f>
        <v>8553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237533</v>
      </c>
      <c r="E9" s="14">
        <f t="shared" si="0"/>
        <v>13505</v>
      </c>
      <c r="F9" s="14">
        <f t="shared" si="0"/>
        <v>251038</v>
      </c>
      <c r="G9" s="14">
        <f t="shared" ref="G9:H9" si="1">SUM(G7:G8)</f>
        <v>273107</v>
      </c>
      <c r="H9" s="14">
        <f t="shared" si="1"/>
        <v>13505</v>
      </c>
      <c r="I9" s="14">
        <f t="shared" si="0"/>
        <v>286612</v>
      </c>
    </row>
    <row r="10" spans="2:9" x14ac:dyDescent="0.25">
      <c r="B10" s="47" t="s">
        <v>46</v>
      </c>
      <c r="C10" s="46" t="s">
        <v>47</v>
      </c>
      <c r="D10" s="13">
        <v>51536</v>
      </c>
      <c r="E10" s="13">
        <v>1610</v>
      </c>
      <c r="F10" s="14">
        <f t="shared" ref="F10:F15" si="2">+D10+E10</f>
        <v>53146</v>
      </c>
      <c r="G10" s="13">
        <f>64625-H10</f>
        <v>63015</v>
      </c>
      <c r="H10" s="13">
        <v>1610</v>
      </c>
      <c r="I10" s="14">
        <f t="shared" ref="I10:I15" si="3">+G10+H10</f>
        <v>64625</v>
      </c>
    </row>
    <row r="11" spans="2:9" x14ac:dyDescent="0.25">
      <c r="B11" s="44" t="s">
        <v>48</v>
      </c>
      <c r="C11" s="43" t="s">
        <v>49</v>
      </c>
      <c r="D11" s="13">
        <v>49075</v>
      </c>
      <c r="E11" s="13">
        <v>805</v>
      </c>
      <c r="F11" s="14">
        <f t="shared" si="2"/>
        <v>49880</v>
      </c>
      <c r="G11" s="13">
        <f>58899-H11</f>
        <v>58094</v>
      </c>
      <c r="H11" s="13">
        <v>805</v>
      </c>
      <c r="I11" s="14">
        <f t="shared" si="3"/>
        <v>58899</v>
      </c>
    </row>
    <row r="12" spans="2:9" x14ac:dyDescent="0.25">
      <c r="B12" s="44" t="s">
        <v>50</v>
      </c>
      <c r="C12" s="43" t="s">
        <v>51</v>
      </c>
      <c r="D12" s="13">
        <v>1517</v>
      </c>
      <c r="E12" s="13">
        <v>0</v>
      </c>
      <c r="F12" s="14">
        <f t="shared" si="2"/>
        <v>1517</v>
      </c>
      <c r="G12" s="13">
        <v>978</v>
      </c>
      <c r="H12" s="13">
        <v>0</v>
      </c>
      <c r="I12" s="14">
        <f t="shared" si="3"/>
        <v>978</v>
      </c>
    </row>
    <row r="13" spans="2:9" x14ac:dyDescent="0.25">
      <c r="B13" s="44" t="s">
        <v>52</v>
      </c>
      <c r="C13" s="43" t="s">
        <v>53</v>
      </c>
      <c r="D13" s="13">
        <v>44667</v>
      </c>
      <c r="E13" s="13">
        <v>375</v>
      </c>
      <c r="F13" s="14">
        <f t="shared" si="2"/>
        <v>45042</v>
      </c>
      <c r="G13" s="13">
        <f>45446-H13</f>
        <v>45071</v>
      </c>
      <c r="H13" s="13">
        <v>375</v>
      </c>
      <c r="I13" s="14">
        <f t="shared" si="3"/>
        <v>45446</v>
      </c>
    </row>
    <row r="14" spans="2:9" x14ac:dyDescent="0.25">
      <c r="B14" s="44" t="s">
        <v>54</v>
      </c>
      <c r="C14" s="43" t="s">
        <v>55</v>
      </c>
      <c r="D14" s="13">
        <v>265</v>
      </c>
      <c r="E14" s="13">
        <v>0</v>
      </c>
      <c r="F14" s="14">
        <f t="shared" si="2"/>
        <v>265</v>
      </c>
      <c r="G14" s="13">
        <v>118</v>
      </c>
      <c r="H14" s="13">
        <v>0</v>
      </c>
      <c r="I14" s="14">
        <f t="shared" si="3"/>
        <v>118</v>
      </c>
    </row>
    <row r="15" spans="2:9" x14ac:dyDescent="0.25">
      <c r="B15" s="44" t="s">
        <v>56</v>
      </c>
      <c r="C15" s="43" t="s">
        <v>57</v>
      </c>
      <c r="D15" s="13">
        <v>27282</v>
      </c>
      <c r="E15" s="13">
        <v>638</v>
      </c>
      <c r="F15" s="14">
        <f t="shared" si="2"/>
        <v>27920</v>
      </c>
      <c r="G15" s="13">
        <f>24384-H15</f>
        <v>23746</v>
      </c>
      <c r="H15" s="13">
        <v>638</v>
      </c>
      <c r="I15" s="14">
        <f t="shared" si="3"/>
        <v>24384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122806</v>
      </c>
      <c r="E16" s="14">
        <f t="shared" si="4"/>
        <v>1818</v>
      </c>
      <c r="F16" s="14">
        <f t="shared" si="4"/>
        <v>124624</v>
      </c>
      <c r="G16" s="14">
        <f t="shared" ref="G16:H16" si="5">SUM(G11:G15)</f>
        <v>128007</v>
      </c>
      <c r="H16" s="14">
        <f t="shared" si="5"/>
        <v>1818</v>
      </c>
      <c r="I16" s="14">
        <f t="shared" si="4"/>
        <v>129825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:H32" si="9">SUM(G18:G31)</f>
        <v>0</v>
      </c>
      <c r="H32" s="14">
        <f t="shared" si="9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411875</v>
      </c>
      <c r="E33" s="53">
        <f t="shared" si="10"/>
        <v>16933</v>
      </c>
      <c r="F33" s="53">
        <f t="shared" si="10"/>
        <v>428808</v>
      </c>
      <c r="G33" s="53">
        <f t="shared" ref="G33:H33" si="11">+G32+G17+G16+G10+G9</f>
        <v>464129</v>
      </c>
      <c r="H33" s="53">
        <f t="shared" si="11"/>
        <v>16933</v>
      </c>
      <c r="I33" s="53">
        <f t="shared" si="10"/>
        <v>481062</v>
      </c>
    </row>
    <row r="34" spans="2:9" x14ac:dyDescent="0.25">
      <c r="B34" s="54" t="s">
        <v>93</v>
      </c>
      <c r="C34" s="43" t="s">
        <v>94</v>
      </c>
      <c r="D34" s="13">
        <v>355</v>
      </c>
      <c r="E34" s="13"/>
      <c r="F34" s="14">
        <f t="shared" ref="F34:F40" si="12">+D34+E34</f>
        <v>355</v>
      </c>
      <c r="G34" s="13">
        <v>0</v>
      </c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>
        <v>200</v>
      </c>
      <c r="E35" s="13"/>
      <c r="F35" s="14">
        <f t="shared" si="12"/>
        <v>200</v>
      </c>
      <c r="G35" s="13">
        <v>1385</v>
      </c>
      <c r="H35" s="13"/>
      <c r="I35" s="14">
        <f t="shared" si="13"/>
        <v>1385</v>
      </c>
    </row>
    <row r="36" spans="2:9" x14ac:dyDescent="0.25">
      <c r="B36" s="54" t="s">
        <v>97</v>
      </c>
      <c r="C36" s="43" t="s">
        <v>98</v>
      </c>
      <c r="D36" s="13">
        <v>625</v>
      </c>
      <c r="E36" s="13"/>
      <c r="F36" s="14">
        <f t="shared" si="12"/>
        <v>625</v>
      </c>
      <c r="G36" s="13">
        <v>414</v>
      </c>
      <c r="H36" s="13"/>
      <c r="I36" s="14">
        <f t="shared" si="13"/>
        <v>414</v>
      </c>
    </row>
    <row r="37" spans="2:9" x14ac:dyDescent="0.25">
      <c r="B37" s="54" t="s">
        <v>99</v>
      </c>
      <c r="C37" s="43" t="s">
        <v>100</v>
      </c>
      <c r="D37" s="13">
        <v>2250</v>
      </c>
      <c r="E37" s="13"/>
      <c r="F37" s="14">
        <f t="shared" si="12"/>
        <v>2250</v>
      </c>
      <c r="G37" s="13">
        <v>3279</v>
      </c>
      <c r="H37" s="13"/>
      <c r="I37" s="14">
        <f t="shared" si="13"/>
        <v>3279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925</v>
      </c>
      <c r="E40" s="13"/>
      <c r="F40" s="14">
        <f t="shared" si="12"/>
        <v>925</v>
      </c>
      <c r="G40" s="13">
        <f>1614-235</f>
        <v>1379</v>
      </c>
      <c r="H40" s="13"/>
      <c r="I40" s="14">
        <f t="shared" si="13"/>
        <v>1379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4355</v>
      </c>
      <c r="E41" s="14">
        <f t="shared" si="14"/>
        <v>0</v>
      </c>
      <c r="F41" s="14">
        <f t="shared" si="14"/>
        <v>4355</v>
      </c>
      <c r="G41" s="14">
        <f t="shared" si="14"/>
        <v>6457</v>
      </c>
      <c r="H41" s="14">
        <f t="shared" si="14"/>
        <v>0</v>
      </c>
      <c r="I41" s="14">
        <f t="shared" si="14"/>
        <v>6457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idden="1" x14ac:dyDescent="0.25">
      <c r="B48" s="57" t="s">
        <v>668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4355</v>
      </c>
      <c r="E57" s="53">
        <f t="shared" si="19"/>
        <v>0</v>
      </c>
      <c r="F57" s="53">
        <f t="shared" si="19"/>
        <v>4355</v>
      </c>
      <c r="G57" s="53">
        <f t="shared" si="19"/>
        <v>6457</v>
      </c>
      <c r="H57" s="53">
        <f t="shared" si="19"/>
        <v>0</v>
      </c>
      <c r="I57" s="53">
        <f t="shared" si="19"/>
        <v>6457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416230</v>
      </c>
      <c r="E58" s="60">
        <f t="shared" si="20"/>
        <v>16933</v>
      </c>
      <c r="F58" s="60">
        <f t="shared" si="20"/>
        <v>433163</v>
      </c>
      <c r="G58" s="60">
        <f t="shared" si="20"/>
        <v>470586</v>
      </c>
      <c r="H58" s="60">
        <f t="shared" si="20"/>
        <v>16933</v>
      </c>
      <c r="I58" s="60">
        <f t="shared" si="20"/>
        <v>487519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416230</v>
      </c>
      <c r="E64" s="18">
        <f t="shared" si="22"/>
        <v>16933</v>
      </c>
      <c r="F64" s="18">
        <f t="shared" si="22"/>
        <v>433163</v>
      </c>
      <c r="G64" s="18">
        <f t="shared" si="22"/>
        <v>470586</v>
      </c>
      <c r="H64" s="18">
        <f t="shared" si="22"/>
        <v>16933</v>
      </c>
      <c r="I64" s="18">
        <f t="shared" si="22"/>
        <v>487519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/>
      <c r="E73" s="13">
        <v>14017</v>
      </c>
      <c r="F73" s="14">
        <f t="shared" si="23"/>
        <v>14017</v>
      </c>
      <c r="G73" s="13"/>
      <c r="H73" s="13">
        <v>14017</v>
      </c>
      <c r="I73" s="14">
        <f t="shared" si="24"/>
        <v>14017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0</v>
      </c>
      <c r="E74" s="14">
        <f t="shared" si="25"/>
        <v>14017</v>
      </c>
      <c r="F74" s="14">
        <f t="shared" si="25"/>
        <v>14017</v>
      </c>
      <c r="G74" s="14">
        <f t="shared" ref="G74:H74" si="26">+G73+G72+G71+G70+G69+G68</f>
        <v>0</v>
      </c>
      <c r="H74" s="14">
        <f t="shared" si="26"/>
        <v>14017</v>
      </c>
      <c r="I74" s="14">
        <f t="shared" si="25"/>
        <v>14017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:H82" si="30">SUM(G76:G81)</f>
        <v>0</v>
      </c>
      <c r="H82" s="14">
        <f t="shared" si="30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/>
      <c r="F83" s="14">
        <f t="shared" ref="F83:F93" si="31">+E83+D83</f>
        <v>0</v>
      </c>
      <c r="G83" s="13"/>
      <c r="H83" s="13"/>
      <c r="I83" s="14">
        <f t="shared" ref="I83:I93" si="32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0</v>
      </c>
      <c r="E84" s="13">
        <v>2296</v>
      </c>
      <c r="F84" s="14">
        <f t="shared" si="31"/>
        <v>2296</v>
      </c>
      <c r="G84" s="13">
        <v>0</v>
      </c>
      <c r="H84" s="13">
        <v>3205</v>
      </c>
      <c r="I84" s="14">
        <f t="shared" si="32"/>
        <v>3205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1"/>
        <v>0</v>
      </c>
      <c r="G85" s="13"/>
      <c r="H85" s="13"/>
      <c r="I85" s="14">
        <f t="shared" si="32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>
        <v>118167</v>
      </c>
      <c r="E87" s="13">
        <v>0</v>
      </c>
      <c r="F87" s="14">
        <f t="shared" si="31"/>
        <v>118167</v>
      </c>
      <c r="G87" s="13">
        <v>118167</v>
      </c>
      <c r="H87" s="13">
        <v>0</v>
      </c>
      <c r="I87" s="14">
        <f t="shared" si="32"/>
        <v>118167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2923</v>
      </c>
      <c r="E88" s="13">
        <v>620</v>
      </c>
      <c r="F88" s="14">
        <f t="shared" si="31"/>
        <v>3543</v>
      </c>
      <c r="G88" s="13">
        <f>3789-H88</f>
        <v>3169</v>
      </c>
      <c r="H88" s="13">
        <v>620</v>
      </c>
      <c r="I88" s="14">
        <f t="shared" si="32"/>
        <v>3789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1"/>
        <v>0</v>
      </c>
      <c r="G90" s="13"/>
      <c r="H90" s="13"/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/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>
        <v>0</v>
      </c>
      <c r="E93" s="13"/>
      <c r="F93" s="14">
        <f t="shared" si="31"/>
        <v>0</v>
      </c>
      <c r="G93" s="13">
        <v>1880</v>
      </c>
      <c r="H93" s="13"/>
      <c r="I93" s="14">
        <f t="shared" si="32"/>
        <v>1880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121090</v>
      </c>
      <c r="E94" s="14">
        <f t="shared" si="33"/>
        <v>2916</v>
      </c>
      <c r="F94" s="14">
        <f t="shared" si="33"/>
        <v>124006</v>
      </c>
      <c r="G94" s="14">
        <f t="shared" si="33"/>
        <v>123216</v>
      </c>
      <c r="H94" s="14">
        <f t="shared" si="33"/>
        <v>3825</v>
      </c>
      <c r="I94" s="14">
        <f t="shared" si="33"/>
        <v>127041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>
        <v>7531</v>
      </c>
      <c r="H101" s="13"/>
      <c r="I101" s="14">
        <f>+H101+G101</f>
        <v>7531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>
        <v>0</v>
      </c>
      <c r="E106" s="13"/>
      <c r="F106" s="14">
        <f>+E106+D106</f>
        <v>0</v>
      </c>
      <c r="G106" s="13">
        <v>950</v>
      </c>
      <c r="H106" s="13"/>
      <c r="I106" s="14">
        <f>+H106+G106</f>
        <v>950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5">SUM(D102:D106)</f>
        <v>0</v>
      </c>
      <c r="E107" s="14">
        <f t="shared" si="35"/>
        <v>0</v>
      </c>
      <c r="F107" s="14">
        <f t="shared" si="35"/>
        <v>0</v>
      </c>
      <c r="G107" s="14">
        <f t="shared" si="35"/>
        <v>950</v>
      </c>
      <c r="H107" s="14">
        <f t="shared" si="35"/>
        <v>0</v>
      </c>
      <c r="I107" s="14">
        <f t="shared" si="35"/>
        <v>950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6">+D107+D101+D100+D94+D82+D75+D74</f>
        <v>121090</v>
      </c>
      <c r="E108" s="60">
        <f t="shared" si="36"/>
        <v>16933</v>
      </c>
      <c r="F108" s="60">
        <f t="shared" si="36"/>
        <v>138023</v>
      </c>
      <c r="G108" s="60">
        <f t="shared" si="36"/>
        <v>131697</v>
      </c>
      <c r="H108" s="60">
        <f t="shared" si="36"/>
        <v>17842</v>
      </c>
      <c r="I108" s="60">
        <f t="shared" si="36"/>
        <v>149539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-290785</v>
      </c>
      <c r="E109" s="75">
        <f>+E101+E94+E82+E74-E33</f>
        <v>0</v>
      </c>
      <c r="F109" s="75">
        <f t="shared" ref="F109:F116" si="37">+E109+D109</f>
        <v>-290785</v>
      </c>
      <c r="G109" s="75">
        <f>+G101+G94+G82+G74-G33</f>
        <v>-333382</v>
      </c>
      <c r="H109" s="75">
        <f>+H101+H94+H82+H74-H33</f>
        <v>909</v>
      </c>
      <c r="I109" s="75">
        <f t="shared" ref="I109:I116" si="38">+H109+G109</f>
        <v>-332473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-4355</v>
      </c>
      <c r="E110" s="75">
        <f>+E107+E100+E75-E57</f>
        <v>0</v>
      </c>
      <c r="F110" s="75">
        <f t="shared" si="37"/>
        <v>-4355</v>
      </c>
      <c r="G110" s="75">
        <f>+G107+G100+G75-G57</f>
        <v>-5507</v>
      </c>
      <c r="H110" s="75">
        <f>+H107+H100+H75-H57</f>
        <v>0</v>
      </c>
      <c r="I110" s="75">
        <f t="shared" si="38"/>
        <v>-5507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t="15.95" hidden="1" customHeight="1" x14ac:dyDescent="0.25">
      <c r="B111" s="48" t="s">
        <v>657</v>
      </c>
      <c r="C111" s="47" t="s">
        <v>283</v>
      </c>
      <c r="D111" s="13"/>
      <c r="E111" s="13"/>
      <c r="F111" s="14">
        <f t="shared" si="37"/>
        <v>0</v>
      </c>
      <c r="G111" s="13"/>
      <c r="H111" s="13"/>
      <c r="I111" s="14">
        <f t="shared" si="38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7"/>
        <v>0</v>
      </c>
      <c r="G112" s="13"/>
      <c r="H112" s="13"/>
      <c r="I112" s="14">
        <f t="shared" si="38"/>
        <v>0</v>
      </c>
    </row>
    <row r="113" spans="1:9" x14ac:dyDescent="0.25">
      <c r="B113" s="44" t="s">
        <v>294</v>
      </c>
      <c r="C113" s="44" t="s">
        <v>295</v>
      </c>
      <c r="D113" s="13"/>
      <c r="E113" s="13"/>
      <c r="F113" s="14">
        <f t="shared" si="37"/>
        <v>0</v>
      </c>
      <c r="G113" s="13">
        <v>739</v>
      </c>
      <c r="H113" s="13"/>
      <c r="I113" s="14">
        <f t="shared" si="38"/>
        <v>739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7"/>
        <v>0</v>
      </c>
      <c r="G114" s="13">
        <v>0</v>
      </c>
      <c r="H114" s="13"/>
      <c r="I114" s="14">
        <f t="shared" si="38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7"/>
        <v>0</v>
      </c>
      <c r="G115" s="13"/>
      <c r="H115" s="13"/>
      <c r="I115" s="14">
        <f t="shared" si="38"/>
        <v>0</v>
      </c>
    </row>
    <row r="116" spans="1:9" hidden="1" x14ac:dyDescent="0.25">
      <c r="A116" s="79" t="s">
        <v>332</v>
      </c>
      <c r="B116" s="44" t="s">
        <v>299</v>
      </c>
      <c r="C116" s="44" t="s">
        <v>298</v>
      </c>
      <c r="D116" s="13"/>
      <c r="E116" s="13"/>
      <c r="F116" s="14">
        <f t="shared" si="37"/>
        <v>0</v>
      </c>
      <c r="G116" s="13"/>
      <c r="H116" s="13"/>
      <c r="I116" s="14">
        <f t="shared" si="38"/>
        <v>0</v>
      </c>
    </row>
    <row r="117" spans="1:9" x14ac:dyDescent="0.25">
      <c r="A117" s="79" t="s">
        <v>670</v>
      </c>
      <c r="B117" s="47" t="s">
        <v>300</v>
      </c>
      <c r="C117" s="47" t="s">
        <v>301</v>
      </c>
      <c r="D117" s="14">
        <f t="shared" ref="D117:I117" si="39">SUM(D113:D116)</f>
        <v>0</v>
      </c>
      <c r="E117" s="14">
        <f t="shared" si="39"/>
        <v>0</v>
      </c>
      <c r="F117" s="14">
        <f t="shared" si="39"/>
        <v>0</v>
      </c>
      <c r="G117" s="14">
        <f t="shared" si="39"/>
        <v>739</v>
      </c>
      <c r="H117" s="14">
        <f t="shared" si="39"/>
        <v>0</v>
      </c>
      <c r="I117" s="14">
        <f t="shared" si="39"/>
        <v>739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0">+E118+D118</f>
        <v>0</v>
      </c>
      <c r="G118" s="13"/>
      <c r="H118" s="13"/>
      <c r="I118" s="14">
        <f t="shared" ref="I118:I125" si="41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0"/>
        <v>0</v>
      </c>
      <c r="G119" s="13"/>
      <c r="H119" s="13"/>
      <c r="I119" s="14">
        <f t="shared" si="41"/>
        <v>0</v>
      </c>
    </row>
    <row r="120" spans="1:9" x14ac:dyDescent="0.25">
      <c r="A120" s="19" t="s">
        <v>679</v>
      </c>
      <c r="B120" s="63" t="s">
        <v>306</v>
      </c>
      <c r="C120" s="44" t="s">
        <v>307</v>
      </c>
      <c r="D120" s="13">
        <v>295140</v>
      </c>
      <c r="E120" s="13">
        <v>0</v>
      </c>
      <c r="F120" s="14">
        <f t="shared" si="40"/>
        <v>295140</v>
      </c>
      <c r="G120" s="13">
        <v>337241</v>
      </c>
      <c r="H120" s="13">
        <v>0</v>
      </c>
      <c r="I120" s="14">
        <f t="shared" si="41"/>
        <v>337241</v>
      </c>
    </row>
    <row r="121" spans="1:9" s="249" customFormat="1" x14ac:dyDescent="0.25">
      <c r="B121" s="250" t="s">
        <v>672</v>
      </c>
      <c r="C121" s="145"/>
      <c r="D121" s="94">
        <v>224674</v>
      </c>
      <c r="E121" s="94">
        <v>0</v>
      </c>
      <c r="F121" s="127">
        <f t="shared" si="40"/>
        <v>224674</v>
      </c>
      <c r="G121" s="94">
        <f>+G120-G122</f>
        <v>266775</v>
      </c>
      <c r="H121" s="94">
        <v>0</v>
      </c>
      <c r="I121" s="127">
        <f t="shared" si="41"/>
        <v>266775</v>
      </c>
    </row>
    <row r="122" spans="1:9" s="249" customFormat="1" x14ac:dyDescent="0.25">
      <c r="B122" s="251" t="s">
        <v>662</v>
      </c>
      <c r="C122" s="145"/>
      <c r="D122" s="94">
        <f>+D120-D121</f>
        <v>70466</v>
      </c>
      <c r="E122" s="94">
        <f>+E120-E121</f>
        <v>0</v>
      </c>
      <c r="F122" s="127">
        <f t="shared" si="40"/>
        <v>70466</v>
      </c>
      <c r="G122" s="94">
        <v>70466</v>
      </c>
      <c r="H122" s="94">
        <f>+H120-H121</f>
        <v>0</v>
      </c>
      <c r="I122" s="127">
        <f t="shared" si="41"/>
        <v>70466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0"/>
        <v>0</v>
      </c>
      <c r="G123" s="13"/>
      <c r="H123" s="13"/>
      <c r="I123" s="14">
        <f t="shared" si="41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0"/>
        <v>0</v>
      </c>
      <c r="G124" s="13"/>
      <c r="H124" s="13"/>
      <c r="I124" s="14">
        <f t="shared" si="41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0"/>
        <v>0</v>
      </c>
      <c r="G125" s="13"/>
      <c r="H125" s="13"/>
      <c r="I125" s="14">
        <f t="shared" si="41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295140</v>
      </c>
      <c r="E126" s="14">
        <f>SUM(E118:E125)+E117+E112+E111-E121-E122</f>
        <v>0</v>
      </c>
      <c r="F126" s="14">
        <f>SUM(F118:F124)+F117+F112+F111-F121-F122</f>
        <v>295140</v>
      </c>
      <c r="G126" s="14">
        <f>SUM(G118:G125)+G117+G112+G111-G121-G122</f>
        <v>337980</v>
      </c>
      <c r="H126" s="14">
        <f>SUM(H118:H125)+H117+H112+H111-H121-H122</f>
        <v>0</v>
      </c>
      <c r="I126" s="14">
        <f>SUM(I118:I124)+I117+I112+I111-I121-I122</f>
        <v>337980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295140</v>
      </c>
      <c r="E130" s="60">
        <f>+E128+E127+E126+E129</f>
        <v>0</v>
      </c>
      <c r="F130" s="60">
        <f>+F129+F127+F126</f>
        <v>295140</v>
      </c>
      <c r="G130" s="60">
        <f>+G128+G127+G126+G129</f>
        <v>337980</v>
      </c>
      <c r="H130" s="60">
        <f>+H128+H127+H126+H129</f>
        <v>0</v>
      </c>
      <c r="I130" s="60">
        <f>+I129+I127+I126</f>
        <v>337980</v>
      </c>
    </row>
    <row r="131" spans="2:9" x14ac:dyDescent="0.25">
      <c r="B131" s="17" t="s">
        <v>324</v>
      </c>
      <c r="C131" s="17" t="s">
        <v>325</v>
      </c>
      <c r="D131" s="18">
        <f t="shared" ref="D131:I131" si="42">+D108+D130</f>
        <v>416230</v>
      </c>
      <c r="E131" s="18">
        <f t="shared" si="42"/>
        <v>16933</v>
      </c>
      <c r="F131" s="18">
        <f t="shared" si="42"/>
        <v>433163</v>
      </c>
      <c r="G131" s="18">
        <f t="shared" si="42"/>
        <v>469677</v>
      </c>
      <c r="H131" s="18">
        <f t="shared" si="42"/>
        <v>17842</v>
      </c>
      <c r="I131" s="18">
        <f t="shared" si="42"/>
        <v>487519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3">+D108-D58</f>
        <v>-295140</v>
      </c>
      <c r="E133" s="14">
        <f t="shared" si="43"/>
        <v>0</v>
      </c>
      <c r="F133" s="14">
        <f t="shared" si="43"/>
        <v>-295140</v>
      </c>
      <c r="G133" s="14">
        <f t="shared" si="43"/>
        <v>-338889</v>
      </c>
      <c r="H133" s="14">
        <f t="shared" si="43"/>
        <v>909</v>
      </c>
      <c r="I133" s="14">
        <f t="shared" si="43"/>
        <v>-337980</v>
      </c>
    </row>
    <row r="134" spans="2:9" x14ac:dyDescent="0.25">
      <c r="B134" s="15" t="s">
        <v>327</v>
      </c>
      <c r="C134" s="15"/>
      <c r="D134" s="14">
        <f t="shared" ref="D134:I134" si="44">+D130-D63</f>
        <v>295140</v>
      </c>
      <c r="E134" s="14">
        <f t="shared" si="44"/>
        <v>0</v>
      </c>
      <c r="F134" s="14">
        <f t="shared" si="44"/>
        <v>295140</v>
      </c>
      <c r="G134" s="14">
        <f t="shared" si="44"/>
        <v>337980</v>
      </c>
      <c r="H134" s="14">
        <f t="shared" si="44"/>
        <v>0</v>
      </c>
      <c r="I134" s="14">
        <f t="shared" si="44"/>
        <v>337980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5">+D131-D64</f>
        <v>0</v>
      </c>
      <c r="E136" s="3">
        <f t="shared" si="45"/>
        <v>0</v>
      </c>
      <c r="F136" s="3">
        <f t="shared" si="45"/>
        <v>0</v>
      </c>
      <c r="G136" s="3">
        <f t="shared" si="45"/>
        <v>-909</v>
      </c>
      <c r="H136" s="3">
        <f t="shared" si="45"/>
        <v>909</v>
      </c>
      <c r="I136" s="3">
        <f t="shared" si="45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19" customWidth="1"/>
    <col min="2" max="2" width="72.5703125" style="19" customWidth="1"/>
    <col min="3" max="3" width="10.28515625" style="19" customWidth="1"/>
    <col min="4" max="5" width="10.140625" style="19" customWidth="1"/>
    <col min="6" max="6" width="10.14062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680</v>
      </c>
    </row>
    <row r="2" spans="2:9" s="2" customFormat="1" ht="20.25" x14ac:dyDescent="0.3">
      <c r="B2" s="244" t="s">
        <v>4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v>269742</v>
      </c>
      <c r="E7" s="13"/>
      <c r="F7" s="14">
        <f>+D7+E7</f>
        <v>269742</v>
      </c>
      <c r="G7" s="13">
        <v>279457</v>
      </c>
      <c r="H7" s="13"/>
      <c r="I7" s="14">
        <f>+G7+H7</f>
        <v>279457</v>
      </c>
    </row>
    <row r="8" spans="2:9" x14ac:dyDescent="0.25">
      <c r="B8" s="44" t="s">
        <v>42</v>
      </c>
      <c r="C8" s="43" t="s">
        <v>43</v>
      </c>
      <c r="D8" s="13">
        <v>715</v>
      </c>
      <c r="E8" s="13"/>
      <c r="F8" s="14">
        <f>+D8+E8</f>
        <v>715</v>
      </c>
      <c r="G8" s="13">
        <v>715</v>
      </c>
      <c r="H8" s="13"/>
      <c r="I8" s="14">
        <f>+G8+H8</f>
        <v>715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270457</v>
      </c>
      <c r="E9" s="14">
        <f t="shared" si="0"/>
        <v>0</v>
      </c>
      <c r="F9" s="14">
        <f t="shared" si="0"/>
        <v>270457</v>
      </c>
      <c r="G9" s="14">
        <f t="shared" ref="G9" si="1">SUM(G7:G8)</f>
        <v>280172</v>
      </c>
      <c r="H9" s="14">
        <f t="shared" si="0"/>
        <v>0</v>
      </c>
      <c r="I9" s="14">
        <f t="shared" si="0"/>
        <v>280172</v>
      </c>
    </row>
    <row r="10" spans="2:9" x14ac:dyDescent="0.25">
      <c r="B10" s="47" t="s">
        <v>46</v>
      </c>
      <c r="C10" s="46" t="s">
        <v>47</v>
      </c>
      <c r="D10" s="13">
        <v>58686</v>
      </c>
      <c r="E10" s="13"/>
      <c r="F10" s="14">
        <f t="shared" ref="F10:F15" si="2">+D10+E10</f>
        <v>58686</v>
      </c>
      <c r="G10" s="13">
        <v>60841</v>
      </c>
      <c r="H10" s="13"/>
      <c r="I10" s="14">
        <f t="shared" ref="I10:I15" si="3">+G10+H10</f>
        <v>60841</v>
      </c>
    </row>
    <row r="11" spans="2:9" x14ac:dyDescent="0.25">
      <c r="B11" s="44" t="s">
        <v>48</v>
      </c>
      <c r="C11" s="43" t="s">
        <v>49</v>
      </c>
      <c r="D11" s="13">
        <v>111348</v>
      </c>
      <c r="E11" s="13"/>
      <c r="F11" s="14">
        <f t="shared" si="2"/>
        <v>111348</v>
      </c>
      <c r="G11" s="13">
        <v>111223</v>
      </c>
      <c r="H11" s="13"/>
      <c r="I11" s="14">
        <f t="shared" si="3"/>
        <v>111223</v>
      </c>
    </row>
    <row r="12" spans="2:9" x14ac:dyDescent="0.25">
      <c r="B12" s="44" t="s">
        <v>50</v>
      </c>
      <c r="C12" s="43" t="s">
        <v>51</v>
      </c>
      <c r="D12" s="13">
        <v>1350</v>
      </c>
      <c r="E12" s="13"/>
      <c r="F12" s="14">
        <f t="shared" si="2"/>
        <v>1350</v>
      </c>
      <c r="G12" s="13">
        <v>1350</v>
      </c>
      <c r="H12" s="13"/>
      <c r="I12" s="14">
        <f t="shared" si="3"/>
        <v>1350</v>
      </c>
    </row>
    <row r="13" spans="2:9" x14ac:dyDescent="0.25">
      <c r="B13" s="44" t="s">
        <v>52</v>
      </c>
      <c r="C13" s="43" t="s">
        <v>53</v>
      </c>
      <c r="D13" s="13">
        <v>35108</v>
      </c>
      <c r="E13" s="13"/>
      <c r="F13" s="14">
        <f t="shared" si="2"/>
        <v>35108</v>
      </c>
      <c r="G13" s="13">
        <v>35251</v>
      </c>
      <c r="H13" s="13"/>
      <c r="I13" s="14">
        <f t="shared" si="3"/>
        <v>35251</v>
      </c>
    </row>
    <row r="14" spans="2:9" x14ac:dyDescent="0.25">
      <c r="B14" s="44" t="s">
        <v>54</v>
      </c>
      <c r="C14" s="43" t="s">
        <v>55</v>
      </c>
      <c r="D14" s="13">
        <v>70</v>
      </c>
      <c r="E14" s="13"/>
      <c r="F14" s="14">
        <f t="shared" si="2"/>
        <v>70</v>
      </c>
      <c r="G14" s="13">
        <v>70</v>
      </c>
      <c r="H14" s="13"/>
      <c r="I14" s="14">
        <f t="shared" si="3"/>
        <v>70</v>
      </c>
    </row>
    <row r="15" spans="2:9" x14ac:dyDescent="0.25">
      <c r="B15" s="44" t="s">
        <v>56</v>
      </c>
      <c r="C15" s="43" t="s">
        <v>57</v>
      </c>
      <c r="D15" s="13">
        <v>38739</v>
      </c>
      <c r="E15" s="13"/>
      <c r="F15" s="14">
        <f t="shared" si="2"/>
        <v>38739</v>
      </c>
      <c r="G15" s="13">
        <v>38153</v>
      </c>
      <c r="H15" s="13"/>
      <c r="I15" s="14">
        <f t="shared" si="3"/>
        <v>38153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186615</v>
      </c>
      <c r="E16" s="14">
        <f t="shared" si="4"/>
        <v>0</v>
      </c>
      <c r="F16" s="14">
        <f t="shared" si="4"/>
        <v>186615</v>
      </c>
      <c r="G16" s="14">
        <f t="shared" ref="G16" si="5">SUM(G11:G15)</f>
        <v>186047</v>
      </c>
      <c r="H16" s="14">
        <f t="shared" si="4"/>
        <v>0</v>
      </c>
      <c r="I16" s="14">
        <f t="shared" si="4"/>
        <v>186047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515758</v>
      </c>
      <c r="E33" s="53">
        <f t="shared" si="10"/>
        <v>0</v>
      </c>
      <c r="F33" s="53">
        <f t="shared" si="10"/>
        <v>515758</v>
      </c>
      <c r="G33" s="53">
        <f t="shared" ref="G33" si="11">+G32+G17+G16+G10+G9</f>
        <v>527060</v>
      </c>
      <c r="H33" s="53">
        <f t="shared" si="10"/>
        <v>0</v>
      </c>
      <c r="I33" s="53">
        <f t="shared" si="10"/>
        <v>527060</v>
      </c>
    </row>
    <row r="34" spans="2:9" x14ac:dyDescent="0.25">
      <c r="B34" s="54" t="s">
        <v>93</v>
      </c>
      <c r="C34" s="43" t="s">
        <v>94</v>
      </c>
      <c r="D34" s="13">
        <v>0</v>
      </c>
      <c r="E34" s="13"/>
      <c r="F34" s="14">
        <f t="shared" ref="F34:F40" si="12">+D34+E34</f>
        <v>0</v>
      </c>
      <c r="G34" s="13">
        <v>0</v>
      </c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0</v>
      </c>
      <c r="E36" s="13"/>
      <c r="F36" s="14">
        <f t="shared" si="12"/>
        <v>0</v>
      </c>
      <c r="G36" s="13">
        <v>212</v>
      </c>
      <c r="H36" s="13"/>
      <c r="I36" s="14">
        <f t="shared" si="13"/>
        <v>212</v>
      </c>
    </row>
    <row r="37" spans="2:9" x14ac:dyDescent="0.25">
      <c r="B37" s="54" t="s">
        <v>99</v>
      </c>
      <c r="C37" s="43" t="s">
        <v>100</v>
      </c>
      <c r="D37" s="13">
        <v>4738</v>
      </c>
      <c r="E37" s="13"/>
      <c r="F37" s="14">
        <f t="shared" si="12"/>
        <v>4738</v>
      </c>
      <c r="G37" s="13">
        <v>4550</v>
      </c>
      <c r="H37" s="13"/>
      <c r="I37" s="14">
        <f t="shared" si="13"/>
        <v>4550</v>
      </c>
    </row>
    <row r="38" spans="2:9" hidden="1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hidden="1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1279</v>
      </c>
      <c r="E40" s="13"/>
      <c r="F40" s="14">
        <f t="shared" si="12"/>
        <v>1279</v>
      </c>
      <c r="G40" s="13">
        <f>1279+6</f>
        <v>1285</v>
      </c>
      <c r="H40" s="13"/>
      <c r="I40" s="14">
        <f t="shared" si="13"/>
        <v>1285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6017</v>
      </c>
      <c r="E41" s="14">
        <f t="shared" si="14"/>
        <v>0</v>
      </c>
      <c r="F41" s="14">
        <f t="shared" si="14"/>
        <v>6017</v>
      </c>
      <c r="G41" s="14">
        <f t="shared" ref="G41" si="15">SUM(G34:G40)</f>
        <v>6047</v>
      </c>
      <c r="H41" s="14">
        <f t="shared" si="14"/>
        <v>0</v>
      </c>
      <c r="I41" s="14">
        <f t="shared" si="14"/>
        <v>6047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0</v>
      </c>
      <c r="E46" s="14">
        <f t="shared" si="16"/>
        <v>0</v>
      </c>
      <c r="F46" s="14">
        <f t="shared" si="16"/>
        <v>0</v>
      </c>
      <c r="G46" s="14">
        <f t="shared" si="16"/>
        <v>0</v>
      </c>
      <c r="H46" s="14">
        <f t="shared" si="16"/>
        <v>0</v>
      </c>
      <c r="I46" s="14">
        <f t="shared" si="16"/>
        <v>0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668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6017</v>
      </c>
      <c r="E57" s="53">
        <f t="shared" si="20"/>
        <v>0</v>
      </c>
      <c r="F57" s="53">
        <f t="shared" si="20"/>
        <v>6017</v>
      </c>
      <c r="G57" s="53">
        <f t="shared" si="20"/>
        <v>6047</v>
      </c>
      <c r="H57" s="53">
        <f t="shared" si="20"/>
        <v>0</v>
      </c>
      <c r="I57" s="53">
        <f t="shared" si="20"/>
        <v>6047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521775</v>
      </c>
      <c r="E58" s="60">
        <f t="shared" si="21"/>
        <v>0</v>
      </c>
      <c r="F58" s="60">
        <f t="shared" si="21"/>
        <v>521775</v>
      </c>
      <c r="G58" s="60">
        <f t="shared" si="21"/>
        <v>533107</v>
      </c>
      <c r="H58" s="60">
        <f t="shared" si="21"/>
        <v>0</v>
      </c>
      <c r="I58" s="60">
        <f t="shared" si="21"/>
        <v>533107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521775</v>
      </c>
      <c r="E64" s="18">
        <f t="shared" si="23"/>
        <v>0</v>
      </c>
      <c r="F64" s="18">
        <f t="shared" si="23"/>
        <v>521775</v>
      </c>
      <c r="G64" s="18">
        <f t="shared" si="23"/>
        <v>533107</v>
      </c>
      <c r="H64" s="18">
        <f t="shared" si="23"/>
        <v>0</v>
      </c>
      <c r="I64" s="18">
        <f t="shared" si="23"/>
        <v>533107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14276</v>
      </c>
      <c r="E73" s="13"/>
      <c r="F73" s="14">
        <f t="shared" si="24"/>
        <v>14276</v>
      </c>
      <c r="G73" s="13">
        <v>14276</v>
      </c>
      <c r="H73" s="13"/>
      <c r="I73" s="14">
        <f t="shared" si="25"/>
        <v>14276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14276</v>
      </c>
      <c r="E74" s="14">
        <f t="shared" si="26"/>
        <v>0</v>
      </c>
      <c r="F74" s="14">
        <f t="shared" si="26"/>
        <v>14276</v>
      </c>
      <c r="G74" s="14">
        <f t="shared" ref="G74" si="27">+G73+G72+G71+G70+G69+G68</f>
        <v>14276</v>
      </c>
      <c r="H74" s="14">
        <f t="shared" si="26"/>
        <v>0</v>
      </c>
      <c r="I74" s="14">
        <f t="shared" si="26"/>
        <v>14276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6820</v>
      </c>
      <c r="E84" s="13"/>
      <c r="F84" s="14">
        <f t="shared" si="32"/>
        <v>6820</v>
      </c>
      <c r="G84" s="13">
        <v>6820</v>
      </c>
      <c r="H84" s="13"/>
      <c r="I84" s="14">
        <f t="shared" si="33"/>
        <v>6820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>
        <v>38039</v>
      </c>
      <c r="E87" s="13"/>
      <c r="F87" s="14">
        <f t="shared" si="32"/>
        <v>38039</v>
      </c>
      <c r="G87" s="13">
        <v>36830</v>
      </c>
      <c r="H87" s="13"/>
      <c r="I87" s="14">
        <f t="shared" si="33"/>
        <v>36830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11681</v>
      </c>
      <c r="E88" s="13"/>
      <c r="F88" s="14">
        <f t="shared" si="32"/>
        <v>11681</v>
      </c>
      <c r="G88" s="13">
        <v>11099</v>
      </c>
      <c r="H88" s="13"/>
      <c r="I88" s="14">
        <f t="shared" si="33"/>
        <v>11099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>
        <v>0</v>
      </c>
      <c r="E93" s="13"/>
      <c r="F93" s="14">
        <f t="shared" si="32"/>
        <v>0</v>
      </c>
      <c r="G93" s="13">
        <v>0</v>
      </c>
      <c r="H93" s="13"/>
      <c r="I93" s="14">
        <f t="shared" si="33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56540</v>
      </c>
      <c r="E94" s="14">
        <f t="shared" si="34"/>
        <v>0</v>
      </c>
      <c r="F94" s="14">
        <f t="shared" si="34"/>
        <v>56540</v>
      </c>
      <c r="G94" s="14">
        <f t="shared" si="34"/>
        <v>54749</v>
      </c>
      <c r="H94" s="14">
        <f t="shared" si="34"/>
        <v>0</v>
      </c>
      <c r="I94" s="14">
        <f t="shared" si="34"/>
        <v>54749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>
        <v>0</v>
      </c>
      <c r="E101" s="13"/>
      <c r="F101" s="14">
        <f>+E101+D101</f>
        <v>0</v>
      </c>
      <c r="G101" s="13">
        <v>0</v>
      </c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hidden="1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70816</v>
      </c>
      <c r="E108" s="60">
        <f t="shared" si="37"/>
        <v>0</v>
      </c>
      <c r="F108" s="60">
        <f t="shared" si="37"/>
        <v>70816</v>
      </c>
      <c r="G108" s="60">
        <f t="shared" si="37"/>
        <v>69025</v>
      </c>
      <c r="H108" s="60">
        <f t="shared" si="37"/>
        <v>0</v>
      </c>
      <c r="I108" s="60">
        <f t="shared" si="37"/>
        <v>69025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-444942</v>
      </c>
      <c r="E109" s="75">
        <f>+E101+E94+E82+E74-E33</f>
        <v>0</v>
      </c>
      <c r="F109" s="75">
        <f t="shared" ref="F109:F116" si="38">+E109+D109</f>
        <v>-444942</v>
      </c>
      <c r="G109" s="75">
        <f>+G101+G94+G82+G74-G33</f>
        <v>-458035</v>
      </c>
      <c r="H109" s="75">
        <f>+H101+H94+H82+H74-H33</f>
        <v>0</v>
      </c>
      <c r="I109" s="75">
        <f t="shared" ref="I109:I116" si="39">+H109+G109</f>
        <v>-458035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-6017</v>
      </c>
      <c r="E110" s="75">
        <f>+E107+E100+E75-E57</f>
        <v>0</v>
      </c>
      <c r="F110" s="75">
        <f t="shared" si="38"/>
        <v>-6017</v>
      </c>
      <c r="G110" s="75">
        <f>+G107+G100+G75-G57</f>
        <v>-6047</v>
      </c>
      <c r="H110" s="75">
        <f>+H107+H100+H75-H57</f>
        <v>0</v>
      </c>
      <c r="I110" s="75">
        <f t="shared" si="39"/>
        <v>-6047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>
        <v>0</v>
      </c>
      <c r="E113" s="13"/>
      <c r="F113" s="14">
        <f t="shared" si="38"/>
        <v>0</v>
      </c>
      <c r="G113" s="13">
        <v>1241</v>
      </c>
      <c r="H113" s="13"/>
      <c r="I113" s="14">
        <f t="shared" si="39"/>
        <v>1241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670</v>
      </c>
      <c r="B117" s="47" t="s">
        <v>300</v>
      </c>
      <c r="C117" s="47" t="s">
        <v>301</v>
      </c>
      <c r="D117" s="14">
        <f t="shared" ref="D117:I117" si="40">SUM(D113:D116)</f>
        <v>0</v>
      </c>
      <c r="E117" s="14">
        <f t="shared" si="40"/>
        <v>0</v>
      </c>
      <c r="F117" s="14">
        <f t="shared" si="40"/>
        <v>0</v>
      </c>
      <c r="G117" s="14">
        <f t="shared" si="40"/>
        <v>1241</v>
      </c>
      <c r="H117" s="14">
        <f t="shared" si="40"/>
        <v>0</v>
      </c>
      <c r="I117" s="14">
        <f t="shared" si="40"/>
        <v>1241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681</v>
      </c>
      <c r="B120" s="63" t="s">
        <v>306</v>
      </c>
      <c r="C120" s="44" t="s">
        <v>307</v>
      </c>
      <c r="D120" s="13">
        <v>450959</v>
      </c>
      <c r="E120" s="13"/>
      <c r="F120" s="14">
        <f t="shared" si="41"/>
        <v>450959</v>
      </c>
      <c r="G120" s="13">
        <v>462841</v>
      </c>
      <c r="H120" s="13"/>
      <c r="I120" s="14">
        <f t="shared" si="42"/>
        <v>462841</v>
      </c>
    </row>
    <row r="121" spans="1:9" s="249" customFormat="1" x14ac:dyDescent="0.25">
      <c r="B121" s="250" t="s">
        <v>672</v>
      </c>
      <c r="C121" s="145"/>
      <c r="D121" s="94">
        <v>369795</v>
      </c>
      <c r="E121" s="94"/>
      <c r="F121" s="127">
        <f t="shared" si="41"/>
        <v>369795</v>
      </c>
      <c r="G121" s="94">
        <f>+G120-G122</f>
        <v>381695</v>
      </c>
      <c r="H121" s="94"/>
      <c r="I121" s="127">
        <f t="shared" si="42"/>
        <v>381695</v>
      </c>
    </row>
    <row r="122" spans="1:9" s="249" customFormat="1" x14ac:dyDescent="0.25">
      <c r="B122" s="251" t="s">
        <v>662</v>
      </c>
      <c r="C122" s="145"/>
      <c r="D122" s="94">
        <f>+D120-D121</f>
        <v>81164</v>
      </c>
      <c r="E122" s="94">
        <f>+E120-E121</f>
        <v>0</v>
      </c>
      <c r="F122" s="127">
        <f t="shared" si="41"/>
        <v>81164</v>
      </c>
      <c r="G122" s="94">
        <v>81146</v>
      </c>
      <c r="H122" s="94">
        <f>+H120-H121</f>
        <v>0</v>
      </c>
      <c r="I122" s="127">
        <f t="shared" si="42"/>
        <v>81146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450959</v>
      </c>
      <c r="E126" s="14">
        <f>SUM(E118:E125)+E117+E112+E111-E121-E122</f>
        <v>0</v>
      </c>
      <c r="F126" s="14">
        <f>SUM(F118:F124)+F117+F112+F111-F121-F122</f>
        <v>450959</v>
      </c>
      <c r="G126" s="14">
        <f>SUM(G118:G125)+G117+G112+G111-G121-G122</f>
        <v>464082</v>
      </c>
      <c r="H126" s="14">
        <f>SUM(H118:H125)+H117+H112+H111-H121-H122</f>
        <v>0</v>
      </c>
      <c r="I126" s="14">
        <f>SUM(I118:I124)+I117+I112+I111-I121-I122</f>
        <v>464082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450959</v>
      </c>
      <c r="E130" s="60">
        <f>+E128+E127+E126+E129</f>
        <v>0</v>
      </c>
      <c r="F130" s="60">
        <f>+F129+F127+F126</f>
        <v>450959</v>
      </c>
      <c r="G130" s="60">
        <f>+G128+G127+G126+G129</f>
        <v>464082</v>
      </c>
      <c r="H130" s="60">
        <f>+H128+H127+H126+H129</f>
        <v>0</v>
      </c>
      <c r="I130" s="60">
        <f>+I129+I127+I126</f>
        <v>464082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521775</v>
      </c>
      <c r="E131" s="18">
        <f t="shared" si="43"/>
        <v>0</v>
      </c>
      <c r="F131" s="18">
        <f t="shared" si="43"/>
        <v>521775</v>
      </c>
      <c r="G131" s="18">
        <f t="shared" si="43"/>
        <v>533107</v>
      </c>
      <c r="H131" s="18">
        <f t="shared" si="43"/>
        <v>0</v>
      </c>
      <c r="I131" s="18">
        <f t="shared" si="43"/>
        <v>533107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-450959</v>
      </c>
      <c r="E133" s="14">
        <f t="shared" si="44"/>
        <v>0</v>
      </c>
      <c r="F133" s="14">
        <f t="shared" si="44"/>
        <v>-450959</v>
      </c>
      <c r="G133" s="14">
        <f t="shared" si="44"/>
        <v>-464082</v>
      </c>
      <c r="H133" s="14">
        <f t="shared" si="44"/>
        <v>0</v>
      </c>
      <c r="I133" s="14">
        <f t="shared" si="44"/>
        <v>-464082</v>
      </c>
    </row>
    <row r="134" spans="2:9" x14ac:dyDescent="0.25">
      <c r="B134" s="15" t="s">
        <v>327</v>
      </c>
      <c r="C134" s="15"/>
      <c r="D134" s="14">
        <f t="shared" ref="D134:I134" si="45">+D130-D63</f>
        <v>450959</v>
      </c>
      <c r="E134" s="14">
        <f t="shared" si="45"/>
        <v>0</v>
      </c>
      <c r="F134" s="14">
        <f t="shared" si="45"/>
        <v>450959</v>
      </c>
      <c r="G134" s="14">
        <f t="shared" si="45"/>
        <v>464082</v>
      </c>
      <c r="H134" s="14">
        <f t="shared" si="45"/>
        <v>0</v>
      </c>
      <c r="I134" s="14">
        <f t="shared" si="45"/>
        <v>464082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3" width="10" style="19" customWidth="1"/>
    <col min="4" max="5" width="9.85546875" style="19" customWidth="1"/>
    <col min="6" max="6" width="9.855468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682</v>
      </c>
    </row>
    <row r="2" spans="2:9" s="2" customFormat="1" ht="40.5" x14ac:dyDescent="0.3">
      <c r="B2" s="244" t="s">
        <v>683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f>23398-1678</f>
        <v>21720</v>
      </c>
      <c r="E7" s="13"/>
      <c r="F7" s="14">
        <f>+D7+E7</f>
        <v>21720</v>
      </c>
      <c r="G7" s="13">
        <v>22576</v>
      </c>
      <c r="H7" s="13"/>
      <c r="I7" s="14">
        <f>+G7+H7</f>
        <v>22576</v>
      </c>
    </row>
    <row r="8" spans="2:9" x14ac:dyDescent="0.25">
      <c r="B8" s="44" t="s">
        <v>42</v>
      </c>
      <c r="C8" s="43" t="s">
        <v>43</v>
      </c>
      <c r="D8" s="13">
        <f>1631+47</f>
        <v>1678</v>
      </c>
      <c r="E8" s="13"/>
      <c r="F8" s="14">
        <f>+D8+E8</f>
        <v>1678</v>
      </c>
      <c r="G8" s="13">
        <f>1631+47</f>
        <v>1678</v>
      </c>
      <c r="H8" s="13"/>
      <c r="I8" s="14">
        <f>+G8+H8</f>
        <v>1678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23398</v>
      </c>
      <c r="E9" s="14">
        <f t="shared" si="0"/>
        <v>0</v>
      </c>
      <c r="F9" s="14">
        <f t="shared" si="0"/>
        <v>23398</v>
      </c>
      <c r="G9" s="14">
        <f t="shared" ref="G9" si="1">SUM(G7:G8)</f>
        <v>24254</v>
      </c>
      <c r="H9" s="14">
        <f t="shared" si="0"/>
        <v>0</v>
      </c>
      <c r="I9" s="14">
        <f t="shared" si="0"/>
        <v>24254</v>
      </c>
    </row>
    <row r="10" spans="2:9" x14ac:dyDescent="0.25">
      <c r="B10" s="47" t="s">
        <v>46</v>
      </c>
      <c r="C10" s="46" t="s">
        <v>47</v>
      </c>
      <c r="D10" s="13">
        <v>4950</v>
      </c>
      <c r="E10" s="13"/>
      <c r="F10" s="14">
        <f t="shared" ref="F10:F15" si="2">+D10+E10</f>
        <v>4950</v>
      </c>
      <c r="G10" s="13">
        <v>5142</v>
      </c>
      <c r="H10" s="13"/>
      <c r="I10" s="14">
        <f t="shared" ref="I10:I15" si="3">+G10+H10</f>
        <v>5142</v>
      </c>
    </row>
    <row r="11" spans="2:9" x14ac:dyDescent="0.25">
      <c r="B11" s="44" t="s">
        <v>48</v>
      </c>
      <c r="C11" s="43" t="s">
        <v>49</v>
      </c>
      <c r="D11" s="13">
        <f>290+12+300</f>
        <v>602</v>
      </c>
      <c r="E11" s="13"/>
      <c r="F11" s="14">
        <f t="shared" si="2"/>
        <v>602</v>
      </c>
      <c r="G11" s="13">
        <v>702</v>
      </c>
      <c r="H11" s="13"/>
      <c r="I11" s="14">
        <f t="shared" si="3"/>
        <v>702</v>
      </c>
    </row>
    <row r="12" spans="2:9" x14ac:dyDescent="0.25">
      <c r="B12" s="44" t="s">
        <v>50</v>
      </c>
      <c r="C12" s="43" t="s">
        <v>51</v>
      </c>
      <c r="D12" s="13">
        <f>420+70</f>
        <v>490</v>
      </c>
      <c r="E12" s="13"/>
      <c r="F12" s="14">
        <f t="shared" si="2"/>
        <v>490</v>
      </c>
      <c r="G12" s="13">
        <v>620</v>
      </c>
      <c r="H12" s="13"/>
      <c r="I12" s="14">
        <f t="shared" si="3"/>
        <v>620</v>
      </c>
    </row>
    <row r="13" spans="2:9" x14ac:dyDescent="0.25">
      <c r="B13" s="44" t="s">
        <v>52</v>
      </c>
      <c r="C13" s="43" t="s">
        <v>53</v>
      </c>
      <c r="D13" s="13">
        <f>2200+1500+1200+250+150+564+11543+66</f>
        <v>17473</v>
      </c>
      <c r="E13" s="13"/>
      <c r="F13" s="14">
        <f t="shared" si="2"/>
        <v>17473</v>
      </c>
      <c r="G13" s="13">
        <v>20669</v>
      </c>
      <c r="H13" s="13"/>
      <c r="I13" s="14">
        <f t="shared" si="3"/>
        <v>20669</v>
      </c>
    </row>
    <row r="14" spans="2:9" x14ac:dyDescent="0.25">
      <c r="B14" s="44" t="s">
        <v>54</v>
      </c>
      <c r="C14" s="43" t="s">
        <v>55</v>
      </c>
      <c r="D14" s="13">
        <v>100</v>
      </c>
      <c r="E14" s="13"/>
      <c r="F14" s="14">
        <f t="shared" si="2"/>
        <v>100</v>
      </c>
      <c r="G14" s="13">
        <v>100</v>
      </c>
      <c r="H14" s="13"/>
      <c r="I14" s="14">
        <f t="shared" si="3"/>
        <v>100</v>
      </c>
    </row>
    <row r="15" spans="2:9" x14ac:dyDescent="0.25">
      <c r="B15" s="44" t="s">
        <v>56</v>
      </c>
      <c r="C15" s="43" t="s">
        <v>57</v>
      </c>
      <c r="D15" s="13">
        <f>4405+243+2800+80</f>
        <v>7528</v>
      </c>
      <c r="E15" s="13"/>
      <c r="F15" s="14">
        <f t="shared" si="2"/>
        <v>7528</v>
      </c>
      <c r="G15" s="13">
        <f>4405+243+2800+80</f>
        <v>7528</v>
      </c>
      <c r="H15" s="13"/>
      <c r="I15" s="14">
        <f t="shared" si="3"/>
        <v>7528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26193</v>
      </c>
      <c r="E16" s="14">
        <f t="shared" si="4"/>
        <v>0</v>
      </c>
      <c r="F16" s="14">
        <f t="shared" si="4"/>
        <v>26193</v>
      </c>
      <c r="G16" s="14">
        <f t="shared" ref="G16" si="5">SUM(G11:G15)</f>
        <v>29619</v>
      </c>
      <c r="H16" s="14">
        <f t="shared" si="4"/>
        <v>0</v>
      </c>
      <c r="I16" s="14">
        <f t="shared" si="4"/>
        <v>29619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54541</v>
      </c>
      <c r="E33" s="53">
        <f t="shared" si="10"/>
        <v>0</v>
      </c>
      <c r="F33" s="53">
        <f t="shared" si="10"/>
        <v>54541</v>
      </c>
      <c r="G33" s="53">
        <f t="shared" ref="G33" si="11">+G32+G17+G16+G10+G9</f>
        <v>59015</v>
      </c>
      <c r="H33" s="53">
        <f t="shared" si="10"/>
        <v>0</v>
      </c>
      <c r="I33" s="53">
        <f t="shared" si="10"/>
        <v>59015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/>
      <c r="F36" s="14">
        <f t="shared" si="12"/>
        <v>0</v>
      </c>
      <c r="G36" s="13"/>
      <c r="H36" s="13"/>
      <c r="I36" s="14">
        <f t="shared" si="13"/>
        <v>0</v>
      </c>
    </row>
    <row r="37" spans="2:9" x14ac:dyDescent="0.25">
      <c r="B37" s="54" t="s">
        <v>99</v>
      </c>
      <c r="C37" s="43" t="s">
        <v>100</v>
      </c>
      <c r="D37" s="13">
        <v>0</v>
      </c>
      <c r="E37" s="13"/>
      <c r="F37" s="14">
        <f t="shared" si="12"/>
        <v>0</v>
      </c>
      <c r="G37" s="13">
        <v>0</v>
      </c>
      <c r="H37" s="13"/>
      <c r="I37" s="14">
        <f t="shared" si="13"/>
        <v>0</v>
      </c>
    </row>
    <row r="38" spans="2:9" hidden="1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hidden="1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0</v>
      </c>
      <c r="E40" s="13"/>
      <c r="F40" s="14">
        <f t="shared" si="12"/>
        <v>0</v>
      </c>
      <c r="G40" s="13">
        <v>0</v>
      </c>
      <c r="H40" s="13"/>
      <c r="I40" s="14">
        <f t="shared" si="13"/>
        <v>0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0</v>
      </c>
      <c r="E41" s="14">
        <f t="shared" si="14"/>
        <v>0</v>
      </c>
      <c r="F41" s="14">
        <f t="shared" si="14"/>
        <v>0</v>
      </c>
      <c r="G41" s="14">
        <f t="shared" ref="G41" si="15">SUM(G34:G40)</f>
        <v>0</v>
      </c>
      <c r="H41" s="14">
        <f t="shared" si="14"/>
        <v>0</v>
      </c>
      <c r="I41" s="14">
        <f t="shared" si="14"/>
        <v>0</v>
      </c>
    </row>
    <row r="42" spans="2:9" x14ac:dyDescent="0.25">
      <c r="B42" s="57" t="s">
        <v>109</v>
      </c>
      <c r="C42" s="43" t="s">
        <v>110</v>
      </c>
      <c r="D42" s="13">
        <v>735</v>
      </c>
      <c r="E42" s="13"/>
      <c r="F42" s="14">
        <f>+D42+E42</f>
        <v>735</v>
      </c>
      <c r="G42" s="13">
        <v>735</v>
      </c>
      <c r="H42" s="13"/>
      <c r="I42" s="14">
        <f>+G42+H42</f>
        <v>735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735</v>
      </c>
      <c r="E46" s="14">
        <f t="shared" si="16"/>
        <v>0</v>
      </c>
      <c r="F46" s="14">
        <f t="shared" si="16"/>
        <v>735</v>
      </c>
      <c r="G46" s="14">
        <f t="shared" si="16"/>
        <v>735</v>
      </c>
      <c r="H46" s="14">
        <f t="shared" si="16"/>
        <v>0</v>
      </c>
      <c r="I46" s="14">
        <f t="shared" si="16"/>
        <v>735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668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735</v>
      </c>
      <c r="E57" s="53">
        <f t="shared" si="20"/>
        <v>0</v>
      </c>
      <c r="F57" s="53">
        <f t="shared" si="20"/>
        <v>735</v>
      </c>
      <c r="G57" s="53">
        <f t="shared" si="20"/>
        <v>735</v>
      </c>
      <c r="H57" s="53">
        <f t="shared" si="20"/>
        <v>0</v>
      </c>
      <c r="I57" s="53">
        <f t="shared" si="20"/>
        <v>735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55276</v>
      </c>
      <c r="E58" s="60">
        <f t="shared" si="21"/>
        <v>0</v>
      </c>
      <c r="F58" s="60">
        <f t="shared" si="21"/>
        <v>55276</v>
      </c>
      <c r="G58" s="60">
        <f t="shared" si="21"/>
        <v>59750</v>
      </c>
      <c r="H58" s="60">
        <f t="shared" si="21"/>
        <v>0</v>
      </c>
      <c r="I58" s="60">
        <f t="shared" si="21"/>
        <v>59750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55276</v>
      </c>
      <c r="E64" s="18">
        <f t="shared" si="23"/>
        <v>0</v>
      </c>
      <c r="F64" s="18">
        <f t="shared" si="23"/>
        <v>55276</v>
      </c>
      <c r="G64" s="18">
        <f t="shared" si="23"/>
        <v>59750</v>
      </c>
      <c r="H64" s="18">
        <f t="shared" si="23"/>
        <v>0</v>
      </c>
      <c r="I64" s="18">
        <f t="shared" si="23"/>
        <v>59750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2887</v>
      </c>
      <c r="E73" s="13"/>
      <c r="F73" s="14">
        <f t="shared" si="24"/>
        <v>2887</v>
      </c>
      <c r="G73" s="13">
        <v>4626</v>
      </c>
      <c r="H73" s="13"/>
      <c r="I73" s="14">
        <f t="shared" si="25"/>
        <v>4626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2887</v>
      </c>
      <c r="E74" s="14">
        <f t="shared" si="26"/>
        <v>0</v>
      </c>
      <c r="F74" s="14">
        <f t="shared" si="26"/>
        <v>2887</v>
      </c>
      <c r="G74" s="14">
        <f t="shared" ref="G74" si="27">+G73+G72+G71+G70+G69+G68</f>
        <v>4626</v>
      </c>
      <c r="H74" s="14">
        <f t="shared" si="26"/>
        <v>0</v>
      </c>
      <c r="I74" s="14">
        <f t="shared" si="26"/>
        <v>4626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3157+2000</f>
        <v>5157</v>
      </c>
      <c r="E84" s="13"/>
      <c r="F84" s="14">
        <f t="shared" si="32"/>
        <v>5157</v>
      </c>
      <c r="G84" s="13">
        <f>3157+2000</f>
        <v>5157</v>
      </c>
      <c r="H84" s="13"/>
      <c r="I84" s="14">
        <f t="shared" si="33"/>
        <v>5157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852</v>
      </c>
      <c r="E88" s="13"/>
      <c r="F88" s="14">
        <f t="shared" si="32"/>
        <v>852</v>
      </c>
      <c r="G88" s="13">
        <v>852</v>
      </c>
      <c r="H88" s="13"/>
      <c r="I88" s="14">
        <f t="shared" si="33"/>
        <v>852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/>
      <c r="H93" s="13"/>
      <c r="I93" s="14">
        <f t="shared" si="33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6009</v>
      </c>
      <c r="E94" s="14">
        <f t="shared" si="34"/>
        <v>0</v>
      </c>
      <c r="F94" s="14">
        <f t="shared" si="34"/>
        <v>6009</v>
      </c>
      <c r="G94" s="14">
        <f t="shared" si="34"/>
        <v>6009</v>
      </c>
      <c r="H94" s="14">
        <f t="shared" si="34"/>
        <v>0</v>
      </c>
      <c r="I94" s="14">
        <f t="shared" si="34"/>
        <v>6009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8896</v>
      </c>
      <c r="E108" s="60">
        <f t="shared" si="37"/>
        <v>0</v>
      </c>
      <c r="F108" s="60">
        <f t="shared" si="37"/>
        <v>8896</v>
      </c>
      <c r="G108" s="60">
        <f t="shared" si="37"/>
        <v>10635</v>
      </c>
      <c r="H108" s="60">
        <f t="shared" si="37"/>
        <v>0</v>
      </c>
      <c r="I108" s="60">
        <f t="shared" si="37"/>
        <v>10635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-45645</v>
      </c>
      <c r="E109" s="75">
        <f>+E101+E94+E82+E74-E33</f>
        <v>0</v>
      </c>
      <c r="F109" s="75">
        <f t="shared" ref="F109:F116" si="38">+E109+D109</f>
        <v>-45645</v>
      </c>
      <c r="G109" s="75">
        <f>+G101+G94+G82+G74-G33</f>
        <v>-48380</v>
      </c>
      <c r="H109" s="75">
        <f>+H101+H94+H82+H74-H33</f>
        <v>0</v>
      </c>
      <c r="I109" s="75">
        <f t="shared" ref="I109:I116" si="39">+H109+G109</f>
        <v>-48380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-735</v>
      </c>
      <c r="E110" s="75">
        <f>+E107+E100+E75-E57</f>
        <v>0</v>
      </c>
      <c r="F110" s="75">
        <f t="shared" si="38"/>
        <v>-735</v>
      </c>
      <c r="G110" s="75">
        <f>+G107+G100+G75-G57</f>
        <v>-735</v>
      </c>
      <c r="H110" s="75">
        <f>+H107+H100+H75-H57</f>
        <v>0</v>
      </c>
      <c r="I110" s="75">
        <f t="shared" si="39"/>
        <v>-735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/>
      <c r="E113" s="13"/>
      <c r="F113" s="14">
        <f t="shared" si="38"/>
        <v>0</v>
      </c>
      <c r="G113" s="13">
        <v>903</v>
      </c>
      <c r="H113" s="13"/>
      <c r="I113" s="14">
        <f t="shared" si="39"/>
        <v>903</v>
      </c>
    </row>
    <row r="114" spans="1:9" x14ac:dyDescent="0.25">
      <c r="B114" s="44" t="s">
        <v>296</v>
      </c>
      <c r="C114" s="44" t="s">
        <v>295</v>
      </c>
      <c r="D114" s="13"/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hidden="1" x14ac:dyDescent="0.25"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332</v>
      </c>
      <c r="B117" s="47" t="s">
        <v>300</v>
      </c>
      <c r="C117" s="47" t="s">
        <v>301</v>
      </c>
      <c r="D117" s="14">
        <f t="shared" ref="D117:I117" si="40">SUM(D113:D116)</f>
        <v>0</v>
      </c>
      <c r="E117" s="14">
        <f t="shared" si="40"/>
        <v>0</v>
      </c>
      <c r="F117" s="14">
        <f t="shared" si="40"/>
        <v>0</v>
      </c>
      <c r="G117" s="14">
        <f t="shared" si="40"/>
        <v>903</v>
      </c>
      <c r="H117" s="14">
        <f t="shared" si="40"/>
        <v>0</v>
      </c>
      <c r="I117" s="14">
        <f t="shared" si="40"/>
        <v>903</v>
      </c>
    </row>
    <row r="118" spans="1:9" hidden="1" x14ac:dyDescent="0.25">
      <c r="A118" s="79" t="s">
        <v>670</v>
      </c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684</v>
      </c>
      <c r="B120" s="63" t="s">
        <v>306</v>
      </c>
      <c r="C120" s="44" t="s">
        <v>307</v>
      </c>
      <c r="D120" s="13">
        <v>46380</v>
      </c>
      <c r="E120" s="13"/>
      <c r="F120" s="14">
        <f t="shared" si="41"/>
        <v>46380</v>
      </c>
      <c r="G120" s="13">
        <v>48212</v>
      </c>
      <c r="H120" s="13"/>
      <c r="I120" s="14">
        <f t="shared" si="42"/>
        <v>48212</v>
      </c>
    </row>
    <row r="121" spans="1:9" s="249" customFormat="1" x14ac:dyDescent="0.25">
      <c r="B121" s="250" t="s">
        <v>672</v>
      </c>
      <c r="C121" s="145"/>
      <c r="D121" s="94">
        <f>5767+1867+1000</f>
        <v>8634</v>
      </c>
      <c r="E121" s="94"/>
      <c r="F121" s="127">
        <f t="shared" si="41"/>
        <v>8634</v>
      </c>
      <c r="G121" s="94">
        <f>+G120-G122</f>
        <v>10466</v>
      </c>
      <c r="H121" s="94"/>
      <c r="I121" s="127">
        <f t="shared" si="42"/>
        <v>10466</v>
      </c>
    </row>
    <row r="122" spans="1:9" s="249" customFormat="1" x14ac:dyDescent="0.25">
      <c r="B122" s="251" t="s">
        <v>662</v>
      </c>
      <c r="C122" s="145"/>
      <c r="D122" s="94">
        <f>+D120-D121</f>
        <v>37746</v>
      </c>
      <c r="E122" s="94">
        <f>+E120-E121</f>
        <v>0</v>
      </c>
      <c r="F122" s="127">
        <f t="shared" si="41"/>
        <v>37746</v>
      </c>
      <c r="G122" s="94">
        <v>37746</v>
      </c>
      <c r="H122" s="94">
        <f>+H120-H121</f>
        <v>0</v>
      </c>
      <c r="I122" s="127">
        <f t="shared" si="42"/>
        <v>37746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46380</v>
      </c>
      <c r="E126" s="14">
        <f>SUM(E118:E125)+E117+E112+E111-E121-E122</f>
        <v>0</v>
      </c>
      <c r="F126" s="14">
        <f>SUM(F118:F124)+F117+F112+F111-F121-F122</f>
        <v>46380</v>
      </c>
      <c r="G126" s="14">
        <f>SUM(G118:G125)+G117+G112+G111-G121-G122</f>
        <v>49115</v>
      </c>
      <c r="H126" s="14">
        <f>SUM(H118:H125)+H117+H112+H111-H121-H122</f>
        <v>0</v>
      </c>
      <c r="I126" s="14">
        <f>SUM(I118:I124)+I117+I112+I111-I121-I122</f>
        <v>49115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46380</v>
      </c>
      <c r="E130" s="60">
        <f>+E128+E127+E126+E129</f>
        <v>0</v>
      </c>
      <c r="F130" s="60">
        <f>+F129+F127+F126</f>
        <v>46380</v>
      </c>
      <c r="G130" s="60">
        <f>+G128+G127+G126+G129</f>
        <v>49115</v>
      </c>
      <c r="H130" s="60">
        <f>+H128+H127+H126+H129</f>
        <v>0</v>
      </c>
      <c r="I130" s="60">
        <f>+I129+I127+I126</f>
        <v>49115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55276</v>
      </c>
      <c r="E131" s="18">
        <f t="shared" si="43"/>
        <v>0</v>
      </c>
      <c r="F131" s="18">
        <f t="shared" si="43"/>
        <v>55276</v>
      </c>
      <c r="G131" s="18">
        <f t="shared" si="43"/>
        <v>59750</v>
      </c>
      <c r="H131" s="18">
        <f t="shared" si="43"/>
        <v>0</v>
      </c>
      <c r="I131" s="18">
        <f t="shared" si="43"/>
        <v>59750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-46380</v>
      </c>
      <c r="E133" s="14">
        <f t="shared" si="44"/>
        <v>0</v>
      </c>
      <c r="F133" s="14">
        <f t="shared" si="44"/>
        <v>-46380</v>
      </c>
      <c r="G133" s="14">
        <f t="shared" si="44"/>
        <v>-49115</v>
      </c>
      <c r="H133" s="14">
        <f t="shared" si="44"/>
        <v>0</v>
      </c>
      <c r="I133" s="14">
        <f t="shared" si="44"/>
        <v>-49115</v>
      </c>
    </row>
    <row r="134" spans="2:9" x14ac:dyDescent="0.25">
      <c r="B134" s="15" t="s">
        <v>327</v>
      </c>
      <c r="C134" s="15"/>
      <c r="D134" s="14">
        <f t="shared" ref="D134:I134" si="45">+D130-D63</f>
        <v>46380</v>
      </c>
      <c r="E134" s="14">
        <f t="shared" si="45"/>
        <v>0</v>
      </c>
      <c r="F134" s="14">
        <f t="shared" si="45"/>
        <v>46380</v>
      </c>
      <c r="G134" s="14">
        <f t="shared" si="45"/>
        <v>49115</v>
      </c>
      <c r="H134" s="14">
        <f t="shared" si="45"/>
        <v>0</v>
      </c>
      <c r="I134" s="14">
        <f t="shared" si="45"/>
        <v>49115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N46" sqref="N46"/>
    </sheetView>
  </sheetViews>
  <sheetFormatPr defaultColWidth="11.5703125" defaultRowHeight="15.75" x14ac:dyDescent="0.25"/>
  <cols>
    <col min="1" max="1" width="10.7109375" style="19" customWidth="1"/>
    <col min="2" max="2" width="73" style="19" customWidth="1"/>
    <col min="3" max="5" width="9.85546875" style="19" customWidth="1"/>
    <col min="6" max="6" width="9.855468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12" s="2" customFormat="1" x14ac:dyDescent="0.25">
      <c r="F1" s="4"/>
      <c r="I1" s="4" t="s">
        <v>685</v>
      </c>
    </row>
    <row r="2" spans="2:12" s="2" customFormat="1" ht="20.25" x14ac:dyDescent="0.3">
      <c r="B2" s="244" t="s">
        <v>5</v>
      </c>
      <c r="F2" s="5"/>
      <c r="I2" s="5" t="s">
        <v>827</v>
      </c>
    </row>
    <row r="3" spans="2:12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12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  <c r="L4" s="2" t="s">
        <v>431</v>
      </c>
    </row>
    <row r="5" spans="2:12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12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12" x14ac:dyDescent="0.25">
      <c r="B7" s="42" t="s">
        <v>40</v>
      </c>
      <c r="C7" s="43" t="s">
        <v>41</v>
      </c>
      <c r="D7" s="13">
        <v>20159</v>
      </c>
      <c r="E7" s="13"/>
      <c r="F7" s="14">
        <f>+D7+E7</f>
        <v>20159</v>
      </c>
      <c r="G7" s="13">
        <v>20473</v>
      </c>
      <c r="H7" s="13"/>
      <c r="I7" s="14">
        <f>+G7+H7</f>
        <v>20473</v>
      </c>
    </row>
    <row r="8" spans="2:12" x14ac:dyDescent="0.25">
      <c r="B8" s="44" t="s">
        <v>42</v>
      </c>
      <c r="C8" s="43" t="s">
        <v>43</v>
      </c>
      <c r="D8" s="13">
        <v>0</v>
      </c>
      <c r="E8" s="13"/>
      <c r="F8" s="14">
        <f>+D8+E8</f>
        <v>0</v>
      </c>
      <c r="G8" s="13">
        <v>50</v>
      </c>
      <c r="H8" s="13"/>
      <c r="I8" s="14">
        <f>+G8+H8</f>
        <v>50</v>
      </c>
    </row>
    <row r="9" spans="2:12" x14ac:dyDescent="0.25">
      <c r="B9" s="45" t="s">
        <v>44</v>
      </c>
      <c r="C9" s="46" t="s">
        <v>45</v>
      </c>
      <c r="D9" s="14">
        <f t="shared" ref="D9:I9" si="0">SUM(D7:D8)</f>
        <v>20159</v>
      </c>
      <c r="E9" s="14">
        <f t="shared" si="0"/>
        <v>0</v>
      </c>
      <c r="F9" s="14">
        <f t="shared" si="0"/>
        <v>20159</v>
      </c>
      <c r="G9" s="14">
        <f t="shared" ref="G9" si="1">SUM(G7:G8)</f>
        <v>20523</v>
      </c>
      <c r="H9" s="14">
        <f t="shared" si="0"/>
        <v>0</v>
      </c>
      <c r="I9" s="14">
        <f t="shared" si="0"/>
        <v>20523</v>
      </c>
    </row>
    <row r="10" spans="2:12" x14ac:dyDescent="0.25">
      <c r="B10" s="47" t="s">
        <v>46</v>
      </c>
      <c r="C10" s="46" t="s">
        <v>47</v>
      </c>
      <c r="D10" s="13">
        <v>3912</v>
      </c>
      <c r="E10" s="13"/>
      <c r="F10" s="14">
        <f t="shared" ref="F10:F15" si="2">+D10+E10</f>
        <v>3912</v>
      </c>
      <c r="G10" s="13">
        <v>4127</v>
      </c>
      <c r="H10" s="13"/>
      <c r="I10" s="14">
        <f t="shared" ref="I10:I15" si="3">+G10+H10</f>
        <v>4127</v>
      </c>
    </row>
    <row r="11" spans="2:12" x14ac:dyDescent="0.25">
      <c r="B11" s="44" t="s">
        <v>48</v>
      </c>
      <c r="C11" s="43" t="s">
        <v>49</v>
      </c>
      <c r="D11" s="13">
        <v>4951</v>
      </c>
      <c r="E11" s="13"/>
      <c r="F11" s="14">
        <f t="shared" si="2"/>
        <v>4951</v>
      </c>
      <c r="G11" s="13">
        <v>6498</v>
      </c>
      <c r="H11" s="13"/>
      <c r="I11" s="14">
        <f t="shared" si="3"/>
        <v>6498</v>
      </c>
    </row>
    <row r="12" spans="2:12" x14ac:dyDescent="0.25">
      <c r="B12" s="44" t="s">
        <v>50</v>
      </c>
      <c r="C12" s="43" t="s">
        <v>51</v>
      </c>
      <c r="D12" s="13">
        <f>300+150</f>
        <v>450</v>
      </c>
      <c r="E12" s="13"/>
      <c r="F12" s="14">
        <f t="shared" si="2"/>
        <v>450</v>
      </c>
      <c r="G12" s="13">
        <f>300+150</f>
        <v>450</v>
      </c>
      <c r="H12" s="13"/>
      <c r="I12" s="14">
        <f t="shared" si="3"/>
        <v>450</v>
      </c>
    </row>
    <row r="13" spans="2:12" x14ac:dyDescent="0.25">
      <c r="B13" s="44" t="s">
        <v>52</v>
      </c>
      <c r="C13" s="43" t="s">
        <v>53</v>
      </c>
      <c r="D13" s="13">
        <f>840+940+650+90+200+2950+65</f>
        <v>5735</v>
      </c>
      <c r="E13" s="13"/>
      <c r="F13" s="14">
        <f t="shared" si="2"/>
        <v>5735</v>
      </c>
      <c r="G13" s="13">
        <v>5236</v>
      </c>
      <c r="H13" s="13"/>
      <c r="I13" s="14">
        <f t="shared" si="3"/>
        <v>5236</v>
      </c>
    </row>
    <row r="14" spans="2:12" x14ac:dyDescent="0.25">
      <c r="B14" s="44" t="s">
        <v>54</v>
      </c>
      <c r="C14" s="43" t="s">
        <v>55</v>
      </c>
      <c r="D14" s="13">
        <v>350</v>
      </c>
      <c r="E14" s="13"/>
      <c r="F14" s="14">
        <f t="shared" si="2"/>
        <v>350</v>
      </c>
      <c r="G14" s="13">
        <v>430</v>
      </c>
      <c r="H14" s="13"/>
      <c r="I14" s="14">
        <f t="shared" si="3"/>
        <v>430</v>
      </c>
    </row>
    <row r="15" spans="2:12" x14ac:dyDescent="0.25">
      <c r="B15" s="44" t="s">
        <v>56</v>
      </c>
      <c r="C15" s="43" t="s">
        <v>57</v>
      </c>
      <c r="D15" s="13">
        <f>1858+2037+80</f>
        <v>3975</v>
      </c>
      <c r="E15" s="13"/>
      <c r="F15" s="14">
        <f t="shared" si="2"/>
        <v>3975</v>
      </c>
      <c r="G15" s="13">
        <v>3895</v>
      </c>
      <c r="H15" s="13"/>
      <c r="I15" s="14">
        <f t="shared" si="3"/>
        <v>3895</v>
      </c>
    </row>
    <row r="16" spans="2:12" x14ac:dyDescent="0.25">
      <c r="B16" s="47" t="s">
        <v>58</v>
      </c>
      <c r="C16" s="46" t="s">
        <v>59</v>
      </c>
      <c r="D16" s="14">
        <f t="shared" ref="D16:I16" si="4">SUM(D11:D15)</f>
        <v>15461</v>
      </c>
      <c r="E16" s="14">
        <f t="shared" si="4"/>
        <v>0</v>
      </c>
      <c r="F16" s="14">
        <f t="shared" si="4"/>
        <v>15461</v>
      </c>
      <c r="G16" s="14">
        <f t="shared" ref="G16" si="5">SUM(G11:G15)</f>
        <v>16509</v>
      </c>
      <c r="H16" s="14">
        <f t="shared" si="4"/>
        <v>0</v>
      </c>
      <c r="I16" s="14">
        <f t="shared" si="4"/>
        <v>16509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39532</v>
      </c>
      <c r="E33" s="53">
        <f t="shared" si="10"/>
        <v>0</v>
      </c>
      <c r="F33" s="53">
        <f t="shared" si="10"/>
        <v>39532</v>
      </c>
      <c r="G33" s="53">
        <f t="shared" ref="G33" si="11">+G32+G17+G16+G10+G9</f>
        <v>41159</v>
      </c>
      <c r="H33" s="53">
        <f t="shared" si="10"/>
        <v>0</v>
      </c>
      <c r="I33" s="53">
        <f t="shared" si="10"/>
        <v>41159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>
        <v>55</v>
      </c>
      <c r="H34" s="13"/>
      <c r="I34" s="14">
        <f t="shared" ref="I34:I40" si="13">+G34+H34</f>
        <v>55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200</v>
      </c>
      <c r="E36" s="13"/>
      <c r="F36" s="14">
        <f t="shared" si="12"/>
        <v>200</v>
      </c>
      <c r="G36" s="13">
        <v>150</v>
      </c>
      <c r="H36" s="13"/>
      <c r="I36" s="14">
        <f t="shared" si="13"/>
        <v>150</v>
      </c>
    </row>
    <row r="37" spans="2:9" x14ac:dyDescent="0.25">
      <c r="B37" s="54" t="s">
        <v>99</v>
      </c>
      <c r="C37" s="43" t="s">
        <v>100</v>
      </c>
      <c r="D37" s="13">
        <v>600</v>
      </c>
      <c r="E37" s="13"/>
      <c r="F37" s="14">
        <f t="shared" si="12"/>
        <v>600</v>
      </c>
      <c r="G37" s="13">
        <v>595</v>
      </c>
      <c r="H37" s="13"/>
      <c r="I37" s="14">
        <f t="shared" si="13"/>
        <v>595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216</v>
      </c>
      <c r="E40" s="13"/>
      <c r="F40" s="14">
        <f t="shared" si="12"/>
        <v>216</v>
      </c>
      <c r="G40" s="13">
        <v>216</v>
      </c>
      <c r="H40" s="13"/>
      <c r="I40" s="14">
        <f t="shared" si="13"/>
        <v>216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1016</v>
      </c>
      <c r="E41" s="14">
        <f t="shared" si="14"/>
        <v>0</v>
      </c>
      <c r="F41" s="14">
        <f t="shared" si="14"/>
        <v>1016</v>
      </c>
      <c r="G41" s="14">
        <f t="shared" ref="G41" si="15">SUM(G34:G40)</f>
        <v>1016</v>
      </c>
      <c r="H41" s="14">
        <f t="shared" si="14"/>
        <v>0</v>
      </c>
      <c r="I41" s="14">
        <f t="shared" si="14"/>
        <v>1016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0</v>
      </c>
      <c r="E46" s="14">
        <f t="shared" si="16"/>
        <v>0</v>
      </c>
      <c r="F46" s="14">
        <f t="shared" si="16"/>
        <v>0</v>
      </c>
      <c r="G46" s="14">
        <f t="shared" si="16"/>
        <v>0</v>
      </c>
      <c r="H46" s="14">
        <f t="shared" si="16"/>
        <v>0</v>
      </c>
      <c r="I46" s="14">
        <f t="shared" si="16"/>
        <v>0</v>
      </c>
    </row>
    <row r="47" spans="2:9" ht="15" hidden="1" customHeight="1" x14ac:dyDescent="0.25">
      <c r="B47" s="57" t="s">
        <v>667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t="15" hidden="1" customHeight="1" x14ac:dyDescent="0.25">
      <c r="B48" s="57" t="s">
        <v>668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t="15" hidden="1" customHeight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t="15" hidden="1" customHeight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t="15" hidden="1" customHeight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t="15" hidden="1" customHeight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t="15" hidden="1" customHeight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t="15" hidden="1" customHeight="1" x14ac:dyDescent="0.25">
      <c r="B54" s="50" t="s">
        <v>669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1016</v>
      </c>
      <c r="E57" s="53">
        <f t="shared" si="20"/>
        <v>0</v>
      </c>
      <c r="F57" s="53">
        <f t="shared" si="20"/>
        <v>1016</v>
      </c>
      <c r="G57" s="53">
        <f t="shared" si="20"/>
        <v>1016</v>
      </c>
      <c r="H57" s="53">
        <f t="shared" si="20"/>
        <v>0</v>
      </c>
      <c r="I57" s="53">
        <f t="shared" si="20"/>
        <v>1016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40548</v>
      </c>
      <c r="E58" s="60">
        <f t="shared" si="21"/>
        <v>0</v>
      </c>
      <c r="F58" s="60">
        <f t="shared" si="21"/>
        <v>40548</v>
      </c>
      <c r="G58" s="60">
        <f t="shared" si="21"/>
        <v>42175</v>
      </c>
      <c r="H58" s="60">
        <f t="shared" si="21"/>
        <v>0</v>
      </c>
      <c r="I58" s="60">
        <f t="shared" si="21"/>
        <v>42175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40548</v>
      </c>
      <c r="E64" s="18">
        <f t="shared" si="23"/>
        <v>0</v>
      </c>
      <c r="F64" s="18">
        <f t="shared" si="23"/>
        <v>40548</v>
      </c>
      <c r="G64" s="18">
        <f t="shared" si="23"/>
        <v>42175</v>
      </c>
      <c r="H64" s="18">
        <f t="shared" si="23"/>
        <v>0</v>
      </c>
      <c r="I64" s="18">
        <f t="shared" si="23"/>
        <v>42175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5377</v>
      </c>
      <c r="E73" s="13"/>
      <c r="F73" s="14">
        <f t="shared" si="24"/>
        <v>5377</v>
      </c>
      <c r="G73" s="13">
        <v>5747</v>
      </c>
      <c r="H73" s="13"/>
      <c r="I73" s="14">
        <f t="shared" si="25"/>
        <v>5747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5377</v>
      </c>
      <c r="E74" s="14">
        <f t="shared" si="26"/>
        <v>0</v>
      </c>
      <c r="F74" s="14">
        <f t="shared" si="26"/>
        <v>5377</v>
      </c>
      <c r="G74" s="14">
        <f t="shared" ref="G74" si="27">+G73+G72+G71+G70+G69+G68</f>
        <v>5747</v>
      </c>
      <c r="H74" s="14">
        <f t="shared" si="26"/>
        <v>0</v>
      </c>
      <c r="I74" s="14">
        <f t="shared" si="26"/>
        <v>5747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680+6299+140</f>
        <v>7119</v>
      </c>
      <c r="E84" s="13"/>
      <c r="F84" s="14">
        <f t="shared" si="32"/>
        <v>7119</v>
      </c>
      <c r="G84" s="13">
        <f>680+6299+140</f>
        <v>7119</v>
      </c>
      <c r="H84" s="13"/>
      <c r="I84" s="14">
        <f t="shared" si="33"/>
        <v>7119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1884</v>
      </c>
      <c r="E88" s="13"/>
      <c r="F88" s="14">
        <f t="shared" si="32"/>
        <v>1884</v>
      </c>
      <c r="G88" s="13">
        <v>1804</v>
      </c>
      <c r="H88" s="13"/>
      <c r="I88" s="14">
        <f t="shared" si="33"/>
        <v>1804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>
        <v>80</v>
      </c>
      <c r="H93" s="13"/>
      <c r="I93" s="14">
        <f t="shared" si="33"/>
        <v>80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9003</v>
      </c>
      <c r="E94" s="14">
        <f t="shared" si="34"/>
        <v>0</v>
      </c>
      <c r="F94" s="14">
        <f t="shared" si="34"/>
        <v>9003</v>
      </c>
      <c r="G94" s="14">
        <f t="shared" si="34"/>
        <v>9003</v>
      </c>
      <c r="H94" s="14">
        <f t="shared" si="34"/>
        <v>0</v>
      </c>
      <c r="I94" s="14">
        <f t="shared" si="34"/>
        <v>9003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t="15" hidden="1" customHeight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14380</v>
      </c>
      <c r="E108" s="60">
        <f t="shared" si="37"/>
        <v>0</v>
      </c>
      <c r="F108" s="60">
        <f t="shared" si="37"/>
        <v>14380</v>
      </c>
      <c r="G108" s="60">
        <f t="shared" si="37"/>
        <v>14750</v>
      </c>
      <c r="H108" s="60">
        <f t="shared" si="37"/>
        <v>0</v>
      </c>
      <c r="I108" s="60">
        <f t="shared" si="37"/>
        <v>14750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-25152</v>
      </c>
      <c r="E109" s="75">
        <f>+E101+E94+E82+E74-E33</f>
        <v>0</v>
      </c>
      <c r="F109" s="75">
        <f t="shared" ref="F109:F116" si="38">+E109+D109</f>
        <v>-25152</v>
      </c>
      <c r="G109" s="75">
        <f>+G101+G94+G82+G74-G33</f>
        <v>-26409</v>
      </c>
      <c r="H109" s="75">
        <f>+H101+H94+H82+H74-H33</f>
        <v>0</v>
      </c>
      <c r="I109" s="75">
        <f t="shared" ref="I109:I116" si="39">+H109+G109</f>
        <v>-26409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-1016</v>
      </c>
      <c r="E110" s="75">
        <f>+E107+E100+E75-E57</f>
        <v>0</v>
      </c>
      <c r="F110" s="75">
        <f t="shared" si="38"/>
        <v>-1016</v>
      </c>
      <c r="G110" s="75">
        <f>+G107+G100+G75-G57</f>
        <v>-1016</v>
      </c>
      <c r="H110" s="75">
        <f>+H107+H100+H75-H57</f>
        <v>0</v>
      </c>
      <c r="I110" s="75">
        <f t="shared" si="39"/>
        <v>-1016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>
        <v>3635</v>
      </c>
      <c r="E113" s="13"/>
      <c r="F113" s="14">
        <f t="shared" si="38"/>
        <v>3635</v>
      </c>
      <c r="G113" s="13">
        <v>3636</v>
      </c>
      <c r="H113" s="13"/>
      <c r="I113" s="14">
        <f t="shared" si="39"/>
        <v>3636</v>
      </c>
    </row>
    <row r="114" spans="1:9" x14ac:dyDescent="0.25">
      <c r="B114" s="44" t="s">
        <v>296</v>
      </c>
      <c r="C114" s="44" t="s">
        <v>295</v>
      </c>
      <c r="D114" s="13">
        <v>0</v>
      </c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x14ac:dyDescent="0.25">
      <c r="A116" s="79" t="s">
        <v>332</v>
      </c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670</v>
      </c>
      <c r="B117" s="47" t="s">
        <v>300</v>
      </c>
      <c r="C117" s="47" t="s">
        <v>301</v>
      </c>
      <c r="D117" s="14">
        <f t="shared" ref="D117:I117" si="40">SUM(D113:D116)</f>
        <v>3635</v>
      </c>
      <c r="E117" s="14">
        <f t="shared" si="40"/>
        <v>0</v>
      </c>
      <c r="F117" s="14">
        <f t="shared" si="40"/>
        <v>3635</v>
      </c>
      <c r="G117" s="14">
        <f t="shared" si="40"/>
        <v>3636</v>
      </c>
      <c r="H117" s="14">
        <f t="shared" si="40"/>
        <v>0</v>
      </c>
      <c r="I117" s="14">
        <f t="shared" si="40"/>
        <v>3636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686</v>
      </c>
      <c r="B120" s="63" t="s">
        <v>306</v>
      </c>
      <c r="C120" s="44" t="s">
        <v>307</v>
      </c>
      <c r="D120" s="13">
        <v>22533</v>
      </c>
      <c r="E120" s="13"/>
      <c r="F120" s="14">
        <f t="shared" si="41"/>
        <v>22533</v>
      </c>
      <c r="G120" s="13">
        <v>23789</v>
      </c>
      <c r="H120" s="13"/>
      <c r="I120" s="14">
        <f t="shared" si="42"/>
        <v>23789</v>
      </c>
    </row>
    <row r="121" spans="1:9" s="249" customFormat="1" x14ac:dyDescent="0.25">
      <c r="B121" s="250" t="s">
        <v>672</v>
      </c>
      <c r="C121" s="145"/>
      <c r="D121" s="94">
        <f>7049+1729</f>
        <v>8778</v>
      </c>
      <c r="E121" s="94"/>
      <c r="F121" s="127">
        <f t="shared" si="41"/>
        <v>8778</v>
      </c>
      <c r="G121" s="94">
        <f>+G120-G122</f>
        <v>10034</v>
      </c>
      <c r="H121" s="94"/>
      <c r="I121" s="127">
        <f t="shared" si="42"/>
        <v>10034</v>
      </c>
    </row>
    <row r="122" spans="1:9" s="249" customFormat="1" x14ac:dyDescent="0.25">
      <c r="B122" s="251" t="s">
        <v>662</v>
      </c>
      <c r="C122" s="145"/>
      <c r="D122" s="94">
        <f>+D120-D121</f>
        <v>13755</v>
      </c>
      <c r="E122" s="94">
        <f>+E120-E121</f>
        <v>0</v>
      </c>
      <c r="F122" s="127">
        <f t="shared" si="41"/>
        <v>13755</v>
      </c>
      <c r="G122" s="94">
        <v>13755</v>
      </c>
      <c r="H122" s="94">
        <f>+H120-H121</f>
        <v>0</v>
      </c>
      <c r="I122" s="127">
        <f t="shared" si="42"/>
        <v>13755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26168</v>
      </c>
      <c r="E126" s="14">
        <f>SUM(E118:E125)+E117+E112+E111-E121-E122</f>
        <v>0</v>
      </c>
      <c r="F126" s="14">
        <f>SUM(F118:F124)+F117+F112+F111-F121-F122</f>
        <v>26168</v>
      </c>
      <c r="G126" s="14">
        <f>SUM(G118:G125)+G117+G112+G111-G121-G122</f>
        <v>27425</v>
      </c>
      <c r="H126" s="14">
        <f>SUM(H118:H125)+H117+H112+H111-H121-H122</f>
        <v>0</v>
      </c>
      <c r="I126" s="14">
        <f>SUM(I118:I124)+I117+I112+I111-I121-I122</f>
        <v>27425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26168</v>
      </c>
      <c r="E130" s="60">
        <f>+E128+E127+E126+E129</f>
        <v>0</v>
      </c>
      <c r="F130" s="60">
        <f>+F129+F127+F126</f>
        <v>26168</v>
      </c>
      <c r="G130" s="60">
        <f>+G128+G127+G126+G129</f>
        <v>27425</v>
      </c>
      <c r="H130" s="60">
        <f>+H128+H127+H126+H129</f>
        <v>0</v>
      </c>
      <c r="I130" s="60">
        <f>+I129+I127+I126</f>
        <v>27425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40548</v>
      </c>
      <c r="E131" s="18">
        <f t="shared" si="43"/>
        <v>0</v>
      </c>
      <c r="F131" s="18">
        <f t="shared" si="43"/>
        <v>40548</v>
      </c>
      <c r="G131" s="18">
        <f t="shared" si="43"/>
        <v>42175</v>
      </c>
      <c r="H131" s="18">
        <f t="shared" si="43"/>
        <v>0</v>
      </c>
      <c r="I131" s="18">
        <f t="shared" si="43"/>
        <v>42175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-26168</v>
      </c>
      <c r="E133" s="14">
        <f t="shared" si="44"/>
        <v>0</v>
      </c>
      <c r="F133" s="14">
        <f t="shared" si="44"/>
        <v>-26168</v>
      </c>
      <c r="G133" s="14">
        <f t="shared" si="44"/>
        <v>-27425</v>
      </c>
      <c r="H133" s="14">
        <f t="shared" si="44"/>
        <v>0</v>
      </c>
      <c r="I133" s="14">
        <f t="shared" si="44"/>
        <v>-27425</v>
      </c>
    </row>
    <row r="134" spans="2:9" x14ac:dyDescent="0.25">
      <c r="B134" s="15" t="s">
        <v>327</v>
      </c>
      <c r="C134" s="15"/>
      <c r="D134" s="14">
        <f t="shared" ref="D134:I134" si="45">+D130-D63</f>
        <v>26168</v>
      </c>
      <c r="E134" s="14">
        <f t="shared" si="45"/>
        <v>0</v>
      </c>
      <c r="F134" s="14">
        <f t="shared" si="45"/>
        <v>26168</v>
      </c>
      <c r="G134" s="14">
        <f t="shared" si="45"/>
        <v>27425</v>
      </c>
      <c r="H134" s="14">
        <f t="shared" si="45"/>
        <v>0</v>
      </c>
      <c r="I134" s="14">
        <f t="shared" si="45"/>
        <v>27425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T48"/>
  <sheetViews>
    <sheetView view="pageBreakPreview" zoomScale="80" zoomScaleSheetLayoutView="80" workbookViewId="0">
      <selection activeCell="S2" sqref="S2"/>
    </sheetView>
  </sheetViews>
  <sheetFormatPr defaultRowHeight="15" x14ac:dyDescent="0.25"/>
  <cols>
    <col min="1" max="1" width="5.42578125" style="157" customWidth="1"/>
    <col min="2" max="2" width="55.7109375" style="160" customWidth="1"/>
    <col min="3" max="3" width="11.85546875" style="157" customWidth="1"/>
    <col min="4" max="4" width="9.140625" style="157" customWidth="1"/>
    <col min="5" max="5" width="11.85546875" style="157" customWidth="1"/>
    <col min="6" max="6" width="9.28515625" style="157" customWidth="1"/>
    <col min="7" max="7" width="11.85546875" style="157" customWidth="1"/>
    <col min="8" max="8" width="9.140625" style="157" customWidth="1"/>
    <col min="9" max="9" width="11.85546875" style="157" customWidth="1"/>
    <col min="10" max="10" width="9.140625" style="157" customWidth="1"/>
    <col min="11" max="11" width="11.85546875" style="157" customWidth="1"/>
    <col min="12" max="12" width="9.140625" style="157" customWidth="1"/>
    <col min="13" max="13" width="11.85546875" style="157" customWidth="1"/>
    <col min="14" max="14" width="9.140625" style="157" customWidth="1"/>
    <col min="15" max="15" width="11.85546875" style="157" customWidth="1"/>
    <col min="16" max="16" width="9.140625" style="157" customWidth="1"/>
    <col min="17" max="17" width="11.85546875" style="157" customWidth="1"/>
    <col min="18" max="18" width="9.140625" style="157" customWidth="1"/>
    <col min="19" max="19" width="11.7109375" style="157" customWidth="1"/>
    <col min="20" max="20" width="9.140625" style="157" customWidth="1"/>
    <col min="21" max="16384" width="9.140625" style="157"/>
  </cols>
  <sheetData>
    <row r="1" spans="1:20" ht="25.5" customHeight="1" x14ac:dyDescent="0.3">
      <c r="B1" s="322" t="s">
        <v>8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1"/>
      <c r="O1" s="160"/>
      <c r="P1" s="160"/>
      <c r="Q1" s="160"/>
      <c r="R1" s="160"/>
      <c r="S1" s="4" t="s">
        <v>687</v>
      </c>
      <c r="T1" s="4"/>
    </row>
    <row r="2" spans="1:20" ht="23.25" customHeight="1" x14ac:dyDescent="0.35">
      <c r="B2" s="252" t="s">
        <v>688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3"/>
      <c r="P2" s="253"/>
      <c r="Q2" s="253"/>
      <c r="R2" s="253"/>
      <c r="S2" s="5" t="s">
        <v>818</v>
      </c>
      <c r="T2" s="5"/>
    </row>
    <row r="4" spans="1:20" x14ac:dyDescent="0.25">
      <c r="B4" s="254" t="s">
        <v>689</v>
      </c>
      <c r="C4" s="254"/>
      <c r="D4" s="254"/>
    </row>
    <row r="5" spans="1:20" x14ac:dyDescent="0.25">
      <c r="C5" s="254"/>
      <c r="D5" s="254"/>
    </row>
    <row r="6" spans="1:20" ht="39" x14ac:dyDescent="0.25">
      <c r="C6" s="255" t="s">
        <v>10</v>
      </c>
      <c r="D6" s="255" t="s">
        <v>11</v>
      </c>
      <c r="E6" s="255" t="s">
        <v>10</v>
      </c>
      <c r="F6" s="255" t="s">
        <v>11</v>
      </c>
      <c r="G6" s="255" t="s">
        <v>10</v>
      </c>
      <c r="H6" s="255" t="s">
        <v>11</v>
      </c>
      <c r="I6" s="255" t="s">
        <v>10</v>
      </c>
      <c r="J6" s="255" t="s">
        <v>11</v>
      </c>
      <c r="K6" s="255" t="s">
        <v>10</v>
      </c>
      <c r="L6" s="255" t="s">
        <v>11</v>
      </c>
      <c r="M6" s="255" t="s">
        <v>10</v>
      </c>
      <c r="N6" s="255" t="s">
        <v>11</v>
      </c>
      <c r="O6" s="255" t="s">
        <v>10</v>
      </c>
      <c r="P6" s="255" t="s">
        <v>11</v>
      </c>
      <c r="Q6" s="255" t="s">
        <v>10</v>
      </c>
      <c r="R6" s="255" t="s">
        <v>11</v>
      </c>
      <c r="S6" s="255" t="s">
        <v>10</v>
      </c>
      <c r="T6" s="255" t="s">
        <v>11</v>
      </c>
    </row>
    <row r="7" spans="1:20" s="258" customFormat="1" ht="102" customHeight="1" x14ac:dyDescent="0.2">
      <c r="A7" s="256" t="s">
        <v>690</v>
      </c>
      <c r="B7" s="257" t="s">
        <v>691</v>
      </c>
      <c r="C7" s="329" t="s">
        <v>692</v>
      </c>
      <c r="D7" s="329"/>
      <c r="E7" s="329" t="s">
        <v>0</v>
      </c>
      <c r="F7" s="329"/>
      <c r="G7" s="329" t="s">
        <v>2</v>
      </c>
      <c r="H7" s="329"/>
      <c r="I7" s="329" t="s">
        <v>3</v>
      </c>
      <c r="J7" s="329"/>
      <c r="K7" s="329" t="s">
        <v>4</v>
      </c>
      <c r="L7" s="329"/>
      <c r="M7" s="329" t="s">
        <v>5</v>
      </c>
      <c r="N7" s="329"/>
      <c r="O7" s="329" t="s">
        <v>683</v>
      </c>
      <c r="P7" s="329"/>
      <c r="Q7" s="329" t="s">
        <v>1</v>
      </c>
      <c r="R7" s="329"/>
      <c r="S7" s="330" t="s">
        <v>693</v>
      </c>
      <c r="T7" s="330"/>
    </row>
    <row r="8" spans="1:20" s="175" customFormat="1" ht="15" customHeight="1" x14ac:dyDescent="0.2">
      <c r="A8" s="184">
        <v>1</v>
      </c>
      <c r="B8" s="259" t="s">
        <v>694</v>
      </c>
      <c r="C8" s="260"/>
      <c r="D8" s="260"/>
      <c r="E8" s="260">
        <v>2</v>
      </c>
      <c r="F8" s="260">
        <v>2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1">
        <f t="shared" ref="S8:T11" si="0">+C8+E8+G8+I8+K8+M8+O8+Q8</f>
        <v>2</v>
      </c>
      <c r="T8" s="261">
        <f t="shared" si="0"/>
        <v>2</v>
      </c>
    </row>
    <row r="9" spans="1:20" s="175" customFormat="1" ht="15" customHeight="1" x14ac:dyDescent="0.2">
      <c r="A9" s="184">
        <v>2</v>
      </c>
      <c r="B9" s="259" t="s">
        <v>695</v>
      </c>
      <c r="C9" s="260"/>
      <c r="D9" s="260"/>
      <c r="E9" s="260">
        <v>18</v>
      </c>
      <c r="F9" s="260">
        <v>18</v>
      </c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1">
        <f t="shared" si="0"/>
        <v>18</v>
      </c>
      <c r="T9" s="261">
        <f t="shared" si="0"/>
        <v>18</v>
      </c>
    </row>
    <row r="10" spans="1:20" s="175" customFormat="1" ht="15" customHeight="1" x14ac:dyDescent="0.2">
      <c r="A10" s="184">
        <v>3</v>
      </c>
      <c r="B10" s="259" t="s">
        <v>696</v>
      </c>
      <c r="C10" s="260"/>
      <c r="D10" s="260"/>
      <c r="E10" s="260">
        <v>15</v>
      </c>
      <c r="F10" s="260">
        <v>15</v>
      </c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1">
        <f t="shared" si="0"/>
        <v>15</v>
      </c>
      <c r="T10" s="261">
        <f t="shared" si="0"/>
        <v>15</v>
      </c>
    </row>
    <row r="11" spans="1:20" s="175" customFormat="1" ht="15" customHeight="1" x14ac:dyDescent="0.2">
      <c r="A11" s="184">
        <v>4</v>
      </c>
      <c r="B11" s="259" t="s">
        <v>697</v>
      </c>
      <c r="C11" s="260"/>
      <c r="D11" s="260"/>
      <c r="E11" s="260">
        <v>1</v>
      </c>
      <c r="F11" s="260">
        <v>1</v>
      </c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1">
        <f t="shared" si="0"/>
        <v>1</v>
      </c>
      <c r="T11" s="261">
        <f t="shared" si="0"/>
        <v>1</v>
      </c>
    </row>
    <row r="12" spans="1:20" s="196" customFormat="1" ht="24.75" customHeight="1" x14ac:dyDescent="0.2">
      <c r="A12" s="262">
        <v>5</v>
      </c>
      <c r="B12" s="263" t="s">
        <v>698</v>
      </c>
      <c r="C12" s="264">
        <f t="shared" ref="C12:T12" si="1">SUM(C8:C11)</f>
        <v>0</v>
      </c>
      <c r="D12" s="264">
        <f t="shared" si="1"/>
        <v>0</v>
      </c>
      <c r="E12" s="264">
        <f t="shared" si="1"/>
        <v>36</v>
      </c>
      <c r="F12" s="264">
        <f t="shared" si="1"/>
        <v>36</v>
      </c>
      <c r="G12" s="264">
        <f t="shared" si="1"/>
        <v>0</v>
      </c>
      <c r="H12" s="264">
        <f t="shared" si="1"/>
        <v>0</v>
      </c>
      <c r="I12" s="264">
        <f t="shared" si="1"/>
        <v>0</v>
      </c>
      <c r="J12" s="264">
        <f t="shared" si="1"/>
        <v>0</v>
      </c>
      <c r="K12" s="264">
        <f t="shared" si="1"/>
        <v>0</v>
      </c>
      <c r="L12" s="264">
        <f t="shared" si="1"/>
        <v>0</v>
      </c>
      <c r="M12" s="264">
        <f t="shared" si="1"/>
        <v>0</v>
      </c>
      <c r="N12" s="264">
        <f t="shared" si="1"/>
        <v>0</v>
      </c>
      <c r="O12" s="264">
        <f t="shared" si="1"/>
        <v>0</v>
      </c>
      <c r="P12" s="264">
        <f t="shared" si="1"/>
        <v>0</v>
      </c>
      <c r="Q12" s="264">
        <f t="shared" si="1"/>
        <v>0</v>
      </c>
      <c r="R12" s="264">
        <f t="shared" si="1"/>
        <v>0</v>
      </c>
      <c r="S12" s="264">
        <f t="shared" si="1"/>
        <v>36</v>
      </c>
      <c r="T12" s="264">
        <f t="shared" si="1"/>
        <v>36</v>
      </c>
    </row>
    <row r="13" spans="1:20" s="175" customFormat="1" ht="15" customHeight="1" x14ac:dyDescent="0.2">
      <c r="A13" s="184">
        <v>6</v>
      </c>
      <c r="B13" s="259" t="s">
        <v>699</v>
      </c>
      <c r="C13" s="260"/>
      <c r="D13" s="260"/>
      <c r="E13" s="260"/>
      <c r="F13" s="260"/>
      <c r="G13" s="260">
        <v>1</v>
      </c>
      <c r="H13" s="260">
        <v>1</v>
      </c>
      <c r="I13" s="260">
        <v>3</v>
      </c>
      <c r="J13" s="260">
        <v>3</v>
      </c>
      <c r="K13" s="260"/>
      <c r="L13" s="260"/>
      <c r="M13" s="260">
        <v>1</v>
      </c>
      <c r="N13" s="260">
        <v>1</v>
      </c>
      <c r="O13" s="260">
        <v>1</v>
      </c>
      <c r="P13" s="260">
        <v>1</v>
      </c>
      <c r="Q13" s="260">
        <v>1</v>
      </c>
      <c r="R13" s="260">
        <v>1</v>
      </c>
      <c r="S13" s="261">
        <f t="shared" ref="S13:T16" si="2">+C13+E13+G13+I13+K13+M13+O13+Q13</f>
        <v>7</v>
      </c>
      <c r="T13" s="261">
        <f t="shared" si="2"/>
        <v>7</v>
      </c>
    </row>
    <row r="14" spans="1:20" s="175" customFormat="1" ht="27.75" customHeight="1" x14ac:dyDescent="0.2">
      <c r="A14" s="184">
        <v>7</v>
      </c>
      <c r="B14" s="259" t="s">
        <v>700</v>
      </c>
      <c r="C14" s="260"/>
      <c r="D14" s="260"/>
      <c r="E14" s="260"/>
      <c r="F14" s="260"/>
      <c r="G14" s="260">
        <v>1</v>
      </c>
      <c r="H14" s="260">
        <v>1</v>
      </c>
      <c r="I14" s="260">
        <v>1</v>
      </c>
      <c r="J14" s="260">
        <v>1</v>
      </c>
      <c r="K14" s="260">
        <v>1</v>
      </c>
      <c r="L14" s="260">
        <v>1</v>
      </c>
      <c r="M14" s="260"/>
      <c r="N14" s="260"/>
      <c r="O14" s="260"/>
      <c r="P14" s="260"/>
      <c r="Q14" s="260">
        <v>3</v>
      </c>
      <c r="R14" s="260">
        <v>3</v>
      </c>
      <c r="S14" s="261">
        <f t="shared" si="2"/>
        <v>6</v>
      </c>
      <c r="T14" s="261">
        <f t="shared" si="2"/>
        <v>6</v>
      </c>
    </row>
    <row r="15" spans="1:20" s="175" customFormat="1" ht="15" customHeight="1" x14ac:dyDescent="0.2">
      <c r="A15" s="184">
        <v>8</v>
      </c>
      <c r="B15" s="259" t="s">
        <v>701</v>
      </c>
      <c r="C15" s="260"/>
      <c r="D15" s="260"/>
      <c r="E15" s="260"/>
      <c r="F15" s="260"/>
      <c r="G15" s="260"/>
      <c r="H15" s="260"/>
      <c r="I15" s="260">
        <v>8</v>
      </c>
      <c r="J15" s="260">
        <v>8</v>
      </c>
      <c r="K15" s="260"/>
      <c r="L15" s="260"/>
      <c r="M15" s="260"/>
      <c r="N15" s="260"/>
      <c r="O15" s="260"/>
      <c r="P15" s="260"/>
      <c r="Q15" s="260"/>
      <c r="R15" s="260"/>
      <c r="S15" s="261">
        <f t="shared" si="2"/>
        <v>8</v>
      </c>
      <c r="T15" s="261">
        <f t="shared" si="2"/>
        <v>8</v>
      </c>
    </row>
    <row r="16" spans="1:20" s="175" customFormat="1" ht="15" customHeight="1" x14ac:dyDescent="0.2">
      <c r="A16" s="184">
        <v>9</v>
      </c>
      <c r="B16" s="259" t="s">
        <v>702</v>
      </c>
      <c r="C16" s="260"/>
      <c r="D16" s="260"/>
      <c r="E16" s="260"/>
      <c r="F16" s="260"/>
      <c r="G16" s="260"/>
      <c r="H16" s="260"/>
      <c r="I16" s="260"/>
      <c r="J16" s="260"/>
      <c r="K16" s="260">
        <v>2</v>
      </c>
      <c r="L16" s="260">
        <v>2</v>
      </c>
      <c r="M16" s="260"/>
      <c r="N16" s="260"/>
      <c r="O16" s="260"/>
      <c r="P16" s="260"/>
      <c r="Q16" s="260"/>
      <c r="R16" s="260"/>
      <c r="S16" s="261">
        <f t="shared" ref="S16:S23" si="3">+C16+E16+G16+I16+K16+M16+O16+Q16</f>
        <v>2</v>
      </c>
      <c r="T16" s="261">
        <f t="shared" si="2"/>
        <v>2</v>
      </c>
    </row>
    <row r="17" spans="1:20" s="175" customFormat="1" ht="15" customHeight="1" x14ac:dyDescent="0.2">
      <c r="A17" s="184">
        <v>10</v>
      </c>
      <c r="B17" s="259" t="s">
        <v>703</v>
      </c>
      <c r="C17" s="260"/>
      <c r="D17" s="260"/>
      <c r="E17" s="260"/>
      <c r="F17" s="260"/>
      <c r="G17" s="260"/>
      <c r="H17" s="260"/>
      <c r="I17" s="260"/>
      <c r="J17" s="260"/>
      <c r="K17" s="260">
        <v>15</v>
      </c>
      <c r="L17" s="260">
        <v>15</v>
      </c>
      <c r="M17" s="260"/>
      <c r="N17" s="260"/>
      <c r="O17" s="260"/>
      <c r="P17" s="260"/>
      <c r="Q17" s="260"/>
      <c r="R17" s="260"/>
      <c r="S17" s="261">
        <f t="shared" si="3"/>
        <v>15</v>
      </c>
      <c r="T17" s="261">
        <f t="shared" ref="T17:T23" si="4">+D17+F17+H17+J17+L17+N17+P17+R17</f>
        <v>15</v>
      </c>
    </row>
    <row r="18" spans="1:20" s="175" customFormat="1" ht="15" customHeight="1" x14ac:dyDescent="0.2">
      <c r="A18" s="184">
        <v>11</v>
      </c>
      <c r="B18" s="259" t="s">
        <v>704</v>
      </c>
      <c r="C18" s="260"/>
      <c r="D18" s="260"/>
      <c r="E18" s="260"/>
      <c r="F18" s="260"/>
      <c r="G18" s="260"/>
      <c r="H18" s="260"/>
      <c r="I18" s="260"/>
      <c r="J18" s="260"/>
      <c r="K18" s="260">
        <v>4</v>
      </c>
      <c r="L18" s="260">
        <v>4</v>
      </c>
      <c r="M18" s="260"/>
      <c r="N18" s="260"/>
      <c r="O18" s="260"/>
      <c r="P18" s="260"/>
      <c r="Q18" s="260"/>
      <c r="R18" s="260"/>
      <c r="S18" s="261">
        <f t="shared" si="3"/>
        <v>4</v>
      </c>
      <c r="T18" s="261">
        <f t="shared" si="4"/>
        <v>4</v>
      </c>
    </row>
    <row r="19" spans="1:20" s="175" customFormat="1" ht="15" customHeight="1" x14ac:dyDescent="0.2">
      <c r="A19" s="184">
        <v>12</v>
      </c>
      <c r="B19" s="259" t="s">
        <v>705</v>
      </c>
      <c r="C19" s="260"/>
      <c r="D19" s="260"/>
      <c r="E19" s="260"/>
      <c r="F19" s="260"/>
      <c r="G19" s="260"/>
      <c r="H19" s="260"/>
      <c r="I19" s="260"/>
      <c r="J19" s="260"/>
      <c r="K19" s="260">
        <v>1</v>
      </c>
      <c r="L19" s="260">
        <v>1</v>
      </c>
      <c r="M19" s="260"/>
      <c r="N19" s="260"/>
      <c r="O19" s="260"/>
      <c r="P19" s="260"/>
      <c r="Q19" s="260"/>
      <c r="R19" s="260"/>
      <c r="S19" s="261">
        <f t="shared" si="3"/>
        <v>1</v>
      </c>
      <c r="T19" s="261">
        <f t="shared" si="4"/>
        <v>1</v>
      </c>
    </row>
    <row r="20" spans="1:20" s="175" customFormat="1" ht="15" customHeight="1" x14ac:dyDescent="0.2">
      <c r="A20" s="184">
        <v>13</v>
      </c>
      <c r="B20" s="259" t="s">
        <v>706</v>
      </c>
      <c r="C20" s="260"/>
      <c r="D20" s="260"/>
      <c r="E20" s="260"/>
      <c r="F20" s="260"/>
      <c r="G20" s="260">
        <v>6</v>
      </c>
      <c r="H20" s="260">
        <v>6</v>
      </c>
      <c r="I20" s="260">
        <v>31</v>
      </c>
      <c r="J20" s="260">
        <v>31</v>
      </c>
      <c r="K20" s="260">
        <v>45</v>
      </c>
      <c r="L20" s="260">
        <v>45</v>
      </c>
      <c r="M20" s="260">
        <v>1</v>
      </c>
      <c r="N20" s="260">
        <v>1</v>
      </c>
      <c r="O20" s="260">
        <v>3</v>
      </c>
      <c r="P20" s="260">
        <v>3</v>
      </c>
      <c r="Q20" s="260">
        <v>30</v>
      </c>
      <c r="R20" s="260">
        <v>30</v>
      </c>
      <c r="S20" s="261">
        <f t="shared" si="3"/>
        <v>116</v>
      </c>
      <c r="T20" s="261">
        <f t="shared" si="4"/>
        <v>116</v>
      </c>
    </row>
    <row r="21" spans="1:20" s="175" customFormat="1" ht="15" customHeight="1" x14ac:dyDescent="0.2">
      <c r="A21" s="184">
        <v>14</v>
      </c>
      <c r="B21" s="259" t="s">
        <v>707</v>
      </c>
      <c r="C21" s="260"/>
      <c r="D21" s="260"/>
      <c r="E21" s="260"/>
      <c r="F21" s="260"/>
      <c r="G21" s="260">
        <v>17</v>
      </c>
      <c r="H21" s="260">
        <v>17</v>
      </c>
      <c r="I21" s="260">
        <v>20</v>
      </c>
      <c r="J21" s="260">
        <v>20</v>
      </c>
      <c r="K21" s="260">
        <v>23</v>
      </c>
      <c r="L21" s="260">
        <v>23</v>
      </c>
      <c r="M21" s="260"/>
      <c r="N21" s="260"/>
      <c r="O21" s="260">
        <v>3</v>
      </c>
      <c r="P21" s="260">
        <v>3</v>
      </c>
      <c r="Q21" s="260">
        <v>18</v>
      </c>
      <c r="R21" s="260">
        <v>18</v>
      </c>
      <c r="S21" s="261">
        <f t="shared" si="3"/>
        <v>81</v>
      </c>
      <c r="T21" s="261">
        <f t="shared" si="4"/>
        <v>81</v>
      </c>
    </row>
    <row r="22" spans="1:20" s="175" customFormat="1" ht="15" customHeight="1" x14ac:dyDescent="0.2">
      <c r="A22" s="184">
        <v>15</v>
      </c>
      <c r="B22" s="259" t="s">
        <v>708</v>
      </c>
      <c r="C22" s="260"/>
      <c r="D22" s="260"/>
      <c r="E22" s="260"/>
      <c r="F22" s="260"/>
      <c r="G22" s="260">
        <v>32</v>
      </c>
      <c r="H22" s="260">
        <v>32</v>
      </c>
      <c r="I22" s="260">
        <v>36</v>
      </c>
      <c r="J22" s="260">
        <v>36</v>
      </c>
      <c r="K22" s="260">
        <v>6</v>
      </c>
      <c r="L22" s="260">
        <v>6</v>
      </c>
      <c r="M22" s="260">
        <v>4</v>
      </c>
      <c r="N22" s="260">
        <v>4</v>
      </c>
      <c r="O22" s="260">
        <v>2</v>
      </c>
      <c r="P22" s="260">
        <v>2</v>
      </c>
      <c r="Q22" s="260"/>
      <c r="R22" s="260"/>
      <c r="S22" s="261">
        <f t="shared" si="3"/>
        <v>80</v>
      </c>
      <c r="T22" s="261">
        <f t="shared" si="4"/>
        <v>80</v>
      </c>
    </row>
    <row r="23" spans="1:20" s="175" customFormat="1" ht="15" customHeight="1" x14ac:dyDescent="0.2">
      <c r="A23" s="184">
        <v>16</v>
      </c>
      <c r="B23" s="259" t="s">
        <v>709</v>
      </c>
      <c r="C23" s="260"/>
      <c r="D23" s="260"/>
      <c r="E23" s="260"/>
      <c r="F23" s="260"/>
      <c r="G23" s="260"/>
      <c r="H23" s="260"/>
      <c r="I23" s="260"/>
      <c r="J23" s="260"/>
      <c r="K23" s="260">
        <v>5</v>
      </c>
      <c r="L23" s="260">
        <v>5</v>
      </c>
      <c r="M23" s="260"/>
      <c r="N23" s="260"/>
      <c r="O23" s="260"/>
      <c r="P23" s="260"/>
      <c r="Q23" s="260"/>
      <c r="R23" s="260"/>
      <c r="S23" s="261">
        <f t="shared" si="3"/>
        <v>5</v>
      </c>
      <c r="T23" s="261">
        <f t="shared" si="4"/>
        <v>5</v>
      </c>
    </row>
    <row r="24" spans="1:20" s="196" customFormat="1" ht="15" customHeight="1" x14ac:dyDescent="0.2">
      <c r="A24" s="262">
        <v>17</v>
      </c>
      <c r="B24" s="263" t="s">
        <v>710</v>
      </c>
      <c r="C24" s="264">
        <f t="shared" ref="C24:T24" si="5">SUM(C13:C23)</f>
        <v>0</v>
      </c>
      <c r="D24" s="264">
        <f t="shared" si="5"/>
        <v>0</v>
      </c>
      <c r="E24" s="264">
        <f t="shared" si="5"/>
        <v>0</v>
      </c>
      <c r="F24" s="264">
        <f t="shared" si="5"/>
        <v>0</v>
      </c>
      <c r="G24" s="264">
        <f t="shared" si="5"/>
        <v>57</v>
      </c>
      <c r="H24" s="264">
        <f t="shared" si="5"/>
        <v>57</v>
      </c>
      <c r="I24" s="264">
        <f t="shared" si="5"/>
        <v>99</v>
      </c>
      <c r="J24" s="264">
        <f t="shared" si="5"/>
        <v>99</v>
      </c>
      <c r="K24" s="264">
        <f t="shared" si="5"/>
        <v>102</v>
      </c>
      <c r="L24" s="264">
        <f t="shared" si="5"/>
        <v>102</v>
      </c>
      <c r="M24" s="264">
        <f t="shared" si="5"/>
        <v>6</v>
      </c>
      <c r="N24" s="264">
        <f t="shared" si="5"/>
        <v>6</v>
      </c>
      <c r="O24" s="264">
        <f t="shared" si="5"/>
        <v>9</v>
      </c>
      <c r="P24" s="264">
        <f t="shared" si="5"/>
        <v>9</v>
      </c>
      <c r="Q24" s="264">
        <f t="shared" si="5"/>
        <v>52</v>
      </c>
      <c r="R24" s="264">
        <f t="shared" si="5"/>
        <v>52</v>
      </c>
      <c r="S24" s="264">
        <f t="shared" si="5"/>
        <v>325</v>
      </c>
      <c r="T24" s="264">
        <f t="shared" si="5"/>
        <v>325</v>
      </c>
    </row>
    <row r="25" spans="1:20" s="175" customFormat="1" ht="25.5" x14ac:dyDescent="0.2">
      <c r="A25" s="184">
        <v>18</v>
      </c>
      <c r="B25" s="259" t="s">
        <v>711</v>
      </c>
      <c r="C25" s="260"/>
      <c r="D25" s="260"/>
      <c r="E25" s="260">
        <v>10</v>
      </c>
      <c r="F25" s="260">
        <v>10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>
        <v>4</v>
      </c>
      <c r="S25" s="261">
        <f t="shared" ref="S25:T28" si="6">+C25+E25+G25+I25+K25+M25+O25+Q25</f>
        <v>10</v>
      </c>
      <c r="T25" s="261">
        <f t="shared" si="6"/>
        <v>14</v>
      </c>
    </row>
    <row r="26" spans="1:20" s="175" customFormat="1" ht="15" customHeight="1" x14ac:dyDescent="0.2">
      <c r="A26" s="184">
        <v>19</v>
      </c>
      <c r="B26" s="259" t="s">
        <v>712</v>
      </c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1">
        <f t="shared" si="6"/>
        <v>0</v>
      </c>
      <c r="T26" s="261">
        <f t="shared" si="6"/>
        <v>0</v>
      </c>
    </row>
    <row r="27" spans="1:20" s="175" customFormat="1" ht="15" customHeight="1" x14ac:dyDescent="0.2">
      <c r="A27" s="184">
        <v>20</v>
      </c>
      <c r="B27" s="259" t="s">
        <v>713</v>
      </c>
      <c r="C27" s="260"/>
      <c r="D27" s="260"/>
      <c r="E27" s="260">
        <v>4</v>
      </c>
      <c r="F27" s="260">
        <v>4</v>
      </c>
      <c r="G27" s="260">
        <v>8</v>
      </c>
      <c r="H27" s="260">
        <v>8</v>
      </c>
      <c r="I27" s="260">
        <v>12</v>
      </c>
      <c r="J27" s="260">
        <v>12</v>
      </c>
      <c r="K27" s="260">
        <v>14</v>
      </c>
      <c r="L27" s="260">
        <v>14</v>
      </c>
      <c r="M27" s="260">
        <v>5</v>
      </c>
      <c r="N27" s="260">
        <v>5</v>
      </c>
      <c r="O27" s="260">
        <v>3</v>
      </c>
      <c r="P27" s="260">
        <v>3</v>
      </c>
      <c r="Q27" s="260">
        <v>200</v>
      </c>
      <c r="R27" s="260">
        <v>196</v>
      </c>
      <c r="S27" s="261">
        <f t="shared" si="6"/>
        <v>246</v>
      </c>
      <c r="T27" s="261">
        <f t="shared" si="6"/>
        <v>242</v>
      </c>
    </row>
    <row r="28" spans="1:20" s="175" customFormat="1" ht="25.5" x14ac:dyDescent="0.2">
      <c r="A28" s="184">
        <v>21</v>
      </c>
      <c r="B28" s="259" t="s">
        <v>714</v>
      </c>
      <c r="C28" s="260"/>
      <c r="D28" s="260">
        <v>1</v>
      </c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>
        <v>1</v>
      </c>
      <c r="R28" s="260">
        <v>1</v>
      </c>
      <c r="S28" s="261">
        <f t="shared" si="6"/>
        <v>1</v>
      </c>
      <c r="T28" s="261">
        <f t="shared" si="6"/>
        <v>2</v>
      </c>
    </row>
    <row r="29" spans="1:20" s="196" customFormat="1" ht="15" customHeight="1" x14ac:dyDescent="0.2">
      <c r="A29" s="262">
        <v>22</v>
      </c>
      <c r="B29" s="263" t="s">
        <v>715</v>
      </c>
      <c r="C29" s="264">
        <f t="shared" ref="C29:T29" si="7">SUM(C25:C28)</f>
        <v>0</v>
      </c>
      <c r="D29" s="264">
        <f t="shared" si="7"/>
        <v>1</v>
      </c>
      <c r="E29" s="264">
        <f t="shared" si="7"/>
        <v>14</v>
      </c>
      <c r="F29" s="264">
        <f t="shared" si="7"/>
        <v>14</v>
      </c>
      <c r="G29" s="264">
        <f t="shared" si="7"/>
        <v>8</v>
      </c>
      <c r="H29" s="264">
        <f t="shared" si="7"/>
        <v>8</v>
      </c>
      <c r="I29" s="264">
        <f t="shared" si="7"/>
        <v>12</v>
      </c>
      <c r="J29" s="264">
        <f t="shared" si="7"/>
        <v>12</v>
      </c>
      <c r="K29" s="264">
        <f t="shared" si="7"/>
        <v>14</v>
      </c>
      <c r="L29" s="264">
        <f t="shared" si="7"/>
        <v>14</v>
      </c>
      <c r="M29" s="264">
        <f t="shared" si="7"/>
        <v>5</v>
      </c>
      <c r="N29" s="264">
        <f t="shared" si="7"/>
        <v>5</v>
      </c>
      <c r="O29" s="264">
        <f t="shared" si="7"/>
        <v>3</v>
      </c>
      <c r="P29" s="264">
        <f t="shared" si="7"/>
        <v>3</v>
      </c>
      <c r="Q29" s="264">
        <f t="shared" si="7"/>
        <v>201</v>
      </c>
      <c r="R29" s="264">
        <f t="shared" si="7"/>
        <v>201</v>
      </c>
      <c r="S29" s="264">
        <f t="shared" si="7"/>
        <v>257</v>
      </c>
      <c r="T29" s="264">
        <f t="shared" si="7"/>
        <v>258</v>
      </c>
    </row>
    <row r="30" spans="1:20" s="175" customFormat="1" ht="12.75" x14ac:dyDescent="0.2">
      <c r="A30" s="184">
        <v>23</v>
      </c>
      <c r="B30" s="259" t="s">
        <v>716</v>
      </c>
      <c r="C30" s="260">
        <v>1</v>
      </c>
      <c r="D30" s="260">
        <v>1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1">
        <f t="shared" ref="S30:T32" si="8">+C30+E30+G30+I30+K30+M30+O30+Q30</f>
        <v>1</v>
      </c>
      <c r="T30" s="261">
        <f t="shared" si="8"/>
        <v>1</v>
      </c>
    </row>
    <row r="31" spans="1:20" s="175" customFormat="1" ht="12.75" x14ac:dyDescent="0.2">
      <c r="A31" s="184">
        <v>24</v>
      </c>
      <c r="B31" s="259" t="s">
        <v>717</v>
      </c>
      <c r="C31" s="260">
        <v>10</v>
      </c>
      <c r="D31" s="260">
        <v>10</v>
      </c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1">
        <f t="shared" si="8"/>
        <v>10</v>
      </c>
      <c r="T31" s="261">
        <f t="shared" si="8"/>
        <v>10</v>
      </c>
    </row>
    <row r="32" spans="1:20" s="175" customFormat="1" ht="25.5" x14ac:dyDescent="0.2">
      <c r="A32" s="184">
        <v>25</v>
      </c>
      <c r="B32" s="259" t="s">
        <v>718</v>
      </c>
      <c r="C32" s="260">
        <v>1</v>
      </c>
      <c r="D32" s="260">
        <v>1</v>
      </c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1">
        <f t="shared" si="8"/>
        <v>1</v>
      </c>
      <c r="T32" s="261">
        <f t="shared" si="8"/>
        <v>1</v>
      </c>
    </row>
    <row r="33" spans="1:20" s="196" customFormat="1" ht="15" customHeight="1" x14ac:dyDescent="0.2">
      <c r="A33" s="262">
        <v>26</v>
      </c>
      <c r="B33" s="263" t="s">
        <v>719</v>
      </c>
      <c r="C33" s="264">
        <f t="shared" ref="C33:T33" si="9">SUM(C30:C32)</f>
        <v>12</v>
      </c>
      <c r="D33" s="264">
        <f t="shared" si="9"/>
        <v>12</v>
      </c>
      <c r="E33" s="264">
        <f t="shared" si="9"/>
        <v>0</v>
      </c>
      <c r="F33" s="264">
        <f t="shared" si="9"/>
        <v>0</v>
      </c>
      <c r="G33" s="264">
        <f t="shared" si="9"/>
        <v>0</v>
      </c>
      <c r="H33" s="264">
        <f t="shared" si="9"/>
        <v>0</v>
      </c>
      <c r="I33" s="264">
        <f t="shared" si="9"/>
        <v>0</v>
      </c>
      <c r="J33" s="264">
        <f t="shared" si="9"/>
        <v>0</v>
      </c>
      <c r="K33" s="264">
        <f t="shared" si="9"/>
        <v>0</v>
      </c>
      <c r="L33" s="264">
        <f t="shared" si="9"/>
        <v>0</v>
      </c>
      <c r="M33" s="264">
        <f t="shared" si="9"/>
        <v>0</v>
      </c>
      <c r="N33" s="264">
        <f t="shared" si="9"/>
        <v>0</v>
      </c>
      <c r="O33" s="264">
        <f t="shared" si="9"/>
        <v>0</v>
      </c>
      <c r="P33" s="264">
        <f t="shared" si="9"/>
        <v>0</v>
      </c>
      <c r="Q33" s="264">
        <f t="shared" si="9"/>
        <v>0</v>
      </c>
      <c r="R33" s="264">
        <f t="shared" si="9"/>
        <v>0</v>
      </c>
      <c r="S33" s="264">
        <f t="shared" si="9"/>
        <v>12</v>
      </c>
      <c r="T33" s="264">
        <f t="shared" si="9"/>
        <v>12</v>
      </c>
    </row>
    <row r="34" spans="1:20" s="196" customFormat="1" ht="37.5" customHeight="1" x14ac:dyDescent="0.2">
      <c r="A34" s="262">
        <v>27</v>
      </c>
      <c r="B34" s="263" t="s">
        <v>720</v>
      </c>
      <c r="C34" s="265">
        <f t="shared" ref="C34:T34" si="10">+C33+C29+C24+C12</f>
        <v>12</v>
      </c>
      <c r="D34" s="265">
        <f t="shared" si="10"/>
        <v>13</v>
      </c>
      <c r="E34" s="265">
        <f t="shared" si="10"/>
        <v>50</v>
      </c>
      <c r="F34" s="265">
        <f t="shared" si="10"/>
        <v>50</v>
      </c>
      <c r="G34" s="265">
        <f t="shared" si="10"/>
        <v>65</v>
      </c>
      <c r="H34" s="265">
        <f t="shared" si="10"/>
        <v>65</v>
      </c>
      <c r="I34" s="265">
        <f t="shared" si="10"/>
        <v>111</v>
      </c>
      <c r="J34" s="265">
        <f t="shared" si="10"/>
        <v>111</v>
      </c>
      <c r="K34" s="265">
        <f t="shared" si="10"/>
        <v>116</v>
      </c>
      <c r="L34" s="265">
        <f t="shared" si="10"/>
        <v>116</v>
      </c>
      <c r="M34" s="265">
        <f t="shared" si="10"/>
        <v>11</v>
      </c>
      <c r="N34" s="265">
        <f t="shared" si="10"/>
        <v>11</v>
      </c>
      <c r="O34" s="265">
        <f t="shared" si="10"/>
        <v>12</v>
      </c>
      <c r="P34" s="265">
        <f t="shared" si="10"/>
        <v>12</v>
      </c>
      <c r="Q34" s="265">
        <f t="shared" si="10"/>
        <v>253</v>
      </c>
      <c r="R34" s="265">
        <f t="shared" si="10"/>
        <v>253</v>
      </c>
      <c r="S34" s="265">
        <f t="shared" si="10"/>
        <v>630</v>
      </c>
      <c r="T34" s="265">
        <f t="shared" si="10"/>
        <v>631</v>
      </c>
    </row>
    <row r="35" spans="1:20" s="175" customFormat="1" ht="12.75" customHeight="1" x14ac:dyDescent="0.2"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266"/>
    </row>
    <row r="36" spans="1:20" s="182" customFormat="1" ht="12.75" x14ac:dyDescent="0.2">
      <c r="B36" s="267"/>
      <c r="C36" s="182" t="s">
        <v>721</v>
      </c>
      <c r="E36" s="182" t="s">
        <v>721</v>
      </c>
      <c r="G36" s="182" t="s">
        <v>721</v>
      </c>
      <c r="I36" s="182" t="s">
        <v>721</v>
      </c>
      <c r="K36" s="268" t="s">
        <v>721</v>
      </c>
      <c r="L36" s="269"/>
      <c r="M36" s="268" t="s">
        <v>721</v>
      </c>
      <c r="N36" s="268"/>
      <c r="O36" s="268" t="s">
        <v>721</v>
      </c>
      <c r="P36" s="268" t="s">
        <v>721</v>
      </c>
      <c r="Q36" s="268" t="s">
        <v>721</v>
      </c>
    </row>
    <row r="37" spans="1:20" s="175" customFormat="1" ht="12.75" x14ac:dyDescent="0.2">
      <c r="B37" s="270"/>
    </row>
    <row r="38" spans="1:20" s="175" customFormat="1" ht="12.75" x14ac:dyDescent="0.2">
      <c r="B38" s="270"/>
    </row>
    <row r="39" spans="1:20" s="175" customFormat="1" ht="12.75" x14ac:dyDescent="0.2">
      <c r="B39" s="270"/>
    </row>
    <row r="40" spans="1:20" s="175" customFormat="1" ht="12.75" x14ac:dyDescent="0.2">
      <c r="B40" s="270"/>
    </row>
    <row r="41" spans="1:20" s="175" customFormat="1" ht="12.75" x14ac:dyDescent="0.2">
      <c r="B41" s="270"/>
    </row>
    <row r="42" spans="1:20" s="175" customFormat="1" ht="12.75" x14ac:dyDescent="0.2">
      <c r="B42" s="270"/>
    </row>
    <row r="43" spans="1:20" s="175" customFormat="1" ht="12.75" x14ac:dyDescent="0.2">
      <c r="B43" s="270"/>
    </row>
    <row r="44" spans="1:20" s="175" customFormat="1" ht="12.75" x14ac:dyDescent="0.2">
      <c r="B44" s="270"/>
    </row>
    <row r="45" spans="1:20" s="175" customFormat="1" ht="12.75" x14ac:dyDescent="0.2">
      <c r="B45" s="270"/>
    </row>
    <row r="46" spans="1:20" s="175" customFormat="1" ht="12.75" x14ac:dyDescent="0.2">
      <c r="B46" s="270"/>
    </row>
    <row r="47" spans="1:20" s="175" customFormat="1" ht="12.75" x14ac:dyDescent="0.2">
      <c r="B47" s="270"/>
    </row>
    <row r="48" spans="1:20" s="175" customFormat="1" ht="12.75" x14ac:dyDescent="0.2">
      <c r="B48" s="270"/>
    </row>
  </sheetData>
  <sheetProtection selectLockedCells="1" selectUnlockedCells="1"/>
  <mergeCells count="11">
    <mergeCell ref="O7:P7"/>
    <mergeCell ref="Q7:R7"/>
    <mergeCell ref="S7:T7"/>
    <mergeCell ref="B35:Q35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4" firstPageNumber="0" orientation="landscape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view="pageBreakPreview" zoomScale="80" zoomScaleSheetLayoutView="80" workbookViewId="0">
      <selection activeCell="L9" sqref="L9"/>
    </sheetView>
  </sheetViews>
  <sheetFormatPr defaultColWidth="11.5703125" defaultRowHeight="15.75" x14ac:dyDescent="0.25"/>
  <cols>
    <col min="1" max="1" width="13.140625" style="79" customWidth="1"/>
    <col min="2" max="2" width="76.28515625" style="2" customWidth="1"/>
    <col min="3" max="3" width="6.85546875" style="2" customWidth="1"/>
    <col min="4" max="4" width="12" style="271" customWidth="1"/>
    <col min="5" max="5" width="12.7109375" style="271" customWidth="1"/>
    <col min="6" max="255" width="9.140625" style="2" customWidth="1"/>
  </cols>
  <sheetData>
    <row r="1" spans="1:5" x14ac:dyDescent="0.25">
      <c r="A1" s="272"/>
      <c r="D1" s="4"/>
      <c r="E1" s="4" t="s">
        <v>722</v>
      </c>
    </row>
    <row r="2" spans="1:5" x14ac:dyDescent="0.25">
      <c r="A2" s="272"/>
      <c r="D2" s="5"/>
      <c r="E2" s="5" t="s">
        <v>7</v>
      </c>
    </row>
    <row r="3" spans="1:5" x14ac:dyDescent="0.25">
      <c r="A3" s="272"/>
      <c r="D3" s="273"/>
      <c r="E3" s="273"/>
    </row>
    <row r="4" spans="1:5" ht="28.5" customHeight="1" x14ac:dyDescent="0.3">
      <c r="A4" s="272"/>
      <c r="B4" s="24" t="s">
        <v>8</v>
      </c>
      <c r="C4" s="26"/>
      <c r="D4" s="274"/>
      <c r="E4" s="274"/>
    </row>
    <row r="5" spans="1:5" ht="18.75" x14ac:dyDescent="0.3">
      <c r="A5" s="272"/>
      <c r="B5" s="24"/>
      <c r="C5" s="26"/>
      <c r="D5" s="274"/>
      <c r="E5" s="274"/>
    </row>
    <row r="6" spans="1:5" ht="15.75" customHeight="1" x14ac:dyDescent="0.25">
      <c r="A6" s="272"/>
      <c r="B6" s="332" t="s">
        <v>723</v>
      </c>
      <c r="C6" s="332"/>
      <c r="D6" s="275"/>
      <c r="E6" s="275"/>
    </row>
    <row r="7" spans="1:5" x14ac:dyDescent="0.25">
      <c r="A7" s="272"/>
      <c r="B7" s="276"/>
      <c r="C7" s="277"/>
      <c r="D7" s="278"/>
      <c r="E7" s="278"/>
    </row>
    <row r="8" spans="1:5" x14ac:dyDescent="0.25">
      <c r="A8" s="272"/>
    </row>
    <row r="9" spans="1:5" s="11" customFormat="1" ht="31.5" x14ac:dyDescent="0.25">
      <c r="A9" s="279"/>
      <c r="B9" s="162" t="s">
        <v>585</v>
      </c>
      <c r="C9" s="37" t="s">
        <v>39</v>
      </c>
      <c r="D9" s="312" t="s">
        <v>724</v>
      </c>
      <c r="E9" s="312" t="s">
        <v>725</v>
      </c>
    </row>
    <row r="10" spans="1:5" s="11" customFormat="1" x14ac:dyDescent="0.25">
      <c r="A10" s="279"/>
      <c r="B10" s="281" t="s">
        <v>726</v>
      </c>
      <c r="C10" s="37"/>
      <c r="D10" s="280"/>
      <c r="E10" s="280"/>
    </row>
    <row r="11" spans="1:5" x14ac:dyDescent="0.25">
      <c r="A11" s="79" t="s">
        <v>727</v>
      </c>
      <c r="B11" s="95" t="s">
        <v>728</v>
      </c>
      <c r="C11" s="55" t="s">
        <v>61</v>
      </c>
      <c r="D11" s="282">
        <v>23000</v>
      </c>
      <c r="E11" s="282">
        <v>23000</v>
      </c>
    </row>
    <row r="12" spans="1:5" x14ac:dyDescent="0.25">
      <c r="A12" s="79" t="s">
        <v>729</v>
      </c>
      <c r="B12" s="95" t="s">
        <v>730</v>
      </c>
      <c r="C12" s="55" t="s">
        <v>61</v>
      </c>
      <c r="D12" s="282">
        <v>1980</v>
      </c>
      <c r="E12" s="282">
        <v>1980</v>
      </c>
    </row>
    <row r="13" spans="1:5" x14ac:dyDescent="0.25">
      <c r="A13" s="79" t="s">
        <v>731</v>
      </c>
      <c r="B13" s="95" t="s">
        <v>732</v>
      </c>
      <c r="C13" s="55" t="s">
        <v>61</v>
      </c>
      <c r="D13" s="282">
        <v>500</v>
      </c>
      <c r="E13" s="282">
        <v>500</v>
      </c>
    </row>
    <row r="14" spans="1:5" x14ac:dyDescent="0.25">
      <c r="B14" s="281" t="s">
        <v>733</v>
      </c>
      <c r="C14" s="12"/>
      <c r="D14" s="12"/>
      <c r="E14" s="12"/>
    </row>
    <row r="15" spans="1:5" x14ac:dyDescent="0.25">
      <c r="A15" s="79" t="s">
        <v>734</v>
      </c>
      <c r="B15" s="95" t="s">
        <v>735</v>
      </c>
      <c r="C15" s="55" t="s">
        <v>61</v>
      </c>
      <c r="D15" s="282">
        <v>6500</v>
      </c>
      <c r="E15" s="282">
        <v>6500</v>
      </c>
    </row>
    <row r="16" spans="1:5" x14ac:dyDescent="0.25">
      <c r="A16" s="79" t="s">
        <v>736</v>
      </c>
      <c r="B16" s="95" t="s">
        <v>737</v>
      </c>
      <c r="C16" s="55" t="s">
        <v>61</v>
      </c>
      <c r="D16" s="282">
        <v>10000</v>
      </c>
      <c r="E16" s="282">
        <v>10000</v>
      </c>
    </row>
    <row r="17" spans="1:5" x14ac:dyDescent="0.25">
      <c r="A17" s="79" t="s">
        <v>738</v>
      </c>
      <c r="B17" s="95" t="s">
        <v>739</v>
      </c>
      <c r="C17" s="55" t="s">
        <v>61</v>
      </c>
      <c r="D17" s="282">
        <v>1500</v>
      </c>
      <c r="E17" s="282">
        <v>1500</v>
      </c>
    </row>
    <row r="18" spans="1:5" x14ac:dyDescent="0.25">
      <c r="A18" s="79" t="s">
        <v>740</v>
      </c>
      <c r="B18" s="283" t="s">
        <v>741</v>
      </c>
      <c r="C18" s="55" t="s">
        <v>61</v>
      </c>
      <c r="D18" s="284">
        <v>4000</v>
      </c>
      <c r="E18" s="284">
        <v>4000</v>
      </c>
    </row>
    <row r="19" spans="1:5" x14ac:dyDescent="0.25">
      <c r="A19" s="79" t="s">
        <v>742</v>
      </c>
      <c r="B19" s="57" t="s">
        <v>743</v>
      </c>
      <c r="C19" s="55" t="s">
        <v>61</v>
      </c>
      <c r="D19" s="282">
        <v>5500</v>
      </c>
      <c r="E19" s="282">
        <v>5500</v>
      </c>
    </row>
    <row r="20" spans="1:5" x14ac:dyDescent="0.25">
      <c r="A20" s="79" t="s">
        <v>744</v>
      </c>
      <c r="B20" s="57" t="s">
        <v>745</v>
      </c>
      <c r="C20" s="55" t="s">
        <v>61</v>
      </c>
      <c r="D20" s="282">
        <v>300</v>
      </c>
      <c r="E20" s="282">
        <v>300</v>
      </c>
    </row>
    <row r="21" spans="1:5" x14ac:dyDescent="0.25">
      <c r="A21" s="79" t="s">
        <v>746</v>
      </c>
      <c r="B21" s="49" t="s">
        <v>747</v>
      </c>
      <c r="C21" s="55" t="s">
        <v>61</v>
      </c>
      <c r="D21" s="282">
        <v>500</v>
      </c>
      <c r="E21" s="282">
        <v>500</v>
      </c>
    </row>
    <row r="22" spans="1:5" x14ac:dyDescent="0.25">
      <c r="A22" s="79" t="s">
        <v>748</v>
      </c>
      <c r="B22" s="285" t="s">
        <v>749</v>
      </c>
      <c r="C22" s="55" t="s">
        <v>61</v>
      </c>
      <c r="D22" s="284">
        <v>8600</v>
      </c>
      <c r="E22" s="284">
        <v>8600</v>
      </c>
    </row>
    <row r="23" spans="1:5" s="91" customFormat="1" x14ac:dyDescent="0.25">
      <c r="A23" s="148"/>
      <c r="B23" s="286" t="s">
        <v>750</v>
      </c>
      <c r="C23" s="88" t="s">
        <v>61</v>
      </c>
      <c r="D23" s="287">
        <f>SUM(D11:D22)</f>
        <v>62380</v>
      </c>
      <c r="E23" s="287">
        <f>SUM(E11:E22)</f>
        <v>62380</v>
      </c>
    </row>
    <row r="24" spans="1:5" x14ac:dyDescent="0.25">
      <c r="B24" s="288" t="s">
        <v>751</v>
      </c>
      <c r="D24" s="271">
        <v>500</v>
      </c>
      <c r="E24" s="271">
        <v>500</v>
      </c>
    </row>
    <row r="25" spans="1:5" x14ac:dyDescent="0.25">
      <c r="A25" s="148" t="s">
        <v>752</v>
      </c>
      <c r="B25" s="16" t="s">
        <v>753</v>
      </c>
      <c r="D25" s="289">
        <f>SUM(D23:D24)</f>
        <v>62880</v>
      </c>
      <c r="E25" s="289">
        <f>SUM(E23:E24)</f>
        <v>62880</v>
      </c>
    </row>
    <row r="26" spans="1:5" x14ac:dyDescent="0.25">
      <c r="A26" s="79" t="s">
        <v>332</v>
      </c>
      <c r="D26" s="271">
        <v>0</v>
      </c>
      <c r="E26" s="271">
        <v>0</v>
      </c>
    </row>
    <row r="27" spans="1:5" x14ac:dyDescent="0.25">
      <c r="A27" s="79" t="s">
        <v>754</v>
      </c>
      <c r="D27" s="271">
        <f>+D26-D23</f>
        <v>-62380</v>
      </c>
      <c r="E27" s="271">
        <f>+E26-E23</f>
        <v>-62380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3" firstPageNumber="0" orientation="portrait" horizontalDpi="300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topLeftCell="A29" zoomScale="80" zoomScaleSheetLayoutView="80" workbookViewId="0">
      <selection activeCell="N26" sqref="N26"/>
    </sheetView>
  </sheetViews>
  <sheetFormatPr defaultColWidth="11.5703125" defaultRowHeight="15.75" x14ac:dyDescent="0.25"/>
  <cols>
    <col min="1" max="1" width="13.140625" style="79" customWidth="1"/>
    <col min="2" max="2" width="75.5703125" style="2" customWidth="1"/>
    <col min="3" max="3" width="10" style="2" customWidth="1"/>
    <col min="4" max="4" width="10.42578125" style="3" customWidth="1"/>
    <col min="5" max="5" width="13.5703125" style="3" customWidth="1"/>
    <col min="6" max="7" width="11.5703125" style="3" customWidth="1"/>
    <col min="8" max="254" width="9.140625" style="2" customWidth="1"/>
  </cols>
  <sheetData>
    <row r="1" spans="1:7" x14ac:dyDescent="0.25">
      <c r="E1" s="4"/>
      <c r="G1" s="4" t="s">
        <v>755</v>
      </c>
    </row>
    <row r="2" spans="1:7" x14ac:dyDescent="0.25">
      <c r="E2" s="5"/>
      <c r="G2" s="5" t="s">
        <v>7</v>
      </c>
    </row>
    <row r="3" spans="1:7" x14ac:dyDescent="0.25">
      <c r="E3" s="158"/>
      <c r="G3" s="158"/>
    </row>
    <row r="4" spans="1:7" ht="18.75" x14ac:dyDescent="0.3">
      <c r="B4" s="24" t="s">
        <v>8</v>
      </c>
      <c r="C4" s="290"/>
      <c r="D4" s="290"/>
      <c r="E4" s="290"/>
      <c r="F4" s="290"/>
      <c r="G4" s="290"/>
    </row>
    <row r="5" spans="1:7" ht="18.75" x14ac:dyDescent="0.3">
      <c r="B5" s="24"/>
      <c r="C5"/>
      <c r="D5"/>
      <c r="E5"/>
      <c r="F5"/>
      <c r="G5"/>
    </row>
    <row r="6" spans="1:7" ht="36" customHeight="1" x14ac:dyDescent="0.25">
      <c r="B6" s="319" t="s">
        <v>756</v>
      </c>
      <c r="C6" s="319"/>
      <c r="D6" s="319"/>
      <c r="E6" s="319"/>
      <c r="F6" s="118"/>
      <c r="G6" s="118"/>
    </row>
    <row r="7" spans="1:7" x14ac:dyDescent="0.25">
      <c r="A7" s="79" t="s">
        <v>332</v>
      </c>
      <c r="B7" s="31"/>
      <c r="C7" s="32"/>
      <c r="D7" s="34"/>
      <c r="F7" s="34"/>
    </row>
    <row r="8" spans="1:7" x14ac:dyDescent="0.25">
      <c r="A8" s="79" t="s">
        <v>757</v>
      </c>
      <c r="D8" s="333" t="s">
        <v>10</v>
      </c>
      <c r="E8" s="333"/>
      <c r="F8" s="333" t="s">
        <v>11</v>
      </c>
      <c r="G8" s="333"/>
    </row>
    <row r="9" spans="1:7" s="11" customFormat="1" ht="47.25" x14ac:dyDescent="0.25">
      <c r="A9" s="291"/>
      <c r="B9" s="292" t="s">
        <v>758</v>
      </c>
      <c r="C9" s="37" t="s">
        <v>39</v>
      </c>
      <c r="D9" s="9" t="s">
        <v>13</v>
      </c>
      <c r="E9" s="9" t="s">
        <v>14</v>
      </c>
      <c r="F9" s="9" t="s">
        <v>13</v>
      </c>
      <c r="G9" s="9" t="s">
        <v>14</v>
      </c>
    </row>
    <row r="10" spans="1:7" s="113" customFormat="1" x14ac:dyDescent="0.25">
      <c r="A10" s="109" t="s">
        <v>759</v>
      </c>
      <c r="B10" s="293"/>
      <c r="C10" s="93" t="s">
        <v>144</v>
      </c>
      <c r="D10" s="13">
        <v>0</v>
      </c>
      <c r="E10" s="13"/>
      <c r="F10" s="13">
        <v>0</v>
      </c>
      <c r="G10" s="13"/>
    </row>
    <row r="11" spans="1:7" s="113" customFormat="1" x14ac:dyDescent="0.25">
      <c r="A11" s="109" t="s">
        <v>760</v>
      </c>
      <c r="B11" s="294"/>
      <c r="C11" s="93" t="s">
        <v>144</v>
      </c>
      <c r="D11" s="295">
        <v>0</v>
      </c>
      <c r="E11" s="13"/>
      <c r="F11" s="295">
        <v>0</v>
      </c>
      <c r="G11" s="13"/>
    </row>
    <row r="12" spans="1:7" s="113" customFormat="1" x14ac:dyDescent="0.25">
      <c r="A12" s="109" t="s">
        <v>761</v>
      </c>
      <c r="B12" s="296"/>
      <c r="C12" s="93" t="s">
        <v>144</v>
      </c>
      <c r="D12" s="295"/>
      <c r="E12" s="13"/>
      <c r="F12" s="295"/>
      <c r="G12" s="13"/>
    </row>
    <row r="13" spans="1:7" s="300" customFormat="1" x14ac:dyDescent="0.25">
      <c r="A13" s="297"/>
      <c r="B13" s="298" t="s">
        <v>762</v>
      </c>
      <c r="C13" s="299" t="s">
        <v>144</v>
      </c>
      <c r="D13" s="124">
        <f>SUM(D10:D12)</f>
        <v>0</v>
      </c>
      <c r="E13" s="124">
        <f>SUM(E10:E12)</f>
        <v>0</v>
      </c>
      <c r="F13" s="124">
        <f>SUM(F10:F12)</f>
        <v>0</v>
      </c>
      <c r="G13" s="124">
        <f>SUM(G10:G12)</f>
        <v>0</v>
      </c>
    </row>
    <row r="14" spans="1:7" x14ac:dyDescent="0.25">
      <c r="B14" s="119" t="s">
        <v>763</v>
      </c>
      <c r="C14" s="93" t="s">
        <v>144</v>
      </c>
      <c r="D14" s="13">
        <f>+D13</f>
        <v>0</v>
      </c>
      <c r="E14" s="13">
        <f>+E13</f>
        <v>0</v>
      </c>
      <c r="F14" s="13">
        <f>+F13</f>
        <v>0</v>
      </c>
      <c r="G14" s="13">
        <f>+G13</f>
        <v>0</v>
      </c>
    </row>
    <row r="15" spans="1:7" x14ac:dyDescent="0.25">
      <c r="B15" s="119" t="s">
        <v>764</v>
      </c>
      <c r="C15" s="93" t="s">
        <v>144</v>
      </c>
      <c r="D15" s="13"/>
      <c r="E15" s="13"/>
      <c r="F15" s="13"/>
      <c r="G15" s="13"/>
    </row>
    <row r="16" spans="1:7" s="300" customFormat="1" ht="20.25" customHeight="1" x14ac:dyDescent="0.25">
      <c r="A16" s="297"/>
      <c r="B16" s="298" t="s">
        <v>145</v>
      </c>
      <c r="C16" s="299" t="s">
        <v>146</v>
      </c>
      <c r="D16" s="124"/>
      <c r="E16" s="124"/>
      <c r="F16" s="124"/>
      <c r="G16" s="124"/>
    </row>
    <row r="17" spans="1:7" s="301" customFormat="1" x14ac:dyDescent="0.25">
      <c r="A17" s="297"/>
      <c r="B17" s="92" t="s">
        <v>431</v>
      </c>
      <c r="C17" s="93" t="s">
        <v>148</v>
      </c>
      <c r="D17" s="94"/>
      <c r="E17" s="127"/>
      <c r="F17" s="94"/>
      <c r="G17" s="127"/>
    </row>
    <row r="18" spans="1:7" s="301" customFormat="1" x14ac:dyDescent="0.25">
      <c r="A18" s="79" t="s">
        <v>765</v>
      </c>
      <c r="B18" s="92" t="s">
        <v>766</v>
      </c>
      <c r="C18" s="93" t="s">
        <v>148</v>
      </c>
      <c r="D18" s="94">
        <v>88500</v>
      </c>
      <c r="E18" s="127"/>
      <c r="F18" s="94">
        <v>88500</v>
      </c>
      <c r="G18" s="127"/>
    </row>
    <row r="19" spans="1:7" s="300" customFormat="1" x14ac:dyDescent="0.25">
      <c r="A19" s="297"/>
      <c r="B19" s="298" t="s">
        <v>767</v>
      </c>
      <c r="C19" s="299" t="s">
        <v>148</v>
      </c>
      <c r="D19" s="124">
        <f>SUM(D17:D18)</f>
        <v>88500</v>
      </c>
      <c r="E19" s="124"/>
      <c r="F19" s="124">
        <f>SUM(F17:F18)</f>
        <v>88500</v>
      </c>
      <c r="G19" s="124"/>
    </row>
    <row r="20" spans="1:7" x14ac:dyDescent="0.25">
      <c r="B20" s="119" t="s">
        <v>763</v>
      </c>
      <c r="C20" s="93" t="s">
        <v>148</v>
      </c>
      <c r="D20" s="13">
        <f>+D19</f>
        <v>88500</v>
      </c>
      <c r="E20" s="13"/>
      <c r="F20" s="13">
        <f>+F19</f>
        <v>88500</v>
      </c>
      <c r="G20" s="13"/>
    </row>
    <row r="21" spans="1:7" x14ac:dyDescent="0.25">
      <c r="B21" s="119" t="s">
        <v>764</v>
      </c>
      <c r="C21" s="93" t="s">
        <v>148</v>
      </c>
      <c r="D21" s="13"/>
      <c r="E21" s="13"/>
      <c r="F21" s="13"/>
      <c r="G21" s="13"/>
    </row>
    <row r="22" spans="1:7" s="91" customFormat="1" x14ac:dyDescent="0.25">
      <c r="A22" s="79"/>
      <c r="B22" s="286" t="s">
        <v>149</v>
      </c>
      <c r="C22" s="87" t="s">
        <v>150</v>
      </c>
      <c r="D22" s="89">
        <f>+D19+D16+D13</f>
        <v>88500</v>
      </c>
      <c r="E22" s="89">
        <f>+E19+E16+E13</f>
        <v>0</v>
      </c>
      <c r="F22" s="89">
        <f>+F19+F16+F13</f>
        <v>88500</v>
      </c>
      <c r="G22" s="89">
        <f>+G19+G16+G13</f>
        <v>0</v>
      </c>
    </row>
    <row r="23" spans="1:7" s="301" customFormat="1" x14ac:dyDescent="0.25">
      <c r="A23" s="297"/>
      <c r="B23" s="302" t="s">
        <v>768</v>
      </c>
      <c r="C23" s="303" t="s">
        <v>769</v>
      </c>
      <c r="D23" s="127"/>
      <c r="E23" s="127"/>
      <c r="F23" s="127"/>
      <c r="G23" s="127"/>
    </row>
    <row r="24" spans="1:7" hidden="1" x14ac:dyDescent="0.25">
      <c r="B24" s="119" t="s">
        <v>770</v>
      </c>
      <c r="C24" s="93" t="s">
        <v>769</v>
      </c>
      <c r="D24" s="13"/>
      <c r="E24" s="13"/>
      <c r="F24" s="13"/>
      <c r="G24" s="13"/>
    </row>
    <row r="25" spans="1:7" hidden="1" x14ac:dyDescent="0.25">
      <c r="B25" s="119" t="s">
        <v>771</v>
      </c>
      <c r="C25" s="93" t="s">
        <v>769</v>
      </c>
      <c r="D25" s="13"/>
      <c r="E25" s="13"/>
      <c r="F25" s="13"/>
      <c r="G25" s="13"/>
    </row>
    <row r="26" spans="1:7" s="300" customFormat="1" x14ac:dyDescent="0.25">
      <c r="A26" s="297"/>
      <c r="B26" s="304" t="s">
        <v>772</v>
      </c>
      <c r="C26" s="299" t="s">
        <v>773</v>
      </c>
      <c r="D26" s="124">
        <v>0</v>
      </c>
      <c r="E26" s="124">
        <v>0</v>
      </c>
      <c r="F26" s="124">
        <v>0</v>
      </c>
      <c r="G26" s="124">
        <v>0</v>
      </c>
    </row>
    <row r="27" spans="1:7" x14ac:dyDescent="0.25">
      <c r="B27" s="119" t="s">
        <v>764</v>
      </c>
      <c r="C27" s="93" t="s">
        <v>773</v>
      </c>
      <c r="D27" s="13"/>
      <c r="E27" s="13"/>
      <c r="F27" s="13"/>
      <c r="G27" s="13"/>
    </row>
    <row r="28" spans="1:7" s="300" customFormat="1" x14ac:dyDescent="0.25">
      <c r="A28" s="297"/>
      <c r="B28" s="305" t="s">
        <v>774</v>
      </c>
      <c r="C28" s="299" t="s">
        <v>775</v>
      </c>
      <c r="D28" s="124"/>
      <c r="E28" s="124"/>
      <c r="F28" s="124"/>
      <c r="G28" s="124"/>
    </row>
    <row r="29" spans="1:7" s="301" customFormat="1" x14ac:dyDescent="0.25">
      <c r="A29" s="297"/>
      <c r="B29" s="306"/>
      <c r="C29" s="93" t="s">
        <v>776</v>
      </c>
      <c r="D29" s="94"/>
      <c r="E29" s="94"/>
      <c r="F29" s="94"/>
      <c r="G29" s="94"/>
    </row>
    <row r="30" spans="1:7" s="300" customFormat="1" ht="31.5" x14ac:dyDescent="0.25">
      <c r="A30" s="297"/>
      <c r="B30" s="305" t="s">
        <v>777</v>
      </c>
      <c r="C30" s="299" t="s">
        <v>776</v>
      </c>
      <c r="D30" s="124">
        <f>+D29</f>
        <v>0</v>
      </c>
      <c r="E30" s="124">
        <f>+E29</f>
        <v>0</v>
      </c>
      <c r="F30" s="124">
        <f>+F29</f>
        <v>0</v>
      </c>
      <c r="G30" s="124">
        <f>+G29</f>
        <v>0</v>
      </c>
    </row>
    <row r="31" spans="1:7" x14ac:dyDescent="0.25">
      <c r="B31" s="119" t="s">
        <v>771</v>
      </c>
      <c r="C31" s="93" t="s">
        <v>776</v>
      </c>
      <c r="D31" s="13"/>
      <c r="E31" s="13"/>
      <c r="F31" s="13"/>
      <c r="G31" s="13"/>
    </row>
    <row r="32" spans="1:7" x14ac:dyDescent="0.25">
      <c r="B32" s="119" t="s">
        <v>764</v>
      </c>
      <c r="C32" s="93" t="s">
        <v>776</v>
      </c>
      <c r="D32" s="13"/>
      <c r="E32" s="13"/>
      <c r="F32" s="13"/>
      <c r="G32" s="13"/>
    </row>
    <row r="33" spans="1:7" s="91" customFormat="1" x14ac:dyDescent="0.25">
      <c r="A33" s="79"/>
      <c r="B33" s="307" t="s">
        <v>151</v>
      </c>
      <c r="C33" s="87" t="s">
        <v>152</v>
      </c>
      <c r="D33" s="89">
        <f>+D30+D28+D26+D23</f>
        <v>0</v>
      </c>
      <c r="E33" s="89">
        <f>+E30+E28+E26+E23</f>
        <v>0</v>
      </c>
      <c r="F33" s="89">
        <f>+F30+F28+F26+F23</f>
        <v>0</v>
      </c>
      <c r="G33" s="89">
        <f>+G30+G28+G26+G23</f>
        <v>0</v>
      </c>
    </row>
    <row r="34" spans="1:7" x14ac:dyDescent="0.25">
      <c r="B34" s="308" t="s">
        <v>153</v>
      </c>
      <c r="C34" s="47" t="s">
        <v>154</v>
      </c>
      <c r="D34" s="13"/>
      <c r="E34" s="13"/>
      <c r="F34" s="13"/>
      <c r="G34" s="13"/>
    </row>
    <row r="35" spans="1:7" x14ac:dyDescent="0.25">
      <c r="B35" s="308" t="s">
        <v>155</v>
      </c>
      <c r="C35" s="47" t="s">
        <v>156</v>
      </c>
      <c r="D35" s="13">
        <v>26494</v>
      </c>
      <c r="E35" s="13"/>
      <c r="F35" s="13">
        <v>26494</v>
      </c>
      <c r="G35" s="13"/>
    </row>
    <row r="36" spans="1:7" x14ac:dyDescent="0.25">
      <c r="B36" s="308" t="s">
        <v>778</v>
      </c>
      <c r="C36" s="47" t="s">
        <v>160</v>
      </c>
      <c r="D36" s="13"/>
      <c r="E36" s="13"/>
      <c r="F36" s="13"/>
      <c r="G36" s="13"/>
    </row>
    <row r="37" spans="1:7" x14ac:dyDescent="0.25">
      <c r="B37" s="308" t="s">
        <v>161</v>
      </c>
      <c r="C37" s="47" t="s">
        <v>162</v>
      </c>
      <c r="D37" s="13"/>
      <c r="E37" s="13"/>
      <c r="F37" s="13"/>
      <c r="G37" s="13"/>
    </row>
    <row r="38" spans="1:7" x14ac:dyDescent="0.25">
      <c r="B38" s="308" t="s">
        <v>163</v>
      </c>
      <c r="C38" s="47" t="s">
        <v>164</v>
      </c>
      <c r="D38" s="13"/>
      <c r="E38" s="13"/>
      <c r="F38" s="13"/>
      <c r="G38" s="13"/>
    </row>
    <row r="39" spans="1:7" s="91" customFormat="1" x14ac:dyDescent="0.25">
      <c r="A39" s="79"/>
      <c r="B39" s="307" t="s">
        <v>167</v>
      </c>
      <c r="C39" s="87" t="s">
        <v>168</v>
      </c>
      <c r="D39" s="89">
        <f>SUM(D33:D38)+D22</f>
        <v>114994</v>
      </c>
      <c r="E39" s="89">
        <f>SUM(E33:E38)+E22</f>
        <v>0</v>
      </c>
      <c r="F39" s="89">
        <f>SUM(F33:F38)+F22</f>
        <v>114994</v>
      </c>
      <c r="G39" s="89">
        <f>SUM(G33:G38)+G22</f>
        <v>0</v>
      </c>
    </row>
    <row r="40" spans="1:7" hidden="1" x14ac:dyDescent="0.25">
      <c r="B40" s="50" t="s">
        <v>779</v>
      </c>
      <c r="C40" s="44" t="s">
        <v>780</v>
      </c>
      <c r="D40" s="13"/>
      <c r="E40" s="13"/>
      <c r="F40" s="13"/>
      <c r="G40" s="13"/>
    </row>
    <row r="41" spans="1:7" hidden="1" x14ac:dyDescent="0.25">
      <c r="B41" s="49" t="s">
        <v>781</v>
      </c>
      <c r="C41" s="44" t="s">
        <v>782</v>
      </c>
      <c r="D41" s="13"/>
      <c r="E41" s="13"/>
      <c r="F41" s="13"/>
      <c r="G41" s="13"/>
    </row>
    <row r="42" spans="1:7" hidden="1" x14ac:dyDescent="0.25">
      <c r="B42" s="50" t="s">
        <v>783</v>
      </c>
      <c r="C42" s="44" t="s">
        <v>784</v>
      </c>
      <c r="D42" s="13"/>
      <c r="E42" s="13"/>
      <c r="F42" s="13"/>
      <c r="G42" s="13"/>
    </row>
    <row r="43" spans="1:7" hidden="1" x14ac:dyDescent="0.25">
      <c r="B43" s="119" t="s">
        <v>764</v>
      </c>
      <c r="C43" s="93" t="s">
        <v>784</v>
      </c>
      <c r="D43" s="13"/>
      <c r="E43" s="13"/>
      <c r="F43" s="13"/>
      <c r="G43" s="13"/>
    </row>
    <row r="44" spans="1:7" hidden="1" x14ac:dyDescent="0.25">
      <c r="B44" s="50" t="s">
        <v>785</v>
      </c>
      <c r="C44" s="44" t="s">
        <v>786</v>
      </c>
      <c r="D44" s="13"/>
      <c r="E44" s="13"/>
      <c r="F44" s="13"/>
      <c r="G44" s="13"/>
    </row>
    <row r="45" spans="1:7" hidden="1" x14ac:dyDescent="0.25">
      <c r="B45" s="119" t="s">
        <v>787</v>
      </c>
      <c r="C45" s="93" t="s">
        <v>786</v>
      </c>
      <c r="D45" s="13"/>
      <c r="E45" s="13"/>
      <c r="F45" s="13"/>
      <c r="G45" s="13"/>
    </row>
    <row r="46" spans="1:7" hidden="1" x14ac:dyDescent="0.25">
      <c r="B46" s="119" t="s">
        <v>788</v>
      </c>
      <c r="C46" s="93" t="s">
        <v>786</v>
      </c>
      <c r="D46" s="13"/>
      <c r="E46" s="13"/>
      <c r="F46" s="13"/>
      <c r="G46" s="13"/>
    </row>
    <row r="47" spans="1:7" hidden="1" x14ac:dyDescent="0.25">
      <c r="B47" s="119" t="s">
        <v>789</v>
      </c>
      <c r="C47" s="93" t="s">
        <v>786</v>
      </c>
      <c r="D47" s="13"/>
      <c r="E47" s="13"/>
      <c r="F47" s="13"/>
      <c r="G47" s="13"/>
    </row>
    <row r="48" spans="1:7" hidden="1" x14ac:dyDescent="0.25">
      <c r="B48" s="119" t="s">
        <v>764</v>
      </c>
      <c r="C48" s="93" t="s">
        <v>786</v>
      </c>
      <c r="D48" s="13"/>
      <c r="E48" s="13"/>
      <c r="F48" s="13"/>
      <c r="G48" s="13"/>
    </row>
    <row r="49" spans="1:7" s="91" customFormat="1" x14ac:dyDescent="0.25">
      <c r="A49" s="79"/>
      <c r="B49" s="307" t="s">
        <v>790</v>
      </c>
      <c r="C49" s="87" t="s">
        <v>170</v>
      </c>
      <c r="D49" s="89">
        <f>+D40+D41+D42+D44</f>
        <v>0</v>
      </c>
      <c r="E49" s="89">
        <f>+E40+E41+E42+E44</f>
        <v>0</v>
      </c>
      <c r="F49" s="89">
        <f>+F40+F41+F42+F44</f>
        <v>0</v>
      </c>
      <c r="G49" s="89">
        <f>+G40+G41+G42+G44</f>
        <v>0</v>
      </c>
    </row>
    <row r="50" spans="1:7" x14ac:dyDescent="0.25">
      <c r="C50" s="288"/>
    </row>
    <row r="51" spans="1:7" x14ac:dyDescent="0.25">
      <c r="D51" s="333" t="s">
        <v>10</v>
      </c>
      <c r="E51" s="333"/>
      <c r="F51" s="333" t="s">
        <v>11</v>
      </c>
      <c r="G51" s="333"/>
    </row>
    <row r="52" spans="1:7" ht="47.25" x14ac:dyDescent="0.25">
      <c r="B52" s="292" t="s">
        <v>791</v>
      </c>
      <c r="C52" s="37" t="s">
        <v>39</v>
      </c>
      <c r="D52" s="9" t="s">
        <v>13</v>
      </c>
      <c r="E52" s="9" t="s">
        <v>14</v>
      </c>
      <c r="F52" s="9" t="s">
        <v>13</v>
      </c>
      <c r="G52" s="9" t="s">
        <v>14</v>
      </c>
    </row>
    <row r="53" spans="1:7" x14ac:dyDescent="0.25">
      <c r="A53" s="79" t="s">
        <v>792</v>
      </c>
      <c r="B53" s="309"/>
      <c r="C53" s="93" t="s">
        <v>277</v>
      </c>
      <c r="D53" s="94">
        <v>0</v>
      </c>
      <c r="E53" s="94"/>
      <c r="F53" s="94">
        <v>0</v>
      </c>
      <c r="G53" s="94"/>
    </row>
    <row r="54" spans="1:7" x14ac:dyDescent="0.25">
      <c r="A54" s="79" t="s">
        <v>793</v>
      </c>
      <c r="B54" s="310"/>
      <c r="C54" s="93" t="s">
        <v>277</v>
      </c>
      <c r="D54" s="94"/>
      <c r="E54" s="94"/>
      <c r="F54" s="94"/>
      <c r="G54" s="94"/>
    </row>
    <row r="55" spans="1:7" s="300" customFormat="1" x14ac:dyDescent="0.25">
      <c r="A55" s="297"/>
      <c r="B55" s="304" t="s">
        <v>794</v>
      </c>
      <c r="C55" s="299" t="s">
        <v>277</v>
      </c>
      <c r="D55" s="124">
        <f>+D54+D53</f>
        <v>0</v>
      </c>
      <c r="E55" s="124">
        <f>+E54+E53</f>
        <v>0</v>
      </c>
      <c r="F55" s="124">
        <f>+F54+F53</f>
        <v>0</v>
      </c>
      <c r="G55" s="124">
        <f>+G54+G53</f>
        <v>0</v>
      </c>
    </row>
    <row r="56" spans="1:7" x14ac:dyDescent="0.25">
      <c r="B56" s="119" t="s">
        <v>763</v>
      </c>
      <c r="C56" s="93" t="s">
        <v>277</v>
      </c>
      <c r="D56" s="13">
        <f>+D55</f>
        <v>0</v>
      </c>
      <c r="E56" s="13">
        <f>+E55</f>
        <v>0</v>
      </c>
      <c r="F56" s="13">
        <f>+F55</f>
        <v>0</v>
      </c>
      <c r="G56" s="13">
        <f>+G55</f>
        <v>0</v>
      </c>
    </row>
    <row r="57" spans="1:7" x14ac:dyDescent="0.25">
      <c r="B57" s="119"/>
      <c r="C57" s="93" t="s">
        <v>279</v>
      </c>
      <c r="D57" s="13"/>
      <c r="E57" s="13"/>
      <c r="F57" s="13"/>
      <c r="G57" s="13"/>
    </row>
    <row r="58" spans="1:7" s="300" customFormat="1" ht="22.5" customHeight="1" x14ac:dyDescent="0.25">
      <c r="A58" s="297"/>
      <c r="B58" s="298" t="s">
        <v>795</v>
      </c>
      <c r="C58" s="299" t="s">
        <v>279</v>
      </c>
      <c r="D58" s="124">
        <f>+D57</f>
        <v>0</v>
      </c>
      <c r="E58" s="124">
        <f>+E57</f>
        <v>0</v>
      </c>
      <c r="F58" s="124">
        <f>+F57</f>
        <v>0</v>
      </c>
      <c r="G58" s="124">
        <f>+G57</f>
        <v>0</v>
      </c>
    </row>
    <row r="59" spans="1:7" s="301" customFormat="1" x14ac:dyDescent="0.25">
      <c r="A59" s="79" t="s">
        <v>796</v>
      </c>
      <c r="B59" s="92" t="s">
        <v>766</v>
      </c>
      <c r="C59" s="93" t="s">
        <v>281</v>
      </c>
      <c r="D59" s="94">
        <v>88500</v>
      </c>
      <c r="E59" s="127"/>
      <c r="F59" s="94">
        <v>88500</v>
      </c>
      <c r="G59" s="127"/>
    </row>
    <row r="60" spans="1:7" s="300" customFormat="1" x14ac:dyDescent="0.25">
      <c r="A60" s="297"/>
      <c r="B60" s="304" t="s">
        <v>797</v>
      </c>
      <c r="C60" s="299" t="s">
        <v>281</v>
      </c>
      <c r="D60" s="124">
        <f t="shared" ref="D60:G61" si="0">+D59</f>
        <v>88500</v>
      </c>
      <c r="E60" s="124">
        <f t="shared" si="0"/>
        <v>0</v>
      </c>
      <c r="F60" s="124">
        <f t="shared" ref="F60" si="1">+F59</f>
        <v>88500</v>
      </c>
      <c r="G60" s="124">
        <f t="shared" si="0"/>
        <v>0</v>
      </c>
    </row>
    <row r="61" spans="1:7" x14ac:dyDescent="0.25">
      <c r="B61" s="119" t="s">
        <v>763</v>
      </c>
      <c r="C61" s="93" t="s">
        <v>281</v>
      </c>
      <c r="D61" s="13">
        <f t="shared" si="0"/>
        <v>88500</v>
      </c>
      <c r="E61" s="13">
        <f t="shared" si="0"/>
        <v>0</v>
      </c>
      <c r="F61" s="13">
        <f t="shared" ref="F61" si="2">+F60</f>
        <v>88500</v>
      </c>
      <c r="G61" s="13">
        <f t="shared" si="0"/>
        <v>0</v>
      </c>
    </row>
    <row r="62" spans="1:7" s="91" customFormat="1" x14ac:dyDescent="0.25">
      <c r="A62" s="79"/>
      <c r="B62" s="286" t="s">
        <v>798</v>
      </c>
      <c r="C62" s="87" t="s">
        <v>283</v>
      </c>
      <c r="D62" s="89">
        <f>+D55+D58+D60</f>
        <v>88500</v>
      </c>
      <c r="E62" s="89">
        <f>+E55+E58+E60</f>
        <v>0</v>
      </c>
      <c r="F62" s="89">
        <f>+F55+F58+F60</f>
        <v>88500</v>
      </c>
      <c r="G62" s="89">
        <f>+G55+G58+G60</f>
        <v>0</v>
      </c>
    </row>
    <row r="63" spans="1:7" x14ac:dyDescent="0.25">
      <c r="B63" s="49" t="s">
        <v>799</v>
      </c>
      <c r="C63" s="44" t="s">
        <v>285</v>
      </c>
      <c r="D63" s="13"/>
      <c r="E63" s="13"/>
      <c r="F63" s="13"/>
      <c r="G63" s="13"/>
    </row>
    <row r="64" spans="1:7" x14ac:dyDescent="0.25">
      <c r="B64" s="119" t="s">
        <v>770</v>
      </c>
      <c r="C64" s="93" t="s">
        <v>285</v>
      </c>
      <c r="D64" s="13"/>
      <c r="E64" s="13"/>
      <c r="F64" s="13"/>
      <c r="G64" s="13"/>
    </row>
    <row r="65" spans="1:7" x14ac:dyDescent="0.25">
      <c r="B65" s="50" t="s">
        <v>800</v>
      </c>
      <c r="C65" s="44" t="s">
        <v>287</v>
      </c>
      <c r="D65" s="13"/>
      <c r="E65" s="13"/>
      <c r="F65" s="13"/>
      <c r="G65" s="13"/>
    </row>
    <row r="66" spans="1:7" x14ac:dyDescent="0.25">
      <c r="B66" s="57" t="s">
        <v>801</v>
      </c>
      <c r="C66" s="44" t="s">
        <v>289</v>
      </c>
      <c r="D66" s="13"/>
      <c r="E66" s="13"/>
      <c r="F66" s="13"/>
      <c r="G66" s="13"/>
    </row>
    <row r="67" spans="1:7" x14ac:dyDescent="0.25">
      <c r="B67" s="119" t="s">
        <v>771</v>
      </c>
      <c r="C67" s="93" t="s">
        <v>289</v>
      </c>
      <c r="D67" s="13"/>
      <c r="E67" s="13"/>
      <c r="F67" s="13"/>
      <c r="G67" s="13"/>
    </row>
    <row r="68" spans="1:7" x14ac:dyDescent="0.25">
      <c r="B68" s="50" t="s">
        <v>802</v>
      </c>
      <c r="C68" s="44" t="s">
        <v>291</v>
      </c>
      <c r="D68" s="13"/>
      <c r="E68" s="13"/>
      <c r="F68" s="13"/>
      <c r="G68" s="13"/>
    </row>
    <row r="69" spans="1:7" x14ac:dyDescent="0.25">
      <c r="B69" s="308" t="s">
        <v>658</v>
      </c>
      <c r="C69" s="47" t="s">
        <v>293</v>
      </c>
      <c r="D69" s="13"/>
      <c r="E69" s="13"/>
      <c r="F69" s="13"/>
      <c r="G69" s="13"/>
    </row>
    <row r="70" spans="1:7" x14ac:dyDescent="0.25">
      <c r="B70" s="308" t="s">
        <v>302</v>
      </c>
      <c r="C70" s="47" t="s">
        <v>303</v>
      </c>
      <c r="D70" s="13"/>
      <c r="E70" s="13"/>
      <c r="F70" s="13"/>
      <c r="G70" s="13"/>
    </row>
    <row r="71" spans="1:7" x14ac:dyDescent="0.25">
      <c r="B71" s="308" t="s">
        <v>304</v>
      </c>
      <c r="C71" s="47" t="s">
        <v>305</v>
      </c>
      <c r="D71" s="13"/>
      <c r="E71" s="13"/>
      <c r="F71" s="13"/>
      <c r="G71" s="13"/>
    </row>
    <row r="72" spans="1:7" x14ac:dyDescent="0.25">
      <c r="B72" s="308" t="s">
        <v>803</v>
      </c>
      <c r="C72" s="47" t="s">
        <v>309</v>
      </c>
      <c r="D72" s="13"/>
      <c r="E72" s="13"/>
      <c r="F72" s="13"/>
      <c r="G72" s="13"/>
    </row>
    <row r="73" spans="1:7" x14ac:dyDescent="0.25">
      <c r="B73" s="311" t="s">
        <v>804</v>
      </c>
      <c r="C73" s="47" t="s">
        <v>311</v>
      </c>
      <c r="D73" s="13"/>
      <c r="E73" s="13"/>
      <c r="F73" s="13"/>
      <c r="G73" s="13"/>
    </row>
    <row r="74" spans="1:7" x14ac:dyDescent="0.25">
      <c r="B74" s="119" t="s">
        <v>805</v>
      </c>
      <c r="C74" s="145" t="s">
        <v>311</v>
      </c>
      <c r="D74" s="13"/>
      <c r="E74" s="13"/>
      <c r="F74" s="13"/>
      <c r="G74" s="13"/>
    </row>
    <row r="75" spans="1:7" s="91" customFormat="1" x14ac:dyDescent="0.25">
      <c r="A75" s="79"/>
      <c r="B75" s="286" t="s">
        <v>314</v>
      </c>
      <c r="C75" s="87" t="s">
        <v>315</v>
      </c>
      <c r="D75" s="89">
        <f>+D62+D69+D70+D71+D72+D73</f>
        <v>88500</v>
      </c>
      <c r="E75" s="89">
        <f>+E62+E69+E70+E71+E72+E73</f>
        <v>0</v>
      </c>
      <c r="F75" s="89">
        <f>+F62+F69+F70+F71+F72+F73</f>
        <v>88500</v>
      </c>
      <c r="G75" s="89">
        <f>+G62+G69+G70+G71+G72+G73</f>
        <v>0</v>
      </c>
    </row>
    <row r="76" spans="1:7" hidden="1" x14ac:dyDescent="0.25">
      <c r="B76" s="49" t="s">
        <v>806</v>
      </c>
      <c r="C76" s="44" t="s">
        <v>807</v>
      </c>
      <c r="D76" s="13"/>
      <c r="E76" s="13"/>
      <c r="F76" s="13"/>
      <c r="G76" s="13"/>
    </row>
    <row r="77" spans="1:7" hidden="1" x14ac:dyDescent="0.25">
      <c r="B77" s="57" t="s">
        <v>808</v>
      </c>
      <c r="C77" s="44" t="s">
        <v>809</v>
      </c>
      <c r="D77" s="13"/>
      <c r="E77" s="13"/>
      <c r="F77" s="13"/>
      <c r="G77" s="13"/>
    </row>
    <row r="78" spans="1:7" hidden="1" x14ac:dyDescent="0.25">
      <c r="B78" s="50" t="s">
        <v>810</v>
      </c>
      <c r="C78" s="44" t="s">
        <v>811</v>
      </c>
      <c r="D78" s="13"/>
      <c r="E78" s="13"/>
      <c r="F78" s="13"/>
      <c r="G78" s="13"/>
    </row>
    <row r="79" spans="1:7" hidden="1" x14ac:dyDescent="0.25">
      <c r="B79" s="50" t="s">
        <v>812</v>
      </c>
      <c r="C79" s="44" t="s">
        <v>813</v>
      </c>
      <c r="D79" s="13"/>
      <c r="E79" s="13"/>
      <c r="F79" s="13"/>
      <c r="G79" s="13"/>
    </row>
    <row r="80" spans="1:7" hidden="1" x14ac:dyDescent="0.25">
      <c r="B80" s="119" t="s">
        <v>787</v>
      </c>
      <c r="C80" s="93" t="s">
        <v>813</v>
      </c>
      <c r="D80" s="13"/>
      <c r="E80" s="13"/>
      <c r="F80" s="13"/>
      <c r="G80" s="13"/>
    </row>
    <row r="81" spans="1:7" hidden="1" x14ac:dyDescent="0.25">
      <c r="B81" s="119" t="s">
        <v>788</v>
      </c>
      <c r="C81" s="93" t="s">
        <v>813</v>
      </c>
      <c r="D81" s="13"/>
      <c r="E81" s="13"/>
      <c r="F81" s="13"/>
      <c r="G81" s="13"/>
    </row>
    <row r="82" spans="1:7" hidden="1" x14ac:dyDescent="0.25">
      <c r="B82" s="119" t="s">
        <v>789</v>
      </c>
      <c r="C82" s="93" t="s">
        <v>813</v>
      </c>
      <c r="D82" s="13"/>
      <c r="E82" s="13"/>
      <c r="F82" s="13"/>
      <c r="G82" s="13"/>
    </row>
    <row r="83" spans="1:7" s="91" customFormat="1" x14ac:dyDescent="0.25">
      <c r="A83" s="79"/>
      <c r="B83" s="307" t="s">
        <v>814</v>
      </c>
      <c r="C83" s="87" t="s">
        <v>317</v>
      </c>
      <c r="D83" s="89">
        <f>SUM(D76:D79)</f>
        <v>0</v>
      </c>
      <c r="E83" s="89">
        <f>SUM(E76:E79)</f>
        <v>0</v>
      </c>
      <c r="F83" s="89">
        <f>SUM(F76:F79)</f>
        <v>0</v>
      </c>
      <c r="G83" s="89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5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80" zoomScaleSheetLayoutView="80" workbookViewId="0">
      <selection activeCell="H2" sqref="H2"/>
    </sheetView>
  </sheetViews>
  <sheetFormatPr defaultColWidth="11.5703125" defaultRowHeight="15.75" x14ac:dyDescent="0.25"/>
  <cols>
    <col min="1" max="1" width="71" style="19" customWidth="1"/>
    <col min="2" max="2" width="10.42578125" style="19" customWidth="1"/>
    <col min="3" max="3" width="11.7109375" style="19" customWidth="1"/>
    <col min="4" max="4" width="10.85546875" style="19" customWidth="1"/>
    <col min="5" max="5" width="12.28515625" style="20" customWidth="1"/>
    <col min="6" max="7" width="11.5703125" style="21" customWidth="1"/>
    <col min="8" max="8" width="11.5703125" style="22" customWidth="1"/>
    <col min="9" max="9" width="11" style="21" bestFit="1" customWidth="1"/>
    <col min="10" max="10" width="9.140625" style="21" customWidth="1"/>
    <col min="11" max="249" width="9.140625" style="19" customWidth="1"/>
  </cols>
  <sheetData>
    <row r="1" spans="1:10" s="2" customFormat="1" x14ac:dyDescent="0.25">
      <c r="E1" s="4"/>
      <c r="F1" s="3"/>
      <c r="G1" s="3"/>
      <c r="H1" s="4" t="s">
        <v>37</v>
      </c>
      <c r="I1" s="3"/>
      <c r="J1" s="3"/>
    </row>
    <row r="2" spans="1:10" s="2" customFormat="1" x14ac:dyDescent="0.25">
      <c r="A2" s="23"/>
      <c r="E2" s="5"/>
      <c r="F2" s="3"/>
      <c r="G2" s="3"/>
      <c r="H2" s="5" t="s">
        <v>827</v>
      </c>
      <c r="I2" s="3"/>
      <c r="J2" s="3"/>
    </row>
    <row r="3" spans="1:10" s="2" customFormat="1" ht="18.75" x14ac:dyDescent="0.3">
      <c r="A3" s="24" t="s">
        <v>8</v>
      </c>
      <c r="B3" s="25"/>
      <c r="C3" s="25"/>
      <c r="D3" s="26"/>
      <c r="E3" s="27"/>
      <c r="F3" s="28"/>
      <c r="G3" s="29"/>
      <c r="H3" s="30"/>
      <c r="I3" s="3"/>
      <c r="J3" s="3"/>
    </row>
    <row r="4" spans="1:10" s="2" customFormat="1" x14ac:dyDescent="0.25">
      <c r="A4" s="31" t="s">
        <v>38</v>
      </c>
      <c r="B4" s="32"/>
      <c r="C4" s="32"/>
      <c r="D4" s="32"/>
      <c r="E4" s="33"/>
      <c r="F4" s="34"/>
      <c r="G4" s="34"/>
      <c r="H4" s="35"/>
      <c r="I4" s="3"/>
      <c r="J4" s="3"/>
    </row>
    <row r="5" spans="1:10" x14ac:dyDescent="0.25">
      <c r="A5" s="36"/>
      <c r="C5" s="318" t="s">
        <v>10</v>
      </c>
      <c r="D5" s="318"/>
      <c r="E5" s="318"/>
      <c r="F5" s="318" t="s">
        <v>11</v>
      </c>
      <c r="G5" s="318"/>
      <c r="H5" s="318"/>
    </row>
    <row r="6" spans="1:10" ht="47.25" x14ac:dyDescent="0.25">
      <c r="A6" s="8" t="s">
        <v>12</v>
      </c>
      <c r="B6" s="37" t="s">
        <v>39</v>
      </c>
      <c r="C6" s="38" t="s">
        <v>13</v>
      </c>
      <c r="D6" s="38" t="s">
        <v>14</v>
      </c>
      <c r="E6" s="39" t="s">
        <v>15</v>
      </c>
      <c r="F6" s="40" t="s">
        <v>13</v>
      </c>
      <c r="G6" s="40" t="s">
        <v>14</v>
      </c>
      <c r="H6" s="41" t="s">
        <v>15</v>
      </c>
    </row>
    <row r="7" spans="1:10" x14ac:dyDescent="0.25">
      <c r="A7" s="42" t="s">
        <v>40</v>
      </c>
      <c r="B7" s="43" t="s">
        <v>41</v>
      </c>
      <c r="C7" s="13">
        <f>+'7 Önk'!D7+'8 PH'!D7+'9 VGIG'!D7+'10 Járób'!D7+'11 Szoci'!D7+'12 Ovi'!D7+'13 Művház'!D7+'14 Könyvt'!D7</f>
        <v>944371</v>
      </c>
      <c r="D7" s="13">
        <f>+'7 Önk'!E7+'8 PH'!E7+'9 VGIG'!E7+'10 Járób'!E7+'11 Szoci'!E7+'12 Ovi'!E7+'13 Művház'!E7+'14 Könyvt'!E7</f>
        <v>608097</v>
      </c>
      <c r="E7" s="14">
        <f>+C7+D7</f>
        <v>1552468</v>
      </c>
      <c r="F7" s="13">
        <f>+'7 Önk'!G7+'8 PH'!G7+'9 VGIG'!G7+'10 Járób'!G7+'11 Szoci'!G7+'12 Ovi'!G7+'13 Művház'!G7+'14 Könyvt'!G7</f>
        <v>1007883</v>
      </c>
      <c r="G7" s="13">
        <f>+'7 Önk'!H7+'8 PH'!H7+'9 VGIG'!H7+'10 Járób'!H7+'11 Szoci'!H7+'12 Ovi'!H7+'13 Művház'!H7+'14 Könyvt'!H7</f>
        <v>286751</v>
      </c>
      <c r="H7" s="14">
        <f>+F7+G7</f>
        <v>1294634</v>
      </c>
      <c r="I7" s="21">
        <v>1294636</v>
      </c>
      <c r="J7" s="21">
        <f>+H7-I7</f>
        <v>-2</v>
      </c>
    </row>
    <row r="8" spans="1:10" x14ac:dyDescent="0.25">
      <c r="A8" s="44" t="s">
        <v>42</v>
      </c>
      <c r="B8" s="43" t="s">
        <v>43</v>
      </c>
      <c r="C8" s="13">
        <f>+'7 Önk'!D8+'8 PH'!D8+'9 VGIG'!D8+'10 Járób'!D8+'11 Szoci'!D8+'12 Ovi'!D8+'13 Művház'!D8+'14 Könyvt'!D8</f>
        <v>48374</v>
      </c>
      <c r="D8" s="13">
        <f>+'7 Önk'!E8+'8 PH'!E8+'9 VGIG'!E8+'10 Járób'!E8+'11 Szoci'!E8+'12 Ovi'!E8+'13 Művház'!E8+'14 Könyvt'!E8</f>
        <v>29886</v>
      </c>
      <c r="E8" s="14">
        <f>+C8+D8</f>
        <v>78260</v>
      </c>
      <c r="F8" s="13">
        <f>+'7 Önk'!G8+'8 PH'!G8+'9 VGIG'!G8+'10 Járób'!G8+'11 Szoci'!G8+'12 Ovi'!G8+'13 Művház'!G8+'14 Könyvt'!G8</f>
        <v>50364</v>
      </c>
      <c r="G8" s="13">
        <f>+'7 Önk'!H8+'8 PH'!H8+'9 VGIG'!H8+'10 Járób'!H8+'11 Szoci'!H8+'12 Ovi'!H8+'13 Művház'!H8+'14 Könyvt'!H8</f>
        <v>6971</v>
      </c>
      <c r="H8" s="14">
        <f>+F8+G8</f>
        <v>57335</v>
      </c>
      <c r="I8" s="21">
        <v>57333</v>
      </c>
      <c r="J8" s="21">
        <f t="shared" ref="J8:J71" si="0">+H8-I8</f>
        <v>2</v>
      </c>
    </row>
    <row r="9" spans="1:10" x14ac:dyDescent="0.25">
      <c r="A9" s="45" t="s">
        <v>44</v>
      </c>
      <c r="B9" s="46" t="s">
        <v>45</v>
      </c>
      <c r="C9" s="14">
        <f t="shared" ref="C9:I9" si="1">SUM(C7:C8)</f>
        <v>992745</v>
      </c>
      <c r="D9" s="14">
        <f t="shared" si="1"/>
        <v>637983</v>
      </c>
      <c r="E9" s="14">
        <f t="shared" si="1"/>
        <v>1630728</v>
      </c>
      <c r="F9" s="14">
        <f t="shared" si="1"/>
        <v>1058247</v>
      </c>
      <c r="G9" s="14">
        <f t="shared" si="1"/>
        <v>293722</v>
      </c>
      <c r="H9" s="14">
        <f t="shared" si="1"/>
        <v>1351969</v>
      </c>
      <c r="I9" s="14">
        <f t="shared" si="1"/>
        <v>1351969</v>
      </c>
      <c r="J9" s="21">
        <f t="shared" si="0"/>
        <v>0</v>
      </c>
    </row>
    <row r="10" spans="1:10" x14ac:dyDescent="0.25">
      <c r="A10" s="47" t="s">
        <v>46</v>
      </c>
      <c r="B10" s="46" t="s">
        <v>47</v>
      </c>
      <c r="C10" s="13">
        <f>+'7 Önk'!D10+'8 PH'!D10+'9 VGIG'!D10+'10 Járób'!D10+'11 Szoci'!D10+'12 Ovi'!D10+'13 Művház'!D10+'14 Könyvt'!D10</f>
        <v>205350</v>
      </c>
      <c r="D10" s="13">
        <f>+'7 Önk'!E10+'8 PH'!E10+'9 VGIG'!E10+'10 Járób'!E10+'11 Szoci'!E10+'12 Ovi'!E10+'13 Művház'!E10+'14 Könyvt'!E10</f>
        <v>150417</v>
      </c>
      <c r="E10" s="14">
        <f t="shared" ref="E10:E15" si="2">+C10+D10</f>
        <v>355767</v>
      </c>
      <c r="F10" s="13">
        <f>+'7 Önk'!G10+'8 PH'!G10+'9 VGIG'!G10+'10 Járób'!G10+'11 Szoci'!G10+'12 Ovi'!G10+'13 Művház'!G10+'14 Könyvt'!G10</f>
        <v>220137</v>
      </c>
      <c r="G10" s="13">
        <f>+'7 Önk'!H10+'8 PH'!H10+'9 VGIG'!H10+'10 Járób'!H10+'11 Szoci'!H10+'12 Ovi'!H10+'13 Művház'!H10+'14 Könyvt'!H10</f>
        <v>60039</v>
      </c>
      <c r="H10" s="14">
        <f t="shared" ref="H10:H15" si="3">+F10+G10</f>
        <v>280176</v>
      </c>
      <c r="I10" s="21">
        <v>280176</v>
      </c>
      <c r="J10" s="21">
        <f t="shared" si="0"/>
        <v>0</v>
      </c>
    </row>
    <row r="11" spans="1:10" x14ac:dyDescent="0.25">
      <c r="A11" s="44" t="s">
        <v>48</v>
      </c>
      <c r="B11" s="43" t="s">
        <v>49</v>
      </c>
      <c r="C11" s="13">
        <f>+'7 Önk'!D11+'8 PH'!D11+'9 VGIG'!D11+'10 Járób'!D11+'11 Szoci'!D11+'12 Ovi'!D11+'13 Művház'!D11+'14 Könyvt'!D11</f>
        <v>202315</v>
      </c>
      <c r="D11" s="13">
        <f>+'7 Önk'!E11+'8 PH'!E11+'9 VGIG'!E11+'10 Járób'!E11+'11 Szoci'!E11+'12 Ovi'!E11+'13 Művház'!E11+'14 Könyvt'!E11</f>
        <v>81880</v>
      </c>
      <c r="E11" s="14">
        <f t="shared" si="2"/>
        <v>284195</v>
      </c>
      <c r="F11" s="13">
        <f>+'7 Önk'!G11+'8 PH'!G11+'9 VGIG'!G11+'10 Járób'!G11+'11 Szoci'!G11+'12 Ovi'!G11+'13 Művház'!G11+'14 Könyvt'!G11</f>
        <v>213186</v>
      </c>
      <c r="G11" s="13">
        <f>+'7 Önk'!H11+'8 PH'!H11+'9 VGIG'!H11+'10 Járób'!H11+'11 Szoci'!H11+'12 Ovi'!H11+'13 Művház'!H11+'14 Könyvt'!H11</f>
        <v>70652</v>
      </c>
      <c r="H11" s="14">
        <f t="shared" si="3"/>
        <v>283838</v>
      </c>
      <c r="I11" s="21">
        <v>283837</v>
      </c>
      <c r="J11" s="21">
        <f t="shared" si="0"/>
        <v>1</v>
      </c>
    </row>
    <row r="12" spans="1:10" x14ac:dyDescent="0.25">
      <c r="A12" s="44" t="s">
        <v>50</v>
      </c>
      <c r="B12" s="43" t="s">
        <v>51</v>
      </c>
      <c r="C12" s="13">
        <f>+'7 Önk'!D12+'8 PH'!D12+'9 VGIG'!D12+'10 Járób'!D12+'11 Szoci'!D12+'12 Ovi'!D12+'13 Művház'!D12+'14 Könyvt'!D12</f>
        <v>7872</v>
      </c>
      <c r="D12" s="13">
        <f>+'7 Önk'!E12+'8 PH'!E12+'9 VGIG'!E12+'10 Járób'!E12+'11 Szoci'!E12+'12 Ovi'!E12+'13 Művház'!E12+'14 Könyvt'!E12</f>
        <v>6840</v>
      </c>
      <c r="E12" s="14">
        <f t="shared" si="2"/>
        <v>14712</v>
      </c>
      <c r="F12" s="13">
        <f>+'7 Önk'!G12+'8 PH'!G12+'9 VGIG'!G12+'10 Járób'!G12+'11 Szoci'!G12+'12 Ovi'!G12+'13 Művház'!G12+'14 Könyvt'!G12</f>
        <v>7663</v>
      </c>
      <c r="G12" s="13">
        <f>+'7 Önk'!H12+'8 PH'!H12+'9 VGIG'!H12+'10 Járób'!H12+'11 Szoci'!H12+'12 Ovi'!H12+'13 Művház'!H12+'14 Könyvt'!H12</f>
        <v>11214</v>
      </c>
      <c r="H12" s="14">
        <f t="shared" si="3"/>
        <v>18877</v>
      </c>
      <c r="I12" s="21">
        <v>18876</v>
      </c>
      <c r="J12" s="21">
        <f t="shared" si="0"/>
        <v>1</v>
      </c>
    </row>
    <row r="13" spans="1:10" x14ac:dyDescent="0.25">
      <c r="A13" s="44" t="s">
        <v>52</v>
      </c>
      <c r="B13" s="43" t="s">
        <v>53</v>
      </c>
      <c r="C13" s="13">
        <f>+'7 Önk'!D13+'8 PH'!D13+'9 VGIG'!D13+'10 Járób'!D13+'11 Szoci'!D13+'12 Ovi'!D13+'13 Művház'!D13+'14 Könyvt'!D13</f>
        <v>258559</v>
      </c>
      <c r="D13" s="13">
        <f>+'7 Önk'!E13+'8 PH'!E13+'9 VGIG'!E13+'10 Járób'!E13+'11 Szoci'!E13+'12 Ovi'!E13+'13 Művház'!E13+'14 Könyvt'!E13</f>
        <v>536516</v>
      </c>
      <c r="E13" s="14">
        <f t="shared" si="2"/>
        <v>795075</v>
      </c>
      <c r="F13" s="13">
        <f>+'7 Önk'!G13+'8 PH'!G13+'9 VGIG'!G13+'10 Járób'!G13+'11 Szoci'!G13+'12 Ovi'!G13+'13 Művház'!G13+'14 Könyvt'!G13</f>
        <v>243926</v>
      </c>
      <c r="G13" s="13">
        <f>+'7 Önk'!H13+'8 PH'!H13+'9 VGIG'!H13+'10 Járób'!H13+'11 Szoci'!H13+'12 Ovi'!H13+'13 Művház'!H13+'14 Könyvt'!H13</f>
        <v>232806</v>
      </c>
      <c r="H13" s="14">
        <f t="shared" si="3"/>
        <v>476732</v>
      </c>
      <c r="I13" s="21">
        <v>476732</v>
      </c>
      <c r="J13" s="21">
        <f t="shared" si="0"/>
        <v>0</v>
      </c>
    </row>
    <row r="14" spans="1:10" x14ac:dyDescent="0.25">
      <c r="A14" s="44" t="s">
        <v>54</v>
      </c>
      <c r="B14" s="43" t="s">
        <v>55</v>
      </c>
      <c r="C14" s="13">
        <f>+'7 Önk'!D14+'8 PH'!D14+'9 VGIG'!D14+'10 Járób'!D14+'11 Szoci'!D14+'12 Ovi'!D14+'13 Művház'!D14+'14 Könyvt'!D14</f>
        <v>5445</v>
      </c>
      <c r="D14" s="13">
        <f>+'7 Önk'!E14+'8 PH'!E14+'9 VGIG'!E14+'10 Járób'!E14+'11 Szoci'!E14+'12 Ovi'!E14+'13 Művház'!E14+'14 Könyvt'!E14</f>
        <v>46295</v>
      </c>
      <c r="E14" s="14">
        <f t="shared" si="2"/>
        <v>51740</v>
      </c>
      <c r="F14" s="13">
        <f>+'7 Önk'!G14+'8 PH'!G14+'9 VGIG'!G14+'10 Járób'!G14+'11 Szoci'!G14+'12 Ovi'!G14+'13 Művház'!G14+'14 Könyvt'!G14</f>
        <v>15649</v>
      </c>
      <c r="G14" s="13">
        <f>+'7 Önk'!H14+'8 PH'!H14+'9 VGIG'!H14+'10 Járób'!H14+'11 Szoci'!H14+'12 Ovi'!H14+'13 Művház'!H14+'14 Könyvt'!H14</f>
        <v>3404</v>
      </c>
      <c r="H14" s="14">
        <f t="shared" si="3"/>
        <v>19053</v>
      </c>
      <c r="I14" s="21">
        <v>19053</v>
      </c>
      <c r="J14" s="21">
        <f t="shared" si="0"/>
        <v>0</v>
      </c>
    </row>
    <row r="15" spans="1:10" x14ac:dyDescent="0.25">
      <c r="A15" s="44" t="s">
        <v>56</v>
      </c>
      <c r="B15" s="43" t="s">
        <v>57</v>
      </c>
      <c r="C15" s="13">
        <f>+'7 Önk'!D15+'8 PH'!D15+'9 VGIG'!D15+'10 Járób'!D15+'11 Szoci'!D15+'12 Ovi'!D15+'13 Művház'!D15+'14 Könyvt'!D15</f>
        <v>180157</v>
      </c>
      <c r="D15" s="13">
        <f>+'7 Önk'!E15+'8 PH'!E15+'9 VGIG'!E15+'10 Járób'!E15+'11 Szoci'!E15+'12 Ovi'!E15+'13 Művház'!E15+'14 Könyvt'!E15</f>
        <v>168966</v>
      </c>
      <c r="E15" s="14">
        <f t="shared" si="2"/>
        <v>349123</v>
      </c>
      <c r="F15" s="13">
        <f>+'7 Önk'!G15+'8 PH'!G15+'9 VGIG'!G15+'10 Járób'!G15+'11 Szoci'!G15+'12 Ovi'!G15+'13 Művház'!G15+'14 Könyvt'!G15</f>
        <v>177615</v>
      </c>
      <c r="G15" s="13">
        <f>+'7 Önk'!H15+'8 PH'!H15+'9 VGIG'!H15+'10 Járób'!H15+'11 Szoci'!H15+'12 Ovi'!H15+'13 Művház'!H15+'14 Könyvt'!H15</f>
        <v>65572</v>
      </c>
      <c r="H15" s="14">
        <f t="shared" si="3"/>
        <v>243187</v>
      </c>
      <c r="I15" s="21">
        <v>243189</v>
      </c>
      <c r="J15" s="21">
        <f t="shared" si="0"/>
        <v>-2</v>
      </c>
    </row>
    <row r="16" spans="1:10" x14ac:dyDescent="0.25">
      <c r="A16" s="47" t="s">
        <v>58</v>
      </c>
      <c r="B16" s="46" t="s">
        <v>59</v>
      </c>
      <c r="C16" s="14">
        <f t="shared" ref="C16:I16" si="4">SUM(C11:C15)</f>
        <v>654348</v>
      </c>
      <c r="D16" s="14">
        <f t="shared" si="4"/>
        <v>840497</v>
      </c>
      <c r="E16" s="14">
        <f t="shared" si="4"/>
        <v>1494845</v>
      </c>
      <c r="F16" s="14">
        <f t="shared" si="4"/>
        <v>658039</v>
      </c>
      <c r="G16" s="14">
        <f t="shared" si="4"/>
        <v>383648</v>
      </c>
      <c r="H16" s="14">
        <f t="shared" si="4"/>
        <v>1041687</v>
      </c>
      <c r="I16" s="14">
        <f t="shared" si="4"/>
        <v>1041687</v>
      </c>
      <c r="J16" s="21">
        <f t="shared" si="0"/>
        <v>0</v>
      </c>
    </row>
    <row r="17" spans="1:10" x14ac:dyDescent="0.25">
      <c r="A17" s="48" t="s">
        <v>60</v>
      </c>
      <c r="B17" s="46" t="s">
        <v>61</v>
      </c>
      <c r="C17" s="14">
        <f>+'7 Önk'!D17+'8 PH'!D17+'9 VGIG'!D17+'10 Járób'!D17+'11 Szoci'!D17+'12 Ovi'!D17+'13 Művház'!D17+'14 Könyvt'!D17+'16 szociális kiad'!D23</f>
        <v>62380</v>
      </c>
      <c r="D17" s="13">
        <f>+'7 Önk'!E17+'8 PH'!E17+'9 VGIG'!E17+'10 Járób'!E17+'11 Szoci'!E17+'12 Ovi'!E17+'13 Művház'!E17+'14 Könyvt'!E17</f>
        <v>0</v>
      </c>
      <c r="E17" s="14">
        <f t="shared" ref="E17:E27" si="5">+C17+D17</f>
        <v>62380</v>
      </c>
      <c r="F17" s="14">
        <f>+'7 Önk'!G17+'8 PH'!G17+'9 VGIG'!G17+'10 Járób'!G17+'11 Szoci'!G17+'12 Ovi'!G17+'13 Művház'!G17+'14 Könyvt'!G17+'16 szociális kiad'!E23</f>
        <v>62380</v>
      </c>
      <c r="G17" s="13">
        <f>+'7 Önk'!H17+'8 PH'!H17+'9 VGIG'!H17+'10 Járób'!H17+'11 Szoci'!H17+'12 Ovi'!H17+'13 Művház'!H17+'14 Könyvt'!H17</f>
        <v>0</v>
      </c>
      <c r="H17" s="14">
        <f t="shared" ref="H17:H27" si="6">+F17+G17</f>
        <v>62380</v>
      </c>
      <c r="I17" s="21">
        <v>62380</v>
      </c>
      <c r="J17" s="21">
        <f t="shared" si="0"/>
        <v>0</v>
      </c>
    </row>
    <row r="18" spans="1:10" x14ac:dyDescent="0.25">
      <c r="A18" s="49" t="s">
        <v>62</v>
      </c>
      <c r="B18" s="43" t="s">
        <v>63</v>
      </c>
      <c r="C18" s="13">
        <f>+'7 Önk'!D18+'8 PH'!D18+'9 VGIG'!D18+'10 Járób'!D18+'11 Szoci'!D18+'12 Ovi'!D18+'13 Művház'!D18+'14 Könyvt'!D18</f>
        <v>0</v>
      </c>
      <c r="D18" s="13">
        <f>+'7 Önk'!E18+'8 PH'!E18+'9 VGIG'!E18+'10 Járób'!E18+'11 Szoci'!E18+'12 Ovi'!E18+'13 Művház'!E18+'14 Könyvt'!E18</f>
        <v>0</v>
      </c>
      <c r="E18" s="14">
        <f t="shared" si="5"/>
        <v>0</v>
      </c>
      <c r="F18" s="13">
        <f>+'7 Önk'!G18+'8 PH'!G18+'9 VGIG'!G18+'10 Járób'!G18+'11 Szoci'!G18+'12 Ovi'!G18+'13 Művház'!G18+'14 Könyvt'!G18</f>
        <v>0</v>
      </c>
      <c r="G18" s="13">
        <f>+'7 Önk'!H18+'8 PH'!H18+'9 VGIG'!H18+'10 Járób'!H18+'11 Szoci'!H18+'12 Ovi'!H18+'13 Művház'!H18+'14 Könyvt'!H18</f>
        <v>0</v>
      </c>
      <c r="H18" s="14">
        <f t="shared" si="6"/>
        <v>0</v>
      </c>
      <c r="J18" s="21">
        <f t="shared" si="0"/>
        <v>0</v>
      </c>
    </row>
    <row r="19" spans="1:10" x14ac:dyDescent="0.25">
      <c r="A19" s="49" t="s">
        <v>64</v>
      </c>
      <c r="B19" s="43" t="s">
        <v>65</v>
      </c>
      <c r="C19" s="13">
        <f>+'7 Önk'!D19+'8 PH'!D19+'9 VGIG'!D19+'10 Járób'!D19+'11 Szoci'!D19+'12 Ovi'!D19+'13 Művház'!D19+'14 Könyvt'!D19</f>
        <v>65048</v>
      </c>
      <c r="D19" s="13">
        <f>+'7 Önk'!E19+'8 PH'!E19+'9 VGIG'!E19+'10 Járób'!E19+'11 Szoci'!E19+'12 Ovi'!E19+'13 Művház'!E19+'14 Könyvt'!E19</f>
        <v>2427</v>
      </c>
      <c r="E19" s="14">
        <f t="shared" si="5"/>
        <v>67475</v>
      </c>
      <c r="F19" s="13">
        <f>+'7 Önk'!G19+'8 PH'!G19+'9 VGIG'!G19+'10 Járób'!G19+'11 Szoci'!G19+'12 Ovi'!G19+'13 Művház'!G19+'14 Könyvt'!G19</f>
        <v>12243</v>
      </c>
      <c r="G19" s="13">
        <f>+'7 Önk'!H19+'8 PH'!H19+'9 VGIG'!H19+'10 Járób'!H19+'11 Szoci'!H19+'12 Ovi'!H19+'13 Művház'!H19+'14 Könyvt'!H19</f>
        <v>2427</v>
      </c>
      <c r="H19" s="14">
        <f t="shared" si="6"/>
        <v>14670</v>
      </c>
      <c r="I19" s="21">
        <v>14670</v>
      </c>
      <c r="J19" s="21">
        <f t="shared" si="0"/>
        <v>0</v>
      </c>
    </row>
    <row r="20" spans="1:10" ht="31.5" x14ac:dyDescent="0.25">
      <c r="A20" s="49" t="s">
        <v>66</v>
      </c>
      <c r="B20" s="43" t="s">
        <v>67</v>
      </c>
      <c r="C20" s="13">
        <f>+'7 Önk'!D20+'8 PH'!D20+'9 VGIG'!D20+'10 Járób'!D20+'11 Szoci'!D20+'12 Ovi'!D20+'13 Művház'!D20+'14 Könyvt'!D20</f>
        <v>0</v>
      </c>
      <c r="D20" s="13">
        <f>+'7 Önk'!E20+'8 PH'!E20+'9 VGIG'!E20+'10 Járób'!E20+'11 Szoci'!E20+'12 Ovi'!E20+'13 Művház'!E20+'14 Könyvt'!E20</f>
        <v>0</v>
      </c>
      <c r="E20" s="14">
        <f t="shared" si="5"/>
        <v>0</v>
      </c>
      <c r="F20" s="13">
        <f>+'7 Önk'!G20+'8 PH'!G20+'9 VGIG'!G20+'10 Járób'!G20+'11 Szoci'!G20+'12 Ovi'!G20+'13 Művház'!G20+'14 Könyvt'!G20</f>
        <v>0</v>
      </c>
      <c r="G20" s="13">
        <f>+'7 Önk'!H20+'8 PH'!H20+'9 VGIG'!H20+'10 Járób'!H20+'11 Szoci'!H20+'12 Ovi'!H20+'13 Művház'!H20+'14 Könyvt'!H20</f>
        <v>0</v>
      </c>
      <c r="H20" s="14">
        <f t="shared" si="6"/>
        <v>0</v>
      </c>
      <c r="J20" s="21">
        <f t="shared" si="0"/>
        <v>0</v>
      </c>
    </row>
    <row r="21" spans="1:10" x14ac:dyDescent="0.25">
      <c r="A21" s="49" t="s">
        <v>68</v>
      </c>
      <c r="B21" s="43" t="s">
        <v>69</v>
      </c>
      <c r="C21" s="13">
        <f>+'7 Önk'!D21+'8 PH'!D21+'9 VGIG'!D21+'10 Járób'!D21+'11 Szoci'!D21+'12 Ovi'!D21+'13 Művház'!D21+'14 Könyvt'!D21</f>
        <v>0</v>
      </c>
      <c r="D21" s="13">
        <f>+'7 Önk'!E21+'8 PH'!E21+'9 VGIG'!E21+'10 Járób'!E21+'11 Szoci'!E21+'12 Ovi'!E21+'13 Művház'!E21+'14 Könyvt'!E21</f>
        <v>0</v>
      </c>
      <c r="E21" s="14">
        <f t="shared" si="5"/>
        <v>0</v>
      </c>
      <c r="F21" s="13">
        <f>+'7 Önk'!G21+'8 PH'!G21+'9 VGIG'!G21+'10 Járób'!G21+'11 Szoci'!G21+'12 Ovi'!G21+'13 Művház'!G21+'14 Könyvt'!G21</f>
        <v>0</v>
      </c>
      <c r="G21" s="13">
        <f>+'7 Önk'!H21+'8 PH'!H21+'9 VGIG'!H21+'10 Járób'!H21+'11 Szoci'!H21+'12 Ovi'!H21+'13 Művház'!H21+'14 Könyvt'!H21</f>
        <v>0</v>
      </c>
      <c r="H21" s="14">
        <f t="shared" si="6"/>
        <v>0</v>
      </c>
      <c r="J21" s="21">
        <f t="shared" si="0"/>
        <v>0</v>
      </c>
    </row>
    <row r="22" spans="1:10" x14ac:dyDescent="0.25">
      <c r="A22" s="49" t="s">
        <v>70</v>
      </c>
      <c r="B22" s="43" t="s">
        <v>71</v>
      </c>
      <c r="C22" s="13">
        <f>+'7 Önk'!D22+'8 PH'!D22+'9 VGIG'!D22+'10 Járób'!D22+'11 Szoci'!D22+'12 Ovi'!D22+'13 Művház'!D22+'14 Könyvt'!D22</f>
        <v>0</v>
      </c>
      <c r="D22" s="13">
        <f>+'7 Önk'!E22+'8 PH'!E22+'9 VGIG'!E22+'10 Járób'!E22+'11 Szoci'!E22+'12 Ovi'!E22+'13 Művház'!E22+'14 Könyvt'!E22</f>
        <v>0</v>
      </c>
      <c r="E22" s="14">
        <f t="shared" si="5"/>
        <v>0</v>
      </c>
      <c r="F22" s="13">
        <f>+'7 Önk'!G22+'8 PH'!G22+'9 VGIG'!G22+'10 Járób'!G22+'11 Szoci'!G22+'12 Ovi'!G22+'13 Művház'!G22+'14 Könyvt'!G22</f>
        <v>0</v>
      </c>
      <c r="G22" s="13">
        <f>+'7 Önk'!H22+'8 PH'!H22+'9 VGIG'!H22+'10 Járób'!H22+'11 Szoci'!H22+'12 Ovi'!H22+'13 Művház'!H22+'14 Könyvt'!H22</f>
        <v>0</v>
      </c>
      <c r="H22" s="14">
        <f t="shared" si="6"/>
        <v>0</v>
      </c>
      <c r="J22" s="21">
        <f t="shared" si="0"/>
        <v>0</v>
      </c>
    </row>
    <row r="23" spans="1:10" x14ac:dyDescent="0.25">
      <c r="A23" s="49" t="s">
        <v>72</v>
      </c>
      <c r="B23" s="43" t="s">
        <v>73</v>
      </c>
      <c r="C23" s="13">
        <f>+'7 Önk'!D23+'8 PH'!D23+'9 VGIG'!D23+'10 Járób'!D23+'11 Szoci'!D23+'12 Ovi'!D23+'13 Művház'!D23+'14 Könyvt'!D23</f>
        <v>0</v>
      </c>
      <c r="D23" s="13">
        <f>+'7 Önk'!E23+'8 PH'!E23+'9 VGIG'!E23+'10 Járób'!E23+'11 Szoci'!E23+'12 Ovi'!E23+'13 Művház'!E23+'14 Könyvt'!E23</f>
        <v>2000</v>
      </c>
      <c r="E23" s="14">
        <f t="shared" si="5"/>
        <v>2000</v>
      </c>
      <c r="F23" s="13">
        <f>+'7 Önk'!G23+'8 PH'!G23+'9 VGIG'!G23+'10 Járób'!G23+'11 Szoci'!G23+'12 Ovi'!G23+'13 Művház'!G23+'14 Könyvt'!G23</f>
        <v>15666</v>
      </c>
      <c r="G23" s="13">
        <f>+'7 Önk'!H23+'8 PH'!H23+'9 VGIG'!H23+'10 Járób'!H23+'11 Szoci'!H23+'12 Ovi'!H23+'13 Művház'!H23+'14 Könyvt'!H23</f>
        <v>2000</v>
      </c>
      <c r="H23" s="14">
        <f t="shared" si="6"/>
        <v>17666</v>
      </c>
      <c r="I23" s="21">
        <v>17666</v>
      </c>
      <c r="J23" s="21">
        <f t="shared" si="0"/>
        <v>0</v>
      </c>
    </row>
    <row r="24" spans="1:10" ht="31.5" x14ac:dyDescent="0.25">
      <c r="A24" s="49" t="s">
        <v>74</v>
      </c>
      <c r="B24" s="43" t="s">
        <v>75</v>
      </c>
      <c r="C24" s="13">
        <f>+'7 Önk'!D24+'8 PH'!D24+'9 VGIG'!D24+'10 Járób'!D24+'11 Szoci'!D24+'12 Ovi'!D24+'13 Művház'!D24+'14 Könyvt'!D24</f>
        <v>0</v>
      </c>
      <c r="D24" s="13">
        <f>+'7 Önk'!E24+'8 PH'!E24+'9 VGIG'!E24+'10 Járób'!E24+'11 Szoci'!E24+'12 Ovi'!E24+'13 Művház'!E24+'14 Könyvt'!E24</f>
        <v>0</v>
      </c>
      <c r="E24" s="14">
        <f t="shared" si="5"/>
        <v>0</v>
      </c>
      <c r="F24" s="13">
        <f>+'7 Önk'!G24+'8 PH'!G24+'9 VGIG'!G24+'10 Járób'!G24+'11 Szoci'!G24+'12 Ovi'!G24+'13 Művház'!G24+'14 Könyvt'!G24</f>
        <v>0</v>
      </c>
      <c r="G24" s="13">
        <f>+'7 Önk'!H24+'8 PH'!H24+'9 VGIG'!H24+'10 Járób'!H24+'11 Szoci'!H24+'12 Ovi'!H24+'13 Művház'!H24+'14 Könyvt'!H24</f>
        <v>0</v>
      </c>
      <c r="H24" s="14">
        <f t="shared" si="6"/>
        <v>0</v>
      </c>
      <c r="J24" s="21">
        <f t="shared" si="0"/>
        <v>0</v>
      </c>
    </row>
    <row r="25" spans="1:10" x14ac:dyDescent="0.25">
      <c r="A25" s="49" t="s">
        <v>76</v>
      </c>
      <c r="B25" s="43" t="s">
        <v>77</v>
      </c>
      <c r="C25" s="13">
        <f>+'7 Önk'!D25+'8 PH'!D25+'9 VGIG'!D25+'10 Járób'!D25+'11 Szoci'!D25+'12 Ovi'!D25+'13 Művház'!D25+'14 Könyvt'!D25</f>
        <v>0</v>
      </c>
      <c r="D25" s="13">
        <f>+'7 Önk'!E25+'8 PH'!E25+'9 VGIG'!E25+'10 Járób'!E25+'11 Szoci'!E25+'12 Ovi'!E25+'13 Művház'!E25+'14 Könyvt'!E25</f>
        <v>0</v>
      </c>
      <c r="E25" s="14">
        <f t="shared" si="5"/>
        <v>0</v>
      </c>
      <c r="F25" s="13">
        <f>+'7 Önk'!G25+'8 PH'!G25+'9 VGIG'!G25+'10 Járób'!G25+'11 Szoci'!G25+'12 Ovi'!G25+'13 Művház'!G25+'14 Könyvt'!G25</f>
        <v>4500</v>
      </c>
      <c r="G25" s="13">
        <f>+'7 Önk'!H25+'8 PH'!H25+'9 VGIG'!H25+'10 Járób'!H25+'11 Szoci'!H25+'12 Ovi'!H25+'13 Művház'!H25+'14 Könyvt'!H25</f>
        <v>0</v>
      </c>
      <c r="H25" s="14">
        <f t="shared" si="6"/>
        <v>4500</v>
      </c>
      <c r="I25" s="21">
        <v>4500</v>
      </c>
      <c r="J25" s="21">
        <f t="shared" si="0"/>
        <v>0</v>
      </c>
    </row>
    <row r="26" spans="1:10" x14ac:dyDescent="0.25">
      <c r="A26" s="49" t="s">
        <v>78</v>
      </c>
      <c r="B26" s="43" t="s">
        <v>79</v>
      </c>
      <c r="C26" s="13">
        <f>+'7 Önk'!D26+'8 PH'!D26+'9 VGIG'!D26+'10 Járób'!D26+'11 Szoci'!D26+'12 Ovi'!D26+'13 Művház'!D26+'14 Könyvt'!D26</f>
        <v>0</v>
      </c>
      <c r="D26" s="13">
        <f>+'7 Önk'!E26+'8 PH'!E26+'9 VGIG'!E26+'10 Járób'!E26+'11 Szoci'!E26+'12 Ovi'!E26+'13 Művház'!E26+'14 Könyvt'!E26</f>
        <v>0</v>
      </c>
      <c r="E26" s="14">
        <f t="shared" si="5"/>
        <v>0</v>
      </c>
      <c r="F26" s="13">
        <f>+'7 Önk'!G26+'8 PH'!G26+'9 VGIG'!G26+'10 Járób'!G26+'11 Szoci'!G26+'12 Ovi'!G26+'13 Művház'!G26+'14 Könyvt'!G26</f>
        <v>0</v>
      </c>
      <c r="G26" s="13">
        <f>+'7 Önk'!H26+'8 PH'!H26+'9 VGIG'!H26+'10 Járób'!H26+'11 Szoci'!H26+'12 Ovi'!H26+'13 Művház'!H26+'14 Könyvt'!H26</f>
        <v>0</v>
      </c>
      <c r="H26" s="14">
        <f t="shared" si="6"/>
        <v>0</v>
      </c>
      <c r="J26" s="21">
        <f t="shared" si="0"/>
        <v>0</v>
      </c>
    </row>
    <row r="27" spans="1:10" x14ac:dyDescent="0.25">
      <c r="A27" s="50" t="s">
        <v>80</v>
      </c>
      <c r="B27" s="43" t="s">
        <v>81</v>
      </c>
      <c r="C27" s="13">
        <f>+'7 Önk'!D27+'8 PH'!D27+'9 VGIG'!D27+'10 Járób'!D27+'11 Szoci'!D27+'12 Ovi'!D27+'13 Művház'!D27+'14 Könyvt'!D27</f>
        <v>0</v>
      </c>
      <c r="D27" s="13">
        <f>+'7 Önk'!E27+'8 PH'!E27+'9 VGIG'!E27+'10 Járób'!E27+'11 Szoci'!E27+'12 Ovi'!E27+'13 Művház'!E27+'14 Könyvt'!E27</f>
        <v>0</v>
      </c>
      <c r="E27" s="14">
        <f t="shared" si="5"/>
        <v>0</v>
      </c>
      <c r="F27" s="13">
        <f>+'7 Önk'!G27+'8 PH'!G27+'9 VGIG'!G27+'10 Járób'!G27+'11 Szoci'!G27+'12 Ovi'!G27+'13 Művház'!G27+'14 Könyvt'!G27</f>
        <v>0</v>
      </c>
      <c r="G27" s="13">
        <f>+'7 Önk'!H27+'8 PH'!H27+'9 VGIG'!H27+'10 Járób'!H27+'11 Szoci'!H27+'12 Ovi'!H27+'13 Művház'!H27+'14 Könyvt'!H27</f>
        <v>0</v>
      </c>
      <c r="H27" s="14">
        <f t="shared" si="6"/>
        <v>0</v>
      </c>
      <c r="J27" s="21">
        <f t="shared" si="0"/>
        <v>0</v>
      </c>
    </row>
    <row r="28" spans="1:10" x14ac:dyDescent="0.25">
      <c r="A28" s="49" t="s">
        <v>82</v>
      </c>
      <c r="B28" s="43" t="s">
        <v>83</v>
      </c>
      <c r="C28" s="13"/>
      <c r="D28" s="13"/>
      <c r="E28" s="14"/>
      <c r="F28" s="13"/>
      <c r="G28" s="13"/>
      <c r="H28" s="14"/>
      <c r="J28" s="21">
        <f t="shared" si="0"/>
        <v>0</v>
      </c>
    </row>
    <row r="29" spans="1:10" x14ac:dyDescent="0.25">
      <c r="A29" s="49" t="s">
        <v>84</v>
      </c>
      <c r="B29" s="43" t="s">
        <v>85</v>
      </c>
      <c r="C29" s="13">
        <f>+'7 Önk'!D29+'8 PH'!D29+'9 VGIG'!D29+'10 Járób'!D29+'11 Szoci'!D29+'12 Ovi'!D29+'13 Művház'!D29+'14 Könyvt'!D29</f>
        <v>21830</v>
      </c>
      <c r="D29" s="13">
        <f>+'7 Önk'!E29+'8 PH'!E29+'9 VGIG'!E29+'10 Járób'!E29+'11 Szoci'!E29+'12 Ovi'!E29+'13 Művház'!E29+'14 Könyvt'!E29</f>
        <v>29150</v>
      </c>
      <c r="E29" s="14">
        <f>+C29+D29</f>
        <v>50980</v>
      </c>
      <c r="F29" s="13">
        <f>+'7 Önk'!G29+'8 PH'!G29+'9 VGIG'!G29+'10 Járób'!G29+'11 Szoci'!G29+'12 Ovi'!G29+'13 Művház'!G29+'14 Könyvt'!G29</f>
        <v>65346</v>
      </c>
      <c r="G29" s="13">
        <f>+'7 Önk'!H29+'8 PH'!H29+'9 VGIG'!H29+'10 Járób'!H29+'11 Szoci'!H29+'12 Ovi'!H29+'13 Művház'!H29+'14 Könyvt'!H29</f>
        <v>29400</v>
      </c>
      <c r="H29" s="14">
        <f>+F29+G29</f>
        <v>94746</v>
      </c>
      <c r="I29" s="21">
        <v>94745</v>
      </c>
      <c r="J29" s="21">
        <f t="shared" si="0"/>
        <v>1</v>
      </c>
    </row>
    <row r="30" spans="1:10" x14ac:dyDescent="0.25">
      <c r="A30" s="50" t="s">
        <v>86</v>
      </c>
      <c r="B30" s="43" t="s">
        <v>87</v>
      </c>
      <c r="C30" s="13">
        <f>+'6 Tart'!D14</f>
        <v>40000</v>
      </c>
      <c r="D30" s="13">
        <f>+'6 Tart'!E14</f>
        <v>0</v>
      </c>
      <c r="E30" s="14">
        <f>+C30+D30</f>
        <v>40000</v>
      </c>
      <c r="F30" s="13">
        <f>+'6 Tart'!G14</f>
        <v>490</v>
      </c>
      <c r="G30" s="13">
        <f>+'6 Tart'!H14</f>
        <v>0</v>
      </c>
      <c r="H30" s="14">
        <f>+F30+G30</f>
        <v>490</v>
      </c>
      <c r="I30" s="21">
        <v>1769</v>
      </c>
      <c r="J30" s="21">
        <f t="shared" si="0"/>
        <v>-1279</v>
      </c>
    </row>
    <row r="31" spans="1:10" x14ac:dyDescent="0.25">
      <c r="A31" s="50" t="s">
        <v>88</v>
      </c>
      <c r="B31" s="43" t="s">
        <v>87</v>
      </c>
      <c r="C31" s="13">
        <f>+'6 Tart'!D24</f>
        <v>4300</v>
      </c>
      <c r="D31" s="13">
        <f>+'6 Tart'!E24</f>
        <v>0</v>
      </c>
      <c r="E31" s="14">
        <f>+C31+D31</f>
        <v>4300</v>
      </c>
      <c r="F31" s="13">
        <f>+'6 Tart'!G24</f>
        <v>1278</v>
      </c>
      <c r="G31" s="13">
        <f>+'6 Tart'!H24</f>
        <v>0</v>
      </c>
      <c r="H31" s="14">
        <f>+F31+G31</f>
        <v>1278</v>
      </c>
      <c r="J31" s="21">
        <f t="shared" si="0"/>
        <v>1278</v>
      </c>
    </row>
    <row r="32" spans="1:10" s="20" customFormat="1" x14ac:dyDescent="0.25">
      <c r="A32" s="48" t="s">
        <v>89</v>
      </c>
      <c r="B32" s="46" t="s">
        <v>90</v>
      </c>
      <c r="C32" s="14">
        <f t="shared" ref="C32:H32" si="7">SUM(C18:C31)</f>
        <v>131178</v>
      </c>
      <c r="D32" s="14">
        <f t="shared" si="7"/>
        <v>33577</v>
      </c>
      <c r="E32" s="14">
        <f t="shared" si="7"/>
        <v>164755</v>
      </c>
      <c r="F32" s="14">
        <f t="shared" si="7"/>
        <v>99523</v>
      </c>
      <c r="G32" s="14">
        <f t="shared" si="7"/>
        <v>33827</v>
      </c>
      <c r="H32" s="14">
        <f t="shared" si="7"/>
        <v>133350</v>
      </c>
      <c r="I32" s="14">
        <f t="shared" ref="I32" si="8">SUM(I18:I31)</f>
        <v>133350</v>
      </c>
      <c r="J32" s="21">
        <f t="shared" si="0"/>
        <v>0</v>
      </c>
    </row>
    <row r="33" spans="1:10" x14ac:dyDescent="0.25">
      <c r="A33" s="51" t="s">
        <v>91</v>
      </c>
      <c r="B33" s="52" t="s">
        <v>92</v>
      </c>
      <c r="C33" s="53">
        <f t="shared" ref="C33:H33" si="9">+C32+C17+C16+C10+C9</f>
        <v>2046001</v>
      </c>
      <c r="D33" s="53">
        <f t="shared" si="9"/>
        <v>1662474</v>
      </c>
      <c r="E33" s="53">
        <f t="shared" si="9"/>
        <v>3708475</v>
      </c>
      <c r="F33" s="53">
        <f t="shared" si="9"/>
        <v>2098326</v>
      </c>
      <c r="G33" s="53">
        <f t="shared" si="9"/>
        <v>771236</v>
      </c>
      <c r="H33" s="53">
        <f t="shared" si="9"/>
        <v>2869562</v>
      </c>
      <c r="I33" s="53">
        <f t="shared" ref="I33" si="10">+I32+I17+I16+I10+I9</f>
        <v>2869562</v>
      </c>
      <c r="J33" s="21">
        <f t="shared" si="0"/>
        <v>0</v>
      </c>
    </row>
    <row r="34" spans="1:10" x14ac:dyDescent="0.25">
      <c r="A34" s="54" t="s">
        <v>93</v>
      </c>
      <c r="B34" s="43" t="s">
        <v>94</v>
      </c>
      <c r="C34" s="13">
        <f>+'7 Önk'!D34+'8 PH'!D34+'9 VGIG'!D34+'10 Járób'!D34+'11 Szoci'!D34+'12 Ovi'!D34+'13 Művház'!D34+'14 Könyvt'!D34+'5 Beruh kiad'!D11</f>
        <v>879</v>
      </c>
      <c r="D34" s="13">
        <f>+'7 Önk'!E34+'8 PH'!E34+'9 VGIG'!E34+'10 Járób'!E34+'11 Szoci'!E34+'12 Ovi'!E34+'13 Művház'!E34+'14 Könyvt'!E34+'5 Beruh kiad'!E11</f>
        <v>312</v>
      </c>
      <c r="E34" s="14">
        <f t="shared" ref="E34:E40" si="11">+C34+D34</f>
        <v>1191</v>
      </c>
      <c r="F34" s="13">
        <f>+'7 Önk'!G34+'8 PH'!G34+'9 VGIG'!G34+'10 Járób'!G34+'11 Szoci'!G34+'12 Ovi'!G34+'13 Művház'!G34+'14 Könyvt'!G34+'5 Beruh kiad'!F11</f>
        <v>579</v>
      </c>
      <c r="G34" s="13">
        <f>+'7 Önk'!H34+'8 PH'!H34+'9 VGIG'!H34+'10 Járób'!H34+'11 Szoci'!H34+'12 Ovi'!H34+'13 Művház'!H34+'14 Könyvt'!H34+'5 Beruh kiad'!G11</f>
        <v>312</v>
      </c>
      <c r="H34" s="14">
        <f t="shared" ref="H34:H40" si="12">+F34+G34</f>
        <v>891</v>
      </c>
      <c r="I34" s="21">
        <v>891</v>
      </c>
      <c r="J34" s="21">
        <f t="shared" si="0"/>
        <v>0</v>
      </c>
    </row>
    <row r="35" spans="1:10" x14ac:dyDescent="0.25">
      <c r="A35" s="54" t="s">
        <v>95</v>
      </c>
      <c r="B35" s="43" t="s">
        <v>96</v>
      </c>
      <c r="C35" s="13">
        <f>+'7 Önk'!D35+'8 PH'!D35+'9 VGIG'!D35+'10 Járób'!D35+'11 Szoci'!D35+'12 Ovi'!D35+'13 Művház'!D35+'14 Könyvt'!D35+'5 Beruh kiad'!D14</f>
        <v>200</v>
      </c>
      <c r="D35" s="13">
        <f>+'7 Önk'!E35+'8 PH'!E35+'9 VGIG'!E35+'10 Járób'!E35+'11 Szoci'!E35+'12 Ovi'!E35+'13 Művház'!E35+'14 Könyvt'!E35+'5 Beruh kiad'!E14</f>
        <v>0</v>
      </c>
      <c r="E35" s="14">
        <f t="shared" si="11"/>
        <v>200</v>
      </c>
      <c r="F35" s="13">
        <f>+'7 Önk'!G35+'8 PH'!G35+'9 VGIG'!G35+'10 Járób'!G35+'11 Szoci'!G35+'12 Ovi'!G35+'13 Művház'!G35+'14 Könyvt'!G35+'5 Beruh kiad'!F14</f>
        <v>1385</v>
      </c>
      <c r="G35" s="13">
        <f>+'7 Önk'!H35+'8 PH'!H35+'9 VGIG'!H35+'10 Járób'!H35+'11 Szoci'!H35+'12 Ovi'!H35+'13 Művház'!H35+'14 Könyvt'!H35+'5 Beruh kiad'!G14</f>
        <v>36250</v>
      </c>
      <c r="H35" s="14">
        <f t="shared" si="12"/>
        <v>37635</v>
      </c>
      <c r="I35" s="21">
        <v>37635</v>
      </c>
      <c r="J35" s="21">
        <f t="shared" si="0"/>
        <v>0</v>
      </c>
    </row>
    <row r="36" spans="1:10" x14ac:dyDescent="0.25">
      <c r="A36" s="54" t="s">
        <v>97</v>
      </c>
      <c r="B36" s="43" t="s">
        <v>98</v>
      </c>
      <c r="C36" s="13">
        <f>+'7 Önk'!D36+'8 PH'!D36+'9 VGIG'!D36+'10 Járób'!D36+'11 Szoci'!D36+'12 Ovi'!D36+'13 Művház'!D36+'14 Könyvt'!D36+'5 Beruh kiad'!D19</f>
        <v>3221</v>
      </c>
      <c r="D36" s="13">
        <f>+'7 Önk'!E36+'8 PH'!E36+'9 VGIG'!E36+'10 Járób'!E36+'11 Szoci'!E36+'12 Ovi'!E36+'13 Művház'!E36+'14 Könyvt'!E36+'5 Beruh kiad'!E19</f>
        <v>1480</v>
      </c>
      <c r="E36" s="14">
        <f t="shared" si="11"/>
        <v>4701</v>
      </c>
      <c r="F36" s="13">
        <f>+'7 Önk'!G36+'8 PH'!G36+'9 VGIG'!G36+'10 Járób'!G36+'11 Szoci'!G36+'12 Ovi'!G36+'13 Művház'!G36+'14 Könyvt'!G36+'5 Beruh kiad'!F19</f>
        <v>3581</v>
      </c>
      <c r="G36" s="13">
        <f>+'7 Önk'!H36+'8 PH'!H36+'9 VGIG'!H36+'10 Járób'!H36+'11 Szoci'!H36+'12 Ovi'!H36+'13 Művház'!H36+'14 Könyvt'!H36+'5 Beruh kiad'!G19</f>
        <v>1480</v>
      </c>
      <c r="H36" s="14">
        <f t="shared" si="12"/>
        <v>5061</v>
      </c>
      <c r="I36" s="21">
        <v>5061</v>
      </c>
      <c r="J36" s="21">
        <f t="shared" si="0"/>
        <v>0</v>
      </c>
    </row>
    <row r="37" spans="1:10" x14ac:dyDescent="0.25">
      <c r="A37" s="54" t="s">
        <v>99</v>
      </c>
      <c r="B37" s="43" t="s">
        <v>100</v>
      </c>
      <c r="C37" s="13">
        <f>+'7 Önk'!D37+'8 PH'!D37+'9 VGIG'!D37+'10 Járób'!D37+'11 Szoci'!D37+'12 Ovi'!D37+'13 Művház'!D37+'14 Könyvt'!D37+'5 Beruh kiad'!D26</f>
        <v>26546</v>
      </c>
      <c r="D37" s="13">
        <f>+'7 Önk'!E37+'8 PH'!E37+'9 VGIG'!E37+'10 Járób'!E37+'11 Szoci'!E37+'12 Ovi'!E37+'13 Művház'!E37+'14 Könyvt'!E37+'5 Beruh kiad'!E26</f>
        <v>121004</v>
      </c>
      <c r="E37" s="14">
        <f t="shared" si="11"/>
        <v>147550</v>
      </c>
      <c r="F37" s="13">
        <f>+'7 Önk'!G37+'8 PH'!G37+'9 VGIG'!G37+'10 Járób'!G37+'11 Szoci'!G37+'12 Ovi'!G37+'13 Művház'!G37+'14 Könyvt'!G37+'5 Beruh kiad'!F26</f>
        <v>21215</v>
      </c>
      <c r="G37" s="13">
        <f>+'7 Önk'!H37+'8 PH'!H37+'9 VGIG'!H37+'10 Járób'!H37+'11 Szoci'!H37+'12 Ovi'!H37+'13 Művház'!H37+'14 Könyvt'!H37+'5 Beruh kiad'!G26</f>
        <v>13267</v>
      </c>
      <c r="H37" s="14">
        <f t="shared" si="12"/>
        <v>34482</v>
      </c>
      <c r="I37" s="21">
        <v>34482</v>
      </c>
      <c r="J37" s="21">
        <f t="shared" si="0"/>
        <v>0</v>
      </c>
    </row>
    <row r="38" spans="1:10" x14ac:dyDescent="0.25">
      <c r="A38" s="55" t="s">
        <v>101</v>
      </c>
      <c r="B38" s="43" t="s">
        <v>102</v>
      </c>
      <c r="C38" s="13">
        <f>+'7 Önk'!D38+'8 PH'!D38+'9 VGIG'!D38+'10 Járób'!D38+'11 Szoci'!D38+'12 Ovi'!D38+'13 Művház'!D38+'14 Könyvt'!D38+'5 Beruh kiad'!D28</f>
        <v>0</v>
      </c>
      <c r="D38" s="13">
        <f>+'7 Önk'!E38+'8 PH'!E38+'9 VGIG'!E38+'10 Járób'!E38+'11 Szoci'!E38+'12 Ovi'!E38+'13 Művház'!E38+'14 Könyvt'!E38+'5 Beruh kiad'!E28</f>
        <v>0</v>
      </c>
      <c r="E38" s="14">
        <f t="shared" si="11"/>
        <v>0</v>
      </c>
      <c r="F38" s="13">
        <f>+'7 Önk'!G38+'8 PH'!G38+'9 VGIG'!G38+'10 Járób'!G38+'11 Szoci'!G38+'12 Ovi'!G38+'13 Művház'!G38+'14 Könyvt'!G38+'5 Beruh kiad'!F28</f>
        <v>0</v>
      </c>
      <c r="G38" s="13">
        <f>+'7 Önk'!H38+'8 PH'!H38+'9 VGIG'!H38+'10 Járób'!H38+'11 Szoci'!H38+'12 Ovi'!H38+'13 Művház'!H38+'14 Könyvt'!H38+'5 Beruh kiad'!G28</f>
        <v>0</v>
      </c>
      <c r="H38" s="14">
        <f t="shared" si="12"/>
        <v>0</v>
      </c>
      <c r="J38" s="21">
        <f t="shared" si="0"/>
        <v>0</v>
      </c>
    </row>
    <row r="39" spans="1:10" x14ac:dyDescent="0.25">
      <c r="A39" s="55" t="s">
        <v>103</v>
      </c>
      <c r="B39" s="43" t="s">
        <v>104</v>
      </c>
      <c r="C39" s="13">
        <f>+'7 Önk'!D39+'8 PH'!D39+'9 VGIG'!D39+'10 Járób'!D39+'11 Szoci'!D39+'12 Ovi'!D39+'13 Művház'!D39+'14 Könyvt'!D39+'5 Beruh kiad'!D30</f>
        <v>0</v>
      </c>
      <c r="D39" s="13">
        <f>+'7 Önk'!E39+'8 PH'!E39+'9 VGIG'!E39+'10 Járób'!E39+'11 Szoci'!E39+'12 Ovi'!E39+'13 Művház'!E39+'14 Könyvt'!E39+'5 Beruh kiad'!E30</f>
        <v>0</v>
      </c>
      <c r="E39" s="14">
        <f t="shared" si="11"/>
        <v>0</v>
      </c>
      <c r="F39" s="13">
        <f>+'7 Önk'!G39+'8 PH'!G39+'9 VGIG'!G39+'10 Járób'!G39+'11 Szoci'!G39+'12 Ovi'!G39+'13 Művház'!G39+'14 Könyvt'!G39+'5 Beruh kiad'!F30</f>
        <v>0</v>
      </c>
      <c r="G39" s="13">
        <f>+'7 Önk'!H39+'8 PH'!H39+'9 VGIG'!H39+'10 Járób'!H39+'11 Szoci'!H39+'12 Ovi'!H39+'13 Művház'!H39+'14 Könyvt'!H39+'5 Beruh kiad'!G30</f>
        <v>0</v>
      </c>
      <c r="H39" s="14">
        <f t="shared" si="12"/>
        <v>0</v>
      </c>
      <c r="J39" s="21">
        <f t="shared" si="0"/>
        <v>0</v>
      </c>
    </row>
    <row r="40" spans="1:10" x14ac:dyDescent="0.25">
      <c r="A40" s="55" t="s">
        <v>105</v>
      </c>
      <c r="B40" s="43" t="s">
        <v>106</v>
      </c>
      <c r="C40" s="13">
        <f>+'7 Önk'!D40+'8 PH'!D40+'9 VGIG'!D40+'10 Járób'!D40+'11 Szoci'!D40+'12 Ovi'!D40+'13 Művház'!D40+'14 Könyvt'!D40+'5 Beruh kiad'!D42</f>
        <v>8169</v>
      </c>
      <c r="D40" s="13">
        <f>+'7 Önk'!E40+'8 PH'!E40+'9 VGIG'!E40+'10 Járób'!E40+'11 Szoci'!E40+'12 Ovi'!E40+'13 Művház'!E40+'14 Könyvt'!E40+'5 Beruh kiad'!E42</f>
        <v>33155</v>
      </c>
      <c r="E40" s="14">
        <f t="shared" si="11"/>
        <v>41324</v>
      </c>
      <c r="F40" s="13">
        <f>+'7 Önk'!G40+'8 PH'!G40+'9 VGIG'!G40+'10 Járób'!G40+'11 Szoci'!G40+'12 Ovi'!G40+'13 Művház'!G40+'14 Könyvt'!G40+'5 Beruh kiad'!F42</f>
        <v>6600</v>
      </c>
      <c r="G40" s="13">
        <f>+'7 Önk'!H40+'8 PH'!H40+'9 VGIG'!H40+'10 Járób'!H40+'11 Szoci'!H40+'12 Ovi'!H40+'13 Művház'!H40+'14 Könyvt'!H40+'5 Beruh kiad'!G42</f>
        <v>4077</v>
      </c>
      <c r="H40" s="14">
        <f t="shared" si="12"/>
        <v>10677</v>
      </c>
      <c r="I40" s="21">
        <v>10677</v>
      </c>
      <c r="J40" s="21">
        <f t="shared" si="0"/>
        <v>0</v>
      </c>
    </row>
    <row r="41" spans="1:10" s="20" customFormat="1" x14ac:dyDescent="0.25">
      <c r="A41" s="56" t="s">
        <v>107</v>
      </c>
      <c r="B41" s="46" t="s">
        <v>108</v>
      </c>
      <c r="C41" s="14">
        <f t="shared" ref="C41:I41" si="13">SUM(C34:C40)</f>
        <v>39015</v>
      </c>
      <c r="D41" s="14">
        <f t="shared" si="13"/>
        <v>155951</v>
      </c>
      <c r="E41" s="14">
        <f t="shared" si="13"/>
        <v>194966</v>
      </c>
      <c r="F41" s="14">
        <f t="shared" si="13"/>
        <v>33360</v>
      </c>
      <c r="G41" s="14">
        <f t="shared" si="13"/>
        <v>55386</v>
      </c>
      <c r="H41" s="14">
        <f t="shared" si="13"/>
        <v>88746</v>
      </c>
      <c r="I41" s="14">
        <f t="shared" si="13"/>
        <v>88746</v>
      </c>
      <c r="J41" s="21">
        <f t="shared" si="0"/>
        <v>0</v>
      </c>
    </row>
    <row r="42" spans="1:10" x14ac:dyDescent="0.25">
      <c r="A42" s="57" t="s">
        <v>109</v>
      </c>
      <c r="B42" s="43" t="s">
        <v>110</v>
      </c>
      <c r="C42" s="13">
        <f>+'7 Önk'!D42+'8 PH'!D42+'9 VGIG'!D42+'10 Járób'!D42+'11 Szoci'!D42+'12 Ovi'!D42+'13 Művház'!D42+'14 Könyvt'!D42+'5 Beruh kiad'!D60</f>
        <v>2369018</v>
      </c>
      <c r="D42" s="13">
        <f>+'7 Önk'!E42+'8 PH'!E42+'9 VGIG'!E42+'10 Járób'!E42+'11 Szoci'!E42+'12 Ovi'!E42+'13 Művház'!E42+'14 Könyvt'!E42+'5 Beruh kiad'!E60</f>
        <v>5000</v>
      </c>
      <c r="E42" s="14">
        <f>+C42+D42</f>
        <v>2374018</v>
      </c>
      <c r="F42" s="13">
        <f>+'7 Önk'!G42+'8 PH'!G42+'9 VGIG'!G42+'10 Járób'!G42+'11 Szoci'!G42+'12 Ovi'!G42+'13 Művház'!G42+'14 Könyvt'!G42+'5 Beruh kiad'!F60</f>
        <v>426796</v>
      </c>
      <c r="G42" s="13">
        <f>+'7 Önk'!H42+'8 PH'!H42+'9 VGIG'!H42+'10 Járób'!H42+'11 Szoci'!H42+'12 Ovi'!H42+'13 Művház'!H42+'14 Könyvt'!H42+'5 Beruh kiad'!G60</f>
        <v>5000</v>
      </c>
      <c r="H42" s="14">
        <f>+F42+G42</f>
        <v>431796</v>
      </c>
      <c r="I42" s="21">
        <v>431796</v>
      </c>
      <c r="J42" s="21">
        <f t="shared" si="0"/>
        <v>0</v>
      </c>
    </row>
    <row r="43" spans="1:10" x14ac:dyDescent="0.25">
      <c r="A43" s="57" t="s">
        <v>111</v>
      </c>
      <c r="B43" s="43" t="s">
        <v>112</v>
      </c>
      <c r="C43" s="13">
        <f>+'7 Önk'!D43+'8 PH'!D43+'9 VGIG'!D43+'10 Járób'!D43+'11 Szoci'!D43+'12 Ovi'!D43+'13 Művház'!D43+'14 Könyvt'!D43+'5 Beruh kiad'!D62</f>
        <v>0</v>
      </c>
      <c r="D43" s="13">
        <f>+'7 Önk'!E43+'8 PH'!E43+'9 VGIG'!E43+'10 Járób'!E43+'11 Szoci'!E43+'12 Ovi'!E43+'13 Művház'!E43+'14 Könyvt'!E43+'5 Beruh kiad'!E62</f>
        <v>0</v>
      </c>
      <c r="E43" s="14">
        <f>+C43+D43</f>
        <v>0</v>
      </c>
      <c r="F43" s="13">
        <f>+'7 Önk'!G43+'8 PH'!G43+'9 VGIG'!G43+'10 Járób'!G43+'11 Szoci'!G43+'12 Ovi'!G43+'13 Művház'!G43+'14 Könyvt'!G43+'5 Beruh kiad'!F62</f>
        <v>0</v>
      </c>
      <c r="G43" s="13">
        <f>+'7 Önk'!H43+'8 PH'!H43+'9 VGIG'!H43+'10 Járób'!H43+'11 Szoci'!H43+'12 Ovi'!H43+'13 Művház'!H43+'14 Könyvt'!H43+'5 Beruh kiad'!G62</f>
        <v>0</v>
      </c>
      <c r="H43" s="14">
        <f>+F43+G43</f>
        <v>0</v>
      </c>
      <c r="J43" s="21">
        <f t="shared" si="0"/>
        <v>0</v>
      </c>
    </row>
    <row r="44" spans="1:10" x14ac:dyDescent="0.25">
      <c r="A44" s="57" t="s">
        <v>113</v>
      </c>
      <c r="B44" s="43" t="s">
        <v>114</v>
      </c>
      <c r="C44" s="13">
        <f>+'7 Önk'!D44+'8 PH'!D44+'9 VGIG'!D44+'10 Járób'!D44+'11 Szoci'!D44+'12 Ovi'!D44+'13 Művház'!D44+'14 Könyvt'!D44+'5 Beruh kiad'!D65</f>
        <v>20000</v>
      </c>
      <c r="D44" s="13">
        <f>+'7 Önk'!E44+'8 PH'!E44+'9 VGIG'!E44+'10 Járób'!E44+'11 Szoci'!E44+'12 Ovi'!E44+'13 Művház'!E44+'14 Könyvt'!E44+'5 Beruh kiad'!E65</f>
        <v>0</v>
      </c>
      <c r="E44" s="14">
        <f>+C44+D44</f>
        <v>20000</v>
      </c>
      <c r="F44" s="13">
        <f>+'7 Önk'!G44+'8 PH'!G44+'9 VGIG'!G44+'10 Járób'!G44+'11 Szoci'!G44+'12 Ovi'!G44+'13 Művház'!G44+'14 Könyvt'!G44+'5 Beruh kiad'!F65</f>
        <v>20091</v>
      </c>
      <c r="G44" s="13">
        <f>+'7 Önk'!H44+'8 PH'!H44+'9 VGIG'!H44+'10 Járób'!H44+'11 Szoci'!H44+'12 Ovi'!H44+'13 Művház'!H44+'14 Könyvt'!H44+'5 Beruh kiad'!G65</f>
        <v>0</v>
      </c>
      <c r="H44" s="14">
        <f>+F44+G44</f>
        <v>20091</v>
      </c>
      <c r="I44" s="21">
        <v>20091</v>
      </c>
      <c r="J44" s="21">
        <f t="shared" si="0"/>
        <v>0</v>
      </c>
    </row>
    <row r="45" spans="1:10" x14ac:dyDescent="0.25">
      <c r="A45" s="57" t="s">
        <v>115</v>
      </c>
      <c r="B45" s="43" t="s">
        <v>116</v>
      </c>
      <c r="C45" s="13">
        <f>+'7 Önk'!D45+'8 PH'!D45+'9 VGIG'!D45+'10 Járób'!D45+'11 Szoci'!D45+'12 Ovi'!D45+'13 Művház'!D45+'14 Könyvt'!D45+'5 Beruh kiad'!D82</f>
        <v>644839</v>
      </c>
      <c r="D45" s="13">
        <f>+'7 Önk'!E45+'8 PH'!E45+'9 VGIG'!E45+'10 Járób'!E45+'11 Szoci'!E45+'12 Ovi'!E45+'13 Művház'!E45+'14 Könyvt'!E45+'5 Beruh kiad'!E82</f>
        <v>1350</v>
      </c>
      <c r="E45" s="14">
        <f>+C45+D45</f>
        <v>646189</v>
      </c>
      <c r="F45" s="13">
        <f>+'7 Önk'!G45+'8 PH'!G45+'9 VGIG'!G45+'10 Járób'!G45+'11 Szoci'!G45+'12 Ovi'!G45+'13 Művház'!G45+'14 Könyvt'!G45+'5 Beruh kiad'!F82</f>
        <v>120194</v>
      </c>
      <c r="G45" s="13">
        <f>+'7 Önk'!H45+'8 PH'!H45+'9 VGIG'!H45+'10 Járób'!H45+'11 Szoci'!H45+'12 Ovi'!H45+'13 Művház'!H45+'14 Könyvt'!H45+'5 Beruh kiad'!G82</f>
        <v>1350</v>
      </c>
      <c r="H45" s="14">
        <f>+F45+G45</f>
        <v>121544</v>
      </c>
      <c r="I45" s="21">
        <v>121544</v>
      </c>
      <c r="J45" s="21">
        <f t="shared" si="0"/>
        <v>0</v>
      </c>
    </row>
    <row r="46" spans="1:10" s="20" customFormat="1" x14ac:dyDescent="0.25">
      <c r="A46" s="47" t="s">
        <v>117</v>
      </c>
      <c r="B46" s="46" t="s">
        <v>118</v>
      </c>
      <c r="C46" s="14">
        <f t="shared" ref="C46:I46" si="14">SUM(C42:C45)</f>
        <v>3033857</v>
      </c>
      <c r="D46" s="14">
        <f t="shared" si="14"/>
        <v>6350</v>
      </c>
      <c r="E46" s="14">
        <f t="shared" si="14"/>
        <v>3040207</v>
      </c>
      <c r="F46" s="14">
        <f t="shared" si="14"/>
        <v>567081</v>
      </c>
      <c r="G46" s="14">
        <f t="shared" si="14"/>
        <v>6350</v>
      </c>
      <c r="H46" s="14">
        <f t="shared" si="14"/>
        <v>573431</v>
      </c>
      <c r="I46" s="14">
        <f t="shared" si="14"/>
        <v>573431</v>
      </c>
      <c r="J46" s="21">
        <f t="shared" si="0"/>
        <v>0</v>
      </c>
    </row>
    <row r="47" spans="1:10" x14ac:dyDescent="0.25">
      <c r="A47" s="57" t="s">
        <v>119</v>
      </c>
      <c r="B47" s="43" t="s">
        <v>120</v>
      </c>
      <c r="C47" s="13">
        <f>+'7 Önk'!D47+'8 PH'!D47+'9 VGIG'!D47+'10 Járób'!D47+'11 Szoci'!D47+'12 Ovi'!D47+'13 Művház'!D47+'14 Könyvt'!D47</f>
        <v>0</v>
      </c>
      <c r="D47" s="13">
        <f>+'7 Önk'!E47+'8 PH'!E47+'9 VGIG'!E47+'10 Járób'!E47+'11 Szoci'!E47+'12 Ovi'!E47+'13 Művház'!E47+'14 Könyvt'!E47</f>
        <v>0</v>
      </c>
      <c r="E47" s="14">
        <f t="shared" ref="E47:E53" si="15">+C47+D47</f>
        <v>0</v>
      </c>
      <c r="F47" s="13">
        <f>+'7 Önk'!G47+'8 PH'!G47+'9 VGIG'!G47+'10 Járób'!G47+'11 Szoci'!G47+'12 Ovi'!G47+'13 Művház'!G47+'14 Könyvt'!G47</f>
        <v>0</v>
      </c>
      <c r="G47" s="13">
        <f>+'7 Önk'!H47+'8 PH'!H47+'9 VGIG'!H47+'10 Járób'!H47+'11 Szoci'!H47+'12 Ovi'!H47+'13 Művház'!H47+'14 Könyvt'!H47</f>
        <v>0</v>
      </c>
      <c r="H47" s="14">
        <f t="shared" ref="H47:H53" si="16">+F47+G47</f>
        <v>0</v>
      </c>
      <c r="J47" s="21">
        <f t="shared" si="0"/>
        <v>0</v>
      </c>
    </row>
    <row r="48" spans="1:10" x14ac:dyDescent="0.25">
      <c r="A48" s="57" t="s">
        <v>121</v>
      </c>
      <c r="B48" s="43" t="s">
        <v>122</v>
      </c>
      <c r="C48" s="13">
        <f>+'7 Önk'!D48+'8 PH'!D48+'9 VGIG'!D48+'10 Járób'!D48+'11 Szoci'!D48+'12 Ovi'!D48+'13 Művház'!D48+'14 Könyvt'!D48</f>
        <v>0</v>
      </c>
      <c r="D48" s="13">
        <f>+'7 Önk'!E48+'8 PH'!E48+'9 VGIG'!E48+'10 Járób'!E48+'11 Szoci'!E48+'12 Ovi'!E48+'13 Művház'!E48+'14 Könyvt'!E48</f>
        <v>0</v>
      </c>
      <c r="E48" s="14">
        <f t="shared" si="15"/>
        <v>0</v>
      </c>
      <c r="F48" s="13">
        <f>+'7 Önk'!G48+'8 PH'!G48+'9 VGIG'!G48+'10 Járób'!G48+'11 Szoci'!G48+'12 Ovi'!G48+'13 Művház'!G48+'14 Könyvt'!G48</f>
        <v>0</v>
      </c>
      <c r="G48" s="13">
        <f>+'7 Önk'!H48+'8 PH'!H48+'9 VGIG'!H48+'10 Járób'!H48+'11 Szoci'!H48+'12 Ovi'!H48+'13 Művház'!H48+'14 Könyvt'!H48</f>
        <v>0</v>
      </c>
      <c r="H48" s="14">
        <f t="shared" si="16"/>
        <v>0</v>
      </c>
      <c r="J48" s="21">
        <f t="shared" si="0"/>
        <v>0</v>
      </c>
    </row>
    <row r="49" spans="1:11" x14ac:dyDescent="0.25">
      <c r="A49" s="57" t="s">
        <v>123</v>
      </c>
      <c r="B49" s="43" t="s">
        <v>124</v>
      </c>
      <c r="C49" s="13">
        <f>+'7 Önk'!D49+'8 PH'!D49+'9 VGIG'!D49+'10 Járób'!D49+'11 Szoci'!D49+'12 Ovi'!D49+'13 Művház'!D49+'14 Könyvt'!D49</f>
        <v>0</v>
      </c>
      <c r="D49" s="13">
        <f>+'7 Önk'!E49+'8 PH'!E49+'9 VGIG'!E49+'10 Járób'!E49+'11 Szoci'!E49+'12 Ovi'!E49+'13 Művház'!E49+'14 Könyvt'!E49</f>
        <v>0</v>
      </c>
      <c r="E49" s="14">
        <f t="shared" si="15"/>
        <v>0</v>
      </c>
      <c r="F49" s="13">
        <f>+'7 Önk'!G49+'8 PH'!G49+'9 VGIG'!G49+'10 Járób'!G49+'11 Szoci'!G49+'12 Ovi'!G49+'13 Művház'!G49+'14 Könyvt'!G49</f>
        <v>0</v>
      </c>
      <c r="G49" s="13">
        <f>+'7 Önk'!H49+'8 PH'!H49+'9 VGIG'!H49+'10 Járób'!H49+'11 Szoci'!H49+'12 Ovi'!H49+'13 Művház'!H49+'14 Könyvt'!H49</f>
        <v>0</v>
      </c>
      <c r="H49" s="14">
        <f t="shared" si="16"/>
        <v>0</v>
      </c>
      <c r="J49" s="21">
        <f t="shared" si="0"/>
        <v>0</v>
      </c>
    </row>
    <row r="50" spans="1:11" x14ac:dyDescent="0.25">
      <c r="A50" s="57" t="s">
        <v>125</v>
      </c>
      <c r="B50" s="43" t="s">
        <v>126</v>
      </c>
      <c r="C50" s="13">
        <f>+'7 Önk'!D50+'8 PH'!D50+'9 VGIG'!D50+'10 Járób'!D50+'11 Szoci'!D50+'12 Ovi'!D50+'13 Művház'!D50+'14 Könyvt'!D50</f>
        <v>0</v>
      </c>
      <c r="D50" s="13">
        <f>+'7 Önk'!E50+'8 PH'!E50+'9 VGIG'!E50+'10 Járób'!E50+'11 Szoci'!E50+'12 Ovi'!E50+'13 Művház'!E50+'14 Könyvt'!E50</f>
        <v>0</v>
      </c>
      <c r="E50" s="14">
        <f t="shared" si="15"/>
        <v>0</v>
      </c>
      <c r="F50" s="13">
        <f>+'7 Önk'!G50+'8 PH'!G50+'9 VGIG'!G50+'10 Járób'!G50+'11 Szoci'!G50+'12 Ovi'!G50+'13 Művház'!G50+'14 Könyvt'!G50</f>
        <v>0</v>
      </c>
      <c r="G50" s="13">
        <f>+'7 Önk'!H50+'8 PH'!H50+'9 VGIG'!H50+'10 Járób'!H50+'11 Szoci'!H50+'12 Ovi'!H50+'13 Művház'!H50+'14 Könyvt'!H50</f>
        <v>0</v>
      </c>
      <c r="H50" s="14">
        <f t="shared" si="16"/>
        <v>0</v>
      </c>
      <c r="J50" s="21">
        <f t="shared" si="0"/>
        <v>0</v>
      </c>
    </row>
    <row r="51" spans="1:11" x14ac:dyDescent="0.25">
      <c r="A51" s="57" t="s">
        <v>127</v>
      </c>
      <c r="B51" s="43" t="s">
        <v>128</v>
      </c>
      <c r="C51" s="13">
        <f>+'7 Önk'!D51+'8 PH'!D51+'9 VGIG'!D51+'10 Járób'!D51+'11 Szoci'!D51+'12 Ovi'!D51+'13 Művház'!D51+'14 Könyvt'!D51</f>
        <v>0</v>
      </c>
      <c r="D51" s="13">
        <f>+'7 Önk'!E51+'8 PH'!E51+'9 VGIG'!E51+'10 Járób'!E51+'11 Szoci'!E51+'12 Ovi'!E51+'13 Művház'!E51+'14 Könyvt'!E51</f>
        <v>0</v>
      </c>
      <c r="E51" s="14">
        <f t="shared" si="15"/>
        <v>0</v>
      </c>
      <c r="F51" s="13">
        <f>+'7 Önk'!G51+'8 PH'!G51+'9 VGIG'!G51+'10 Járób'!G51+'11 Szoci'!G51+'12 Ovi'!G51+'13 Művház'!G51+'14 Könyvt'!G51</f>
        <v>0</v>
      </c>
      <c r="G51" s="13">
        <f>+'7 Önk'!H51+'8 PH'!H51+'9 VGIG'!H51+'10 Járób'!H51+'11 Szoci'!H51+'12 Ovi'!H51+'13 Művház'!H51+'14 Könyvt'!H51</f>
        <v>0</v>
      </c>
      <c r="H51" s="14">
        <f t="shared" si="16"/>
        <v>0</v>
      </c>
      <c r="J51" s="21">
        <f t="shared" si="0"/>
        <v>0</v>
      </c>
    </row>
    <row r="52" spans="1:11" x14ac:dyDescent="0.25">
      <c r="A52" s="57" t="s">
        <v>129</v>
      </c>
      <c r="B52" s="43" t="s">
        <v>130</v>
      </c>
      <c r="C52" s="13">
        <f>+'7 Önk'!D52+'8 PH'!D52+'9 VGIG'!D52+'10 Járób'!D52+'11 Szoci'!D52+'12 Ovi'!D52+'13 Művház'!D52+'14 Könyvt'!D52</f>
        <v>0</v>
      </c>
      <c r="D52" s="13">
        <f>+'7 Önk'!E52+'8 PH'!E52+'9 VGIG'!E52+'10 Járób'!E52+'11 Szoci'!E52+'12 Ovi'!E52+'13 Művház'!E52+'14 Könyvt'!E52</f>
        <v>0</v>
      </c>
      <c r="E52" s="14">
        <f t="shared" si="15"/>
        <v>0</v>
      </c>
      <c r="F52" s="13">
        <f>+'7 Önk'!G52+'8 PH'!G52+'9 VGIG'!G52+'10 Járób'!G52+'11 Szoci'!G52+'12 Ovi'!G52+'13 Művház'!G52+'14 Könyvt'!G52</f>
        <v>0</v>
      </c>
      <c r="G52" s="13">
        <f>+'7 Önk'!H52+'8 PH'!H52+'9 VGIG'!H52+'10 Járób'!H52+'11 Szoci'!H52+'12 Ovi'!H52+'13 Művház'!H52+'14 Könyvt'!H52</f>
        <v>0</v>
      </c>
      <c r="H52" s="14">
        <f t="shared" si="16"/>
        <v>0</v>
      </c>
      <c r="J52" s="21">
        <f t="shared" si="0"/>
        <v>0</v>
      </c>
    </row>
    <row r="53" spans="1:11" x14ac:dyDescent="0.25">
      <c r="A53" s="57" t="s">
        <v>131</v>
      </c>
      <c r="B53" s="43" t="s">
        <v>132</v>
      </c>
      <c r="C53" s="13">
        <f>+'7 Önk'!D53+'8 PH'!D53+'9 VGIG'!D53+'10 Járób'!D53+'11 Szoci'!D53+'12 Ovi'!D53+'13 Művház'!D53+'14 Könyvt'!D53</f>
        <v>0</v>
      </c>
      <c r="D53" s="13">
        <f>+'7 Önk'!E53+'8 PH'!E53+'9 VGIG'!E53+'10 Járób'!E53+'11 Szoci'!E53+'12 Ovi'!E53+'13 Művház'!E53+'14 Könyvt'!E53</f>
        <v>0</v>
      </c>
      <c r="E53" s="14">
        <f t="shared" si="15"/>
        <v>0</v>
      </c>
      <c r="F53" s="13">
        <f>+'7 Önk'!G53+'8 PH'!G53+'9 VGIG'!G53+'10 Járób'!G53+'11 Szoci'!G53+'12 Ovi'!G53+'13 Művház'!G53+'14 Könyvt'!G53</f>
        <v>0</v>
      </c>
      <c r="G53" s="13">
        <f>+'7 Önk'!H53+'8 PH'!H53+'9 VGIG'!H53+'10 Járób'!H53+'11 Szoci'!H53+'12 Ovi'!H53+'13 Művház'!H53+'14 Könyvt'!H53</f>
        <v>0</v>
      </c>
      <c r="H53" s="14">
        <f t="shared" si="16"/>
        <v>0</v>
      </c>
      <c r="J53" s="21">
        <f t="shared" si="0"/>
        <v>0</v>
      </c>
    </row>
    <row r="54" spans="1:11" hidden="1" x14ac:dyDescent="0.25">
      <c r="A54" s="57" t="s">
        <v>133</v>
      </c>
      <c r="B54" s="43" t="s">
        <v>134</v>
      </c>
      <c r="C54" s="13"/>
      <c r="D54" s="13"/>
      <c r="E54" s="14"/>
      <c r="F54" s="13"/>
      <c r="G54" s="13"/>
      <c r="H54" s="14"/>
      <c r="J54" s="21">
        <f t="shared" si="0"/>
        <v>0</v>
      </c>
    </row>
    <row r="55" spans="1:11" x14ac:dyDescent="0.25">
      <c r="A55" s="57" t="s">
        <v>135</v>
      </c>
      <c r="B55" s="43" t="s">
        <v>136</v>
      </c>
      <c r="C55" s="13">
        <f>+'7 Önk'!D55+'8 PH'!D55+'9 VGIG'!D55+'10 Járób'!D55+'11 Szoci'!D55+'12 Ovi'!D55+'13 Művház'!D55+'14 Könyvt'!D55</f>
        <v>0</v>
      </c>
      <c r="D55" s="13">
        <f>+'7 Önk'!E55+'8 PH'!E55+'9 VGIG'!E55+'10 Járób'!E55+'11 Szoci'!E55+'12 Ovi'!E55+'13 Művház'!E55+'14 Könyvt'!E55</f>
        <v>3000</v>
      </c>
      <c r="E55" s="14">
        <f>+C55+D55</f>
        <v>3000</v>
      </c>
      <c r="F55" s="13">
        <f>+'7 Önk'!G55+'8 PH'!G55+'9 VGIG'!G55+'10 Járób'!G55+'11 Szoci'!G55+'12 Ovi'!G55+'13 Művház'!G55+'14 Könyvt'!G55</f>
        <v>0</v>
      </c>
      <c r="G55" s="13">
        <f>+'7 Önk'!H55+'8 PH'!H55+'9 VGIG'!H55+'10 Járób'!H55+'11 Szoci'!H55+'12 Ovi'!H55+'13 Művház'!H55+'14 Könyvt'!H55</f>
        <v>3000</v>
      </c>
      <c r="H55" s="14">
        <f>+F55+G55</f>
        <v>3000</v>
      </c>
      <c r="I55" s="21">
        <v>3000</v>
      </c>
      <c r="J55" s="21">
        <f t="shared" si="0"/>
        <v>0</v>
      </c>
    </row>
    <row r="56" spans="1:11" s="20" customFormat="1" x14ac:dyDescent="0.25">
      <c r="A56" s="48" t="s">
        <v>137</v>
      </c>
      <c r="B56" s="46" t="s">
        <v>138</v>
      </c>
      <c r="C56" s="14">
        <f t="shared" ref="C56:H56" si="17">SUM(C47:C55)</f>
        <v>0</v>
      </c>
      <c r="D56" s="14">
        <f t="shared" si="17"/>
        <v>3000</v>
      </c>
      <c r="E56" s="14">
        <f t="shared" si="17"/>
        <v>3000</v>
      </c>
      <c r="F56" s="14">
        <f t="shared" si="17"/>
        <v>0</v>
      </c>
      <c r="G56" s="14">
        <f t="shared" si="17"/>
        <v>3000</v>
      </c>
      <c r="H56" s="14">
        <f t="shared" si="17"/>
        <v>3000</v>
      </c>
      <c r="I56" s="14">
        <f t="shared" ref="I56" si="18">SUM(I47:I55)</f>
        <v>3000</v>
      </c>
      <c r="J56" s="21">
        <f t="shared" si="0"/>
        <v>0</v>
      </c>
    </row>
    <row r="57" spans="1:11" x14ac:dyDescent="0.25">
      <c r="A57" s="51" t="s">
        <v>139</v>
      </c>
      <c r="B57" s="52" t="s">
        <v>140</v>
      </c>
      <c r="C57" s="53">
        <f t="shared" ref="C57:H57" si="19">+C56+C46+C41</f>
        <v>3072872</v>
      </c>
      <c r="D57" s="53">
        <f t="shared" si="19"/>
        <v>165301</v>
      </c>
      <c r="E57" s="53">
        <f t="shared" si="19"/>
        <v>3238173</v>
      </c>
      <c r="F57" s="53">
        <f t="shared" si="19"/>
        <v>600441</v>
      </c>
      <c r="G57" s="53">
        <f t="shared" si="19"/>
        <v>64736</v>
      </c>
      <c r="H57" s="53">
        <f t="shared" si="19"/>
        <v>665177</v>
      </c>
      <c r="I57" s="53">
        <f t="shared" ref="I57" si="20">+I56+I46+I41</f>
        <v>665177</v>
      </c>
      <c r="J57" s="21">
        <f t="shared" si="0"/>
        <v>0</v>
      </c>
    </row>
    <row r="58" spans="1:11" x14ac:dyDescent="0.25">
      <c r="A58" s="58" t="s">
        <v>141</v>
      </c>
      <c r="B58" s="59" t="s">
        <v>142</v>
      </c>
      <c r="C58" s="60">
        <f t="shared" ref="C58:H58" si="21">+C56+C46+C41+C32+C17+C16+C10+C9</f>
        <v>5118873</v>
      </c>
      <c r="D58" s="60">
        <f t="shared" si="21"/>
        <v>1827775</v>
      </c>
      <c r="E58" s="60">
        <f t="shared" si="21"/>
        <v>6946648</v>
      </c>
      <c r="F58" s="60">
        <f t="shared" si="21"/>
        <v>2698767</v>
      </c>
      <c r="G58" s="60">
        <f t="shared" si="21"/>
        <v>835972</v>
      </c>
      <c r="H58" s="60">
        <f t="shared" si="21"/>
        <v>3534739</v>
      </c>
      <c r="I58" s="60">
        <f t="shared" ref="I58" si="22">+I56+I46+I41+I32+I17+I16+I10+I9</f>
        <v>3534739</v>
      </c>
      <c r="J58" s="21">
        <f t="shared" si="0"/>
        <v>0</v>
      </c>
    </row>
    <row r="59" spans="1:11" x14ac:dyDescent="0.25">
      <c r="A59" s="57" t="s">
        <v>143</v>
      </c>
      <c r="B59" s="44" t="s">
        <v>144</v>
      </c>
      <c r="C59" s="13">
        <f>+'17 hitelek'!D13</f>
        <v>0</v>
      </c>
      <c r="D59" s="13">
        <f>+'17 hitelek'!E13</f>
        <v>0</v>
      </c>
      <c r="E59" s="14">
        <f>+C59+D59</f>
        <v>0</v>
      </c>
      <c r="F59" s="13">
        <f>+'17 hitelek'!F13</f>
        <v>0</v>
      </c>
      <c r="G59" s="13">
        <f>+'17 hitelek'!G13</f>
        <v>0</v>
      </c>
      <c r="H59" s="14">
        <f>+F59+G59</f>
        <v>0</v>
      </c>
      <c r="J59" s="21">
        <f t="shared" si="0"/>
        <v>0</v>
      </c>
      <c r="K59" s="61"/>
    </row>
    <row r="60" spans="1:11" x14ac:dyDescent="0.25">
      <c r="A60" s="57" t="s">
        <v>145</v>
      </c>
      <c r="B60" s="44" t="s">
        <v>146</v>
      </c>
      <c r="C60" s="13">
        <f>+'17 hitelek'!D16</f>
        <v>0</v>
      </c>
      <c r="D60" s="13">
        <f>+'17 hitelek'!E16</f>
        <v>0</v>
      </c>
      <c r="E60" s="14">
        <f>+C60+D60</f>
        <v>0</v>
      </c>
      <c r="F60" s="13">
        <f>+'17 hitelek'!F16</f>
        <v>0</v>
      </c>
      <c r="G60" s="13">
        <f>+'17 hitelek'!G16</f>
        <v>0</v>
      </c>
      <c r="H60" s="14">
        <f>+F60+G60</f>
        <v>0</v>
      </c>
      <c r="J60" s="21">
        <f t="shared" si="0"/>
        <v>0</v>
      </c>
      <c r="K60" s="61"/>
    </row>
    <row r="61" spans="1:11" x14ac:dyDescent="0.25">
      <c r="A61" s="57" t="s">
        <v>147</v>
      </c>
      <c r="B61" s="44" t="s">
        <v>148</v>
      </c>
      <c r="C61" s="13">
        <f>+'17 hitelek'!D19</f>
        <v>88500</v>
      </c>
      <c r="D61" s="13">
        <f>+'17 hitelek'!E19</f>
        <v>0</v>
      </c>
      <c r="E61" s="14">
        <f>+C61+D61</f>
        <v>88500</v>
      </c>
      <c r="F61" s="13">
        <f>+'17 hitelek'!F19</f>
        <v>88500</v>
      </c>
      <c r="G61" s="13">
        <f>+'17 hitelek'!G19</f>
        <v>0</v>
      </c>
      <c r="H61" s="14">
        <f>+F61+G61</f>
        <v>88500</v>
      </c>
      <c r="I61" s="21">
        <v>88500</v>
      </c>
      <c r="J61" s="21">
        <f t="shared" si="0"/>
        <v>0</v>
      </c>
      <c r="K61" s="61"/>
    </row>
    <row r="62" spans="1:11" x14ac:dyDescent="0.25">
      <c r="A62" s="48" t="s">
        <v>149</v>
      </c>
      <c r="B62" s="47" t="s">
        <v>150</v>
      </c>
      <c r="C62" s="62">
        <f t="shared" ref="C62:I62" si="23">SUM(C59:C61)</f>
        <v>88500</v>
      </c>
      <c r="D62" s="62">
        <f t="shared" si="23"/>
        <v>0</v>
      </c>
      <c r="E62" s="62">
        <f t="shared" si="23"/>
        <v>88500</v>
      </c>
      <c r="F62" s="62">
        <f t="shared" si="23"/>
        <v>88500</v>
      </c>
      <c r="G62" s="62">
        <f t="shared" si="23"/>
        <v>0</v>
      </c>
      <c r="H62" s="62">
        <f t="shared" si="23"/>
        <v>88500</v>
      </c>
      <c r="I62" s="62">
        <f t="shared" si="23"/>
        <v>88500</v>
      </c>
      <c r="J62" s="21">
        <f t="shared" si="0"/>
        <v>0</v>
      </c>
      <c r="K62" s="61"/>
    </row>
    <row r="63" spans="1:11" x14ac:dyDescent="0.25">
      <c r="A63" s="63" t="s">
        <v>151</v>
      </c>
      <c r="B63" s="44" t="s">
        <v>152</v>
      </c>
      <c r="C63" s="64"/>
      <c r="D63" s="64"/>
      <c r="E63" s="14">
        <f t="shared" ref="E63:E69" si="24">+C63+D63</f>
        <v>0</v>
      </c>
      <c r="F63" s="64"/>
      <c r="G63" s="64"/>
      <c r="H63" s="14">
        <f t="shared" ref="H63:H69" si="25">+F63+G63</f>
        <v>0</v>
      </c>
      <c r="J63" s="21">
        <f t="shared" si="0"/>
        <v>0</v>
      </c>
      <c r="K63" s="61"/>
    </row>
    <row r="64" spans="1:11" x14ac:dyDescent="0.25">
      <c r="A64" s="63" t="s">
        <v>153</v>
      </c>
      <c r="B64" s="44" t="s">
        <v>154</v>
      </c>
      <c r="C64" s="13"/>
      <c r="D64" s="13"/>
      <c r="E64" s="14">
        <f t="shared" si="24"/>
        <v>0</v>
      </c>
      <c r="F64" s="13"/>
      <c r="G64" s="13"/>
      <c r="H64" s="14">
        <f t="shared" si="25"/>
        <v>0</v>
      </c>
      <c r="J64" s="21">
        <f t="shared" si="0"/>
        <v>0</v>
      </c>
      <c r="K64" s="61"/>
    </row>
    <row r="65" spans="1:11" x14ac:dyDescent="0.25">
      <c r="A65" s="63" t="s">
        <v>155</v>
      </c>
      <c r="B65" s="44" t="s">
        <v>156</v>
      </c>
      <c r="C65" s="13">
        <f>+'17 hitelek'!D35</f>
        <v>26494</v>
      </c>
      <c r="D65" s="13"/>
      <c r="E65" s="14">
        <f t="shared" si="24"/>
        <v>26494</v>
      </c>
      <c r="F65" s="13">
        <f>+'17 hitelek'!F35</f>
        <v>26494</v>
      </c>
      <c r="G65" s="13"/>
      <c r="H65" s="14">
        <f t="shared" si="25"/>
        <v>26494</v>
      </c>
      <c r="I65" s="21">
        <v>26494</v>
      </c>
      <c r="J65" s="21">
        <f t="shared" si="0"/>
        <v>0</v>
      </c>
      <c r="K65" s="61"/>
    </row>
    <row r="66" spans="1:11" x14ac:dyDescent="0.25">
      <c r="A66" s="63" t="s">
        <v>157</v>
      </c>
      <c r="B66" s="44" t="s">
        <v>158</v>
      </c>
      <c r="C66" s="13"/>
      <c r="D66" s="13"/>
      <c r="E66" s="14">
        <f t="shared" si="24"/>
        <v>0</v>
      </c>
      <c r="F66" s="13"/>
      <c r="G66" s="13"/>
      <c r="H66" s="14">
        <f t="shared" si="25"/>
        <v>0</v>
      </c>
      <c r="J66" s="21">
        <f t="shared" si="0"/>
        <v>0</v>
      </c>
      <c r="K66" s="61"/>
    </row>
    <row r="67" spans="1:11" x14ac:dyDescent="0.25">
      <c r="A67" s="63" t="s">
        <v>159</v>
      </c>
      <c r="B67" s="44" t="s">
        <v>160</v>
      </c>
      <c r="C67" s="13"/>
      <c r="D67" s="13"/>
      <c r="E67" s="14">
        <f t="shared" si="24"/>
        <v>0</v>
      </c>
      <c r="F67" s="13"/>
      <c r="G67" s="13"/>
      <c r="H67" s="14">
        <f t="shared" si="25"/>
        <v>0</v>
      </c>
      <c r="J67" s="21">
        <f t="shared" si="0"/>
        <v>0</v>
      </c>
      <c r="K67" s="61"/>
    </row>
    <row r="68" spans="1:11" x14ac:dyDescent="0.25">
      <c r="A68" s="63" t="s">
        <v>161</v>
      </c>
      <c r="B68" s="44" t="s">
        <v>162</v>
      </c>
      <c r="C68" s="13"/>
      <c r="D68" s="13"/>
      <c r="E68" s="14">
        <f t="shared" si="24"/>
        <v>0</v>
      </c>
      <c r="F68" s="13"/>
      <c r="G68" s="13"/>
      <c r="H68" s="14">
        <f t="shared" si="25"/>
        <v>0</v>
      </c>
      <c r="J68" s="21">
        <f t="shared" si="0"/>
        <v>0</v>
      </c>
      <c r="K68" s="61"/>
    </row>
    <row r="69" spans="1:11" x14ac:dyDescent="0.25">
      <c r="A69" s="63" t="s">
        <v>163</v>
      </c>
      <c r="B69" s="44" t="s">
        <v>164</v>
      </c>
      <c r="C69" s="13"/>
      <c r="D69" s="13"/>
      <c r="E69" s="14">
        <f t="shared" si="24"/>
        <v>0</v>
      </c>
      <c r="F69" s="13"/>
      <c r="G69" s="13"/>
      <c r="H69" s="14">
        <f t="shared" si="25"/>
        <v>0</v>
      </c>
      <c r="J69" s="21">
        <f t="shared" si="0"/>
        <v>0</v>
      </c>
      <c r="K69" s="61"/>
    </row>
    <row r="70" spans="1:11" x14ac:dyDescent="0.25">
      <c r="A70" s="63" t="s">
        <v>165</v>
      </c>
      <c r="B70" s="44" t="s">
        <v>166</v>
      </c>
      <c r="C70" s="13"/>
      <c r="D70" s="13"/>
      <c r="E70" s="14"/>
      <c r="F70" s="13"/>
      <c r="G70" s="13"/>
      <c r="H70" s="14"/>
      <c r="J70" s="21">
        <f t="shared" si="0"/>
        <v>0</v>
      </c>
      <c r="K70" s="61"/>
    </row>
    <row r="71" spans="1:11" x14ac:dyDescent="0.25">
      <c r="A71" s="65" t="s">
        <v>167</v>
      </c>
      <c r="B71" s="47" t="s">
        <v>168</v>
      </c>
      <c r="C71" s="64">
        <f t="shared" ref="C71:H71" si="26">+C69+C68+C67+C66+C65+C64+C63+C62</f>
        <v>114994</v>
      </c>
      <c r="D71" s="64">
        <f t="shared" si="26"/>
        <v>0</v>
      </c>
      <c r="E71" s="64">
        <f t="shared" si="26"/>
        <v>114994</v>
      </c>
      <c r="F71" s="64">
        <f t="shared" si="26"/>
        <v>114994</v>
      </c>
      <c r="G71" s="64">
        <f t="shared" si="26"/>
        <v>0</v>
      </c>
      <c r="H71" s="64">
        <f t="shared" si="26"/>
        <v>114994</v>
      </c>
      <c r="I71" s="64">
        <f t="shared" ref="I71" si="27">+I69+I68+I67+I66+I65+I64+I63+I62</f>
        <v>114994</v>
      </c>
      <c r="J71" s="21">
        <f t="shared" si="0"/>
        <v>0</v>
      </c>
      <c r="K71" s="61"/>
    </row>
    <row r="72" spans="1:11" hidden="1" x14ac:dyDescent="0.25">
      <c r="A72" s="63" t="s">
        <v>169</v>
      </c>
      <c r="B72" s="44" t="s">
        <v>170</v>
      </c>
      <c r="C72" s="13">
        <f>+'7 Önk'!D60+'8 PH'!D60+'9 VGIG'!D60+'10 Járób'!D60+'11 Szoci'!D60+'12 Ovi'!D60+'13 Művház'!D60+'14 Könyvt'!D60</f>
        <v>0</v>
      </c>
      <c r="D72" s="13">
        <f>+'7 Önk'!E60+'8 PH'!E60+'9 VGIG'!E60+'10 Járób'!E60+'11 Szoci'!E60+'12 Ovi'!E60+'13 Művház'!E60+'14 Könyvt'!E60</f>
        <v>0</v>
      </c>
      <c r="E72" s="14">
        <f>+C72+D72</f>
        <v>0</v>
      </c>
      <c r="F72" s="13">
        <f>+'7 Önk'!G60+'8 PH'!G60+'9 VGIG'!G60+'10 Járób'!G60+'11 Szoci'!G60+'12 Ovi'!G60+'13 Művház'!G60+'14 Könyvt'!G60</f>
        <v>0</v>
      </c>
      <c r="G72" s="13">
        <f>+'7 Önk'!H60+'8 PH'!H60+'9 VGIG'!H60+'10 Járób'!H60+'11 Szoci'!H60+'12 Ovi'!H60+'13 Művház'!H60+'14 Könyvt'!H60</f>
        <v>0</v>
      </c>
      <c r="H72" s="14">
        <f>+F72+G72</f>
        <v>0</v>
      </c>
      <c r="I72" s="14">
        <f>+G72+H72</f>
        <v>0</v>
      </c>
      <c r="J72" s="21">
        <f t="shared" ref="J72:J135" si="28">+H72-I72</f>
        <v>0</v>
      </c>
      <c r="K72" s="61"/>
    </row>
    <row r="73" spans="1:11" hidden="1" x14ac:dyDescent="0.25">
      <c r="A73" s="57" t="s">
        <v>171</v>
      </c>
      <c r="B73" s="44" t="s">
        <v>172</v>
      </c>
      <c r="C73" s="13">
        <f>+'7 Önk'!D61+'8 PH'!D61+'9 VGIG'!D61+'10 Járób'!D61+'11 Szoci'!D61+'12 Ovi'!D61+'13 Művház'!D61+'14 Könyvt'!D61</f>
        <v>0</v>
      </c>
      <c r="D73" s="13">
        <f>+'7 Önk'!E61+'8 PH'!E61+'9 VGIG'!E61+'10 Járób'!E61+'11 Szoci'!E61+'12 Ovi'!E61+'13 Művház'!E61+'14 Könyvt'!E61</f>
        <v>0</v>
      </c>
      <c r="E73" s="14">
        <f>+C73+D73</f>
        <v>0</v>
      </c>
      <c r="F73" s="13">
        <f>+'7 Önk'!G61+'8 PH'!G61+'9 VGIG'!G61+'10 Járób'!G61+'11 Szoci'!G61+'12 Ovi'!G61+'13 Művház'!G61+'14 Könyvt'!G61</f>
        <v>0</v>
      </c>
      <c r="G73" s="13">
        <f>+'7 Önk'!H61+'8 PH'!H61+'9 VGIG'!H61+'10 Járób'!H61+'11 Szoci'!H61+'12 Ovi'!H61+'13 Művház'!H61+'14 Könyvt'!H61</f>
        <v>0</v>
      </c>
      <c r="H73" s="14">
        <f>+F73+G73</f>
        <v>0</v>
      </c>
      <c r="I73" s="14">
        <f>+G73+H73</f>
        <v>0</v>
      </c>
      <c r="J73" s="21">
        <f t="shared" si="28"/>
        <v>0</v>
      </c>
      <c r="K73" s="61"/>
    </row>
    <row r="74" spans="1:11" hidden="1" x14ac:dyDescent="0.25">
      <c r="A74" s="57" t="s">
        <v>173</v>
      </c>
      <c r="B74" s="44" t="s">
        <v>174</v>
      </c>
      <c r="C74" s="13"/>
      <c r="D74" s="13"/>
      <c r="E74" s="14"/>
      <c r="F74" s="13"/>
      <c r="G74" s="13"/>
      <c r="H74" s="14"/>
      <c r="I74" s="14"/>
      <c r="J74" s="21">
        <f t="shared" si="28"/>
        <v>0</v>
      </c>
      <c r="K74" s="61"/>
    </row>
    <row r="75" spans="1:11" x14ac:dyDescent="0.25">
      <c r="A75" s="66" t="s">
        <v>175</v>
      </c>
      <c r="B75" s="67" t="s">
        <v>176</v>
      </c>
      <c r="C75" s="68">
        <f t="shared" ref="C75:H75" si="29">+C73+C72+C71+C74</f>
        <v>114994</v>
      </c>
      <c r="D75" s="68">
        <f t="shared" si="29"/>
        <v>0</v>
      </c>
      <c r="E75" s="68">
        <f t="shared" si="29"/>
        <v>114994</v>
      </c>
      <c r="F75" s="68">
        <f t="shared" si="29"/>
        <v>114994</v>
      </c>
      <c r="G75" s="68">
        <f t="shared" si="29"/>
        <v>0</v>
      </c>
      <c r="H75" s="68">
        <f t="shared" si="29"/>
        <v>114994</v>
      </c>
      <c r="I75" s="68">
        <f t="shared" ref="I75" si="30">+I73+I72+I71+I74</f>
        <v>114994</v>
      </c>
      <c r="J75" s="21">
        <f t="shared" si="28"/>
        <v>0</v>
      </c>
      <c r="K75" s="61"/>
    </row>
    <row r="76" spans="1:11" x14ac:dyDescent="0.25">
      <c r="A76" s="17" t="s">
        <v>177</v>
      </c>
      <c r="B76" s="17" t="s">
        <v>178</v>
      </c>
      <c r="C76" s="18">
        <f t="shared" ref="C76:H76" si="31">+C58+C75</f>
        <v>5233867</v>
      </c>
      <c r="D76" s="18">
        <f t="shared" si="31"/>
        <v>1827775</v>
      </c>
      <c r="E76" s="18">
        <f t="shared" si="31"/>
        <v>7061642</v>
      </c>
      <c r="F76" s="18">
        <f t="shared" si="31"/>
        <v>2813761</v>
      </c>
      <c r="G76" s="18">
        <f t="shared" si="31"/>
        <v>835972</v>
      </c>
      <c r="H76" s="18">
        <f t="shared" si="31"/>
        <v>3649733</v>
      </c>
      <c r="I76" s="18">
        <f t="shared" ref="I76" si="32">+I58+I75</f>
        <v>3649733</v>
      </c>
      <c r="J76" s="21">
        <f t="shared" si="28"/>
        <v>0</v>
      </c>
      <c r="K76" s="61"/>
    </row>
    <row r="77" spans="1:11" x14ac:dyDescent="0.25">
      <c r="A77" s="2"/>
      <c r="B77" s="69"/>
      <c r="C77" s="70"/>
      <c r="D77" s="70"/>
      <c r="E77" s="71"/>
      <c r="F77" s="70"/>
      <c r="G77" s="70"/>
      <c r="H77" s="71"/>
      <c r="K77" s="61"/>
    </row>
    <row r="78" spans="1:11" ht="15.75" hidden="1" customHeight="1" x14ac:dyDescent="0.25">
      <c r="A78" s="2"/>
      <c r="B78" s="69"/>
      <c r="C78" s="318" t="s">
        <v>11</v>
      </c>
      <c r="D78" s="318"/>
      <c r="E78" s="318"/>
      <c r="F78" s="318" t="s">
        <v>11</v>
      </c>
      <c r="G78" s="318"/>
      <c r="H78" s="318"/>
      <c r="K78" s="61"/>
    </row>
    <row r="79" spans="1:11" ht="47.25" x14ac:dyDescent="0.25">
      <c r="A79" s="8" t="s">
        <v>12</v>
      </c>
      <c r="B79" s="37" t="s">
        <v>179</v>
      </c>
      <c r="C79" s="40" t="s">
        <v>13</v>
      </c>
      <c r="D79" s="40" t="s">
        <v>14</v>
      </c>
      <c r="E79" s="41" t="s">
        <v>15</v>
      </c>
      <c r="F79" s="40" t="s">
        <v>13</v>
      </c>
      <c r="G79" s="40" t="s">
        <v>14</v>
      </c>
      <c r="H79" s="41" t="s">
        <v>15</v>
      </c>
      <c r="K79" s="61"/>
    </row>
    <row r="80" spans="1:11" x14ac:dyDescent="0.25">
      <c r="A80" s="42" t="s">
        <v>180</v>
      </c>
      <c r="B80" s="55" t="s">
        <v>181</v>
      </c>
      <c r="C80" s="13">
        <f>+'3 Adók és tám'!D51</f>
        <v>242063</v>
      </c>
      <c r="D80" s="13"/>
      <c r="E80" s="14">
        <f t="shared" ref="E80:E85" si="33">+D80+C80</f>
        <v>242063</v>
      </c>
      <c r="F80" s="13">
        <f>+'3 Adók és tám'!E51</f>
        <v>189754</v>
      </c>
      <c r="G80" s="13"/>
      <c r="H80" s="14">
        <f t="shared" ref="H80:H85" si="34">+G80+F80</f>
        <v>189754</v>
      </c>
      <c r="I80" s="21">
        <v>189754</v>
      </c>
      <c r="J80" s="21">
        <f t="shared" si="28"/>
        <v>0</v>
      </c>
      <c r="K80" s="61"/>
    </row>
    <row r="81" spans="1:11" x14ac:dyDescent="0.25">
      <c r="A81" s="44" t="s">
        <v>182</v>
      </c>
      <c r="B81" s="55" t="s">
        <v>183</v>
      </c>
      <c r="C81" s="13">
        <f>+'3 Adók és tám'!D58</f>
        <v>178384</v>
      </c>
      <c r="D81" s="13"/>
      <c r="E81" s="14">
        <f t="shared" si="33"/>
        <v>178384</v>
      </c>
      <c r="F81" s="13">
        <f>+'3 Adók és tám'!E58</f>
        <v>184639</v>
      </c>
      <c r="G81" s="13"/>
      <c r="H81" s="14">
        <f t="shared" si="34"/>
        <v>184639</v>
      </c>
      <c r="I81" s="21">
        <v>184639</v>
      </c>
      <c r="J81" s="21">
        <f t="shared" si="28"/>
        <v>0</v>
      </c>
      <c r="K81" s="61"/>
    </row>
    <row r="82" spans="1:11" x14ac:dyDescent="0.25">
      <c r="A82" s="44" t="s">
        <v>184</v>
      </c>
      <c r="B82" s="55" t="s">
        <v>185</v>
      </c>
      <c r="C82" s="13">
        <f>+'3 Adók és tám'!D74</f>
        <v>451825</v>
      </c>
      <c r="D82" s="13"/>
      <c r="E82" s="14">
        <f t="shared" si="33"/>
        <v>451825</v>
      </c>
      <c r="F82" s="13">
        <f>+'3 Adók és tám'!E74</f>
        <v>505549</v>
      </c>
      <c r="G82" s="13"/>
      <c r="H82" s="14">
        <f t="shared" si="34"/>
        <v>505549</v>
      </c>
      <c r="I82" s="21">
        <v>505549</v>
      </c>
      <c r="J82" s="21">
        <f t="shared" si="28"/>
        <v>0</v>
      </c>
      <c r="K82" s="61"/>
    </row>
    <row r="83" spans="1:11" x14ac:dyDescent="0.25">
      <c r="A83" s="44" t="s">
        <v>186</v>
      </c>
      <c r="B83" s="55" t="s">
        <v>187</v>
      </c>
      <c r="C83" s="13">
        <f>+'3 Adók és tám'!D78</f>
        <v>16412</v>
      </c>
      <c r="D83" s="13"/>
      <c r="E83" s="14">
        <f t="shared" si="33"/>
        <v>16412</v>
      </c>
      <c r="F83" s="13">
        <f>+'3 Adók és tám'!E78</f>
        <v>17421</v>
      </c>
      <c r="G83" s="13"/>
      <c r="H83" s="14">
        <f t="shared" si="34"/>
        <v>17421</v>
      </c>
      <c r="I83" s="21">
        <v>17421</v>
      </c>
      <c r="J83" s="21">
        <f t="shared" si="28"/>
        <v>0</v>
      </c>
      <c r="K83" s="61"/>
    </row>
    <row r="84" spans="1:11" x14ac:dyDescent="0.25">
      <c r="A84" s="44" t="s">
        <v>188</v>
      </c>
      <c r="B84" s="55" t="s">
        <v>189</v>
      </c>
      <c r="C84" s="13">
        <f>+'3 Adók és tám'!D86</f>
        <v>215137</v>
      </c>
      <c r="D84" s="13"/>
      <c r="E84" s="14">
        <f t="shared" si="33"/>
        <v>215137</v>
      </c>
      <c r="F84" s="13">
        <f>+'3 Adók és tám'!E86</f>
        <v>111629</v>
      </c>
      <c r="G84" s="13"/>
      <c r="H84" s="14">
        <f t="shared" si="34"/>
        <v>111629</v>
      </c>
      <c r="I84" s="21">
        <v>111629</v>
      </c>
      <c r="J84" s="21">
        <f t="shared" si="28"/>
        <v>0</v>
      </c>
      <c r="K84" s="61"/>
    </row>
    <row r="85" spans="1:11" x14ac:dyDescent="0.25">
      <c r="A85" s="44" t="s">
        <v>190</v>
      </c>
      <c r="B85" s="55" t="s">
        <v>191</v>
      </c>
      <c r="C85" s="13">
        <f>+'3 Adók és tám'!D88</f>
        <v>0</v>
      </c>
      <c r="D85" s="13"/>
      <c r="E85" s="14">
        <f t="shared" si="33"/>
        <v>0</v>
      </c>
      <c r="F85" s="13">
        <f>+'3 Adók és tám'!E88</f>
        <v>0</v>
      </c>
      <c r="G85" s="13"/>
      <c r="H85" s="14">
        <f t="shared" si="34"/>
        <v>0</v>
      </c>
      <c r="J85" s="21">
        <f t="shared" si="28"/>
        <v>0</v>
      </c>
      <c r="K85" s="61"/>
    </row>
    <row r="86" spans="1:11" x14ac:dyDescent="0.25">
      <c r="A86" s="47" t="s">
        <v>192</v>
      </c>
      <c r="B86" s="56" t="s">
        <v>193</v>
      </c>
      <c r="C86" s="14">
        <f t="shared" ref="C86:I86" si="35">SUM(C80:C85)</f>
        <v>1103821</v>
      </c>
      <c r="D86" s="14">
        <f t="shared" si="35"/>
        <v>0</v>
      </c>
      <c r="E86" s="14">
        <f t="shared" si="35"/>
        <v>1103821</v>
      </c>
      <c r="F86" s="14">
        <f t="shared" si="35"/>
        <v>1008992</v>
      </c>
      <c r="G86" s="14">
        <f t="shared" si="35"/>
        <v>0</v>
      </c>
      <c r="H86" s="14">
        <f t="shared" si="35"/>
        <v>1008992</v>
      </c>
      <c r="I86" s="14">
        <f t="shared" si="35"/>
        <v>1008992</v>
      </c>
      <c r="J86" s="21">
        <f t="shared" si="28"/>
        <v>0</v>
      </c>
      <c r="K86" s="61"/>
    </row>
    <row r="87" spans="1:11" x14ac:dyDescent="0.25">
      <c r="A87" s="44" t="s">
        <v>194</v>
      </c>
      <c r="B87" s="55" t="s">
        <v>195</v>
      </c>
      <c r="C87" s="13">
        <f>+'7 Önk'!D69+'8 PH'!D69+'9 VGIG'!D69+'10 Járób'!D69+'11 Szoci'!D69+'12 Ovi'!D69+'13 Művház'!D69+'14 Könyvt'!D69</f>
        <v>0</v>
      </c>
      <c r="D87" s="13">
        <f>+'7 Önk'!E69+'8 PH'!E69+'9 VGIG'!E69+'10 Járób'!E69+'11 Szoci'!E69+'12 Ovi'!E69+'13 Művház'!E69+'14 Könyvt'!E69</f>
        <v>0</v>
      </c>
      <c r="E87" s="14">
        <f>+D87+C87</f>
        <v>0</v>
      </c>
      <c r="F87" s="13">
        <f>+'7 Önk'!G69+'8 PH'!G69+'9 VGIG'!G69+'10 Járób'!G69+'11 Szoci'!G69+'12 Ovi'!G69+'13 Művház'!G69+'14 Könyvt'!G69</f>
        <v>0</v>
      </c>
      <c r="G87" s="13">
        <f>+'7 Önk'!H69+'8 PH'!H69+'9 VGIG'!H69+'10 Járób'!H69+'11 Szoci'!H69+'12 Ovi'!H69+'13 Művház'!H69+'14 Könyvt'!H69</f>
        <v>0</v>
      </c>
      <c r="H87" s="14">
        <f>+G87+F87</f>
        <v>0</v>
      </c>
      <c r="J87" s="21">
        <f t="shared" si="28"/>
        <v>0</v>
      </c>
      <c r="K87" s="61"/>
    </row>
    <row r="88" spans="1:11" x14ac:dyDescent="0.25">
      <c r="A88" s="44" t="s">
        <v>196</v>
      </c>
      <c r="B88" s="55" t="s">
        <v>197</v>
      </c>
      <c r="C88" s="13">
        <f>+'7 Önk'!D70+'8 PH'!D70+'9 VGIG'!D70+'10 Járób'!D70+'11 Szoci'!D70+'12 Ovi'!D70+'13 Művház'!D70+'14 Könyvt'!D70</f>
        <v>0</v>
      </c>
      <c r="D88" s="13">
        <f>+'7 Önk'!E70+'8 PH'!E70+'9 VGIG'!E70+'10 Járób'!E70+'11 Szoci'!E70+'12 Ovi'!E70+'13 Művház'!E70+'14 Könyvt'!E70</f>
        <v>0</v>
      </c>
      <c r="E88" s="14">
        <f>+D88+C88</f>
        <v>0</v>
      </c>
      <c r="F88" s="13">
        <f>+'7 Önk'!G70+'8 PH'!G70+'9 VGIG'!G70+'10 Járób'!G70+'11 Szoci'!G70+'12 Ovi'!G70+'13 Művház'!G70+'14 Könyvt'!G70</f>
        <v>0</v>
      </c>
      <c r="G88" s="13">
        <f>+'7 Önk'!H70+'8 PH'!H70+'9 VGIG'!H70+'10 Járób'!H70+'11 Szoci'!H70+'12 Ovi'!H70+'13 Művház'!H70+'14 Könyvt'!H70</f>
        <v>0</v>
      </c>
      <c r="H88" s="14">
        <f>+G88+F88</f>
        <v>0</v>
      </c>
      <c r="J88" s="21">
        <f t="shared" si="28"/>
        <v>0</v>
      </c>
      <c r="K88" s="61"/>
    </row>
    <row r="89" spans="1:11" x14ac:dyDescent="0.25">
      <c r="A89" s="44" t="s">
        <v>198</v>
      </c>
      <c r="B89" s="55" t="s">
        <v>199</v>
      </c>
      <c r="C89" s="13">
        <f>+'7 Önk'!D71+'8 PH'!D71+'9 VGIG'!D71+'10 Járób'!D71+'11 Szoci'!D71+'12 Ovi'!D71+'13 Művház'!D71+'14 Könyvt'!D71</f>
        <v>0</v>
      </c>
      <c r="D89" s="13">
        <f>+'7 Önk'!E71+'8 PH'!E71+'9 VGIG'!E71+'10 Járób'!E71+'11 Szoci'!E71+'12 Ovi'!E71+'13 Művház'!E71+'14 Könyvt'!E71</f>
        <v>0</v>
      </c>
      <c r="E89" s="14">
        <f>+D89+C89</f>
        <v>0</v>
      </c>
      <c r="F89" s="13">
        <f>+'7 Önk'!G71+'8 PH'!G71+'9 VGIG'!G71+'10 Járób'!G71+'11 Szoci'!G71+'12 Ovi'!G71+'13 Művház'!G71+'14 Könyvt'!G71</f>
        <v>0</v>
      </c>
      <c r="G89" s="13">
        <f>+'7 Önk'!H71+'8 PH'!H71+'9 VGIG'!H71+'10 Járób'!H71+'11 Szoci'!H71+'12 Ovi'!H71+'13 Művház'!H71+'14 Könyvt'!H71</f>
        <v>0</v>
      </c>
      <c r="H89" s="14">
        <f>+G89+F89</f>
        <v>0</v>
      </c>
      <c r="J89" s="21">
        <f t="shared" si="28"/>
        <v>0</v>
      </c>
      <c r="K89" s="61"/>
    </row>
    <row r="90" spans="1:11" x14ac:dyDescent="0.25">
      <c r="A90" s="44" t="s">
        <v>200</v>
      </c>
      <c r="B90" s="55" t="s">
        <v>201</v>
      </c>
      <c r="C90" s="13">
        <f>+'7 Önk'!D72+'8 PH'!D72+'9 VGIG'!D72+'10 Járób'!D72+'11 Szoci'!D72+'12 Ovi'!D72+'13 Művház'!D72+'14 Könyvt'!D72</f>
        <v>0</v>
      </c>
      <c r="D90" s="13">
        <f>+'7 Önk'!E72+'8 PH'!E72+'9 VGIG'!E72+'10 Járób'!E72+'11 Szoci'!E72+'12 Ovi'!E72+'13 Művház'!E72+'14 Könyvt'!E72</f>
        <v>0</v>
      </c>
      <c r="E90" s="14">
        <f>+D90+C90</f>
        <v>0</v>
      </c>
      <c r="F90" s="13">
        <f>+'7 Önk'!G72+'8 PH'!G72+'9 VGIG'!G72+'10 Járób'!G72+'11 Szoci'!G72+'12 Ovi'!G72+'13 Művház'!G72+'14 Könyvt'!G72</f>
        <v>0</v>
      </c>
      <c r="G90" s="13">
        <f>+'7 Önk'!H72+'8 PH'!H72+'9 VGIG'!H72+'10 Járób'!H72+'11 Szoci'!H72+'12 Ovi'!H72+'13 Művház'!H72+'14 Könyvt'!H72</f>
        <v>0</v>
      </c>
      <c r="H90" s="14">
        <f>+G90+F90</f>
        <v>0</v>
      </c>
      <c r="J90" s="21">
        <f t="shared" si="28"/>
        <v>0</v>
      </c>
      <c r="K90" s="61"/>
    </row>
    <row r="91" spans="1:11" x14ac:dyDescent="0.25">
      <c r="A91" s="44" t="s">
        <v>202</v>
      </c>
      <c r="B91" s="55" t="s">
        <v>203</v>
      </c>
      <c r="C91" s="13">
        <f>+'7 Önk'!D73+'8 PH'!D73+'9 VGIG'!D73+'10 Járób'!D73+'11 Szoci'!D73+'12 Ovi'!D73+'13 Művház'!D73+'14 Könyvt'!D73+'4 Átvett és Felh bev'!D28</f>
        <v>246685</v>
      </c>
      <c r="D91" s="13">
        <f>+'7 Önk'!E73+'8 PH'!E73+'9 VGIG'!E73+'10 Járób'!E73+'11 Szoci'!E73+'12 Ovi'!E73+'13 Művház'!E73+'14 Könyvt'!E73+'4 Átvett és Felh bev'!E28</f>
        <v>1276195</v>
      </c>
      <c r="E91" s="14">
        <f>+D91+C91</f>
        <v>1522880</v>
      </c>
      <c r="F91" s="13">
        <f>+'7 Önk'!G73+'8 PH'!G73+'9 VGIG'!G73+'10 Járób'!G73+'11 Szoci'!G73+'12 Ovi'!G73+'13 Művház'!G73+'14 Könyvt'!G73+'4 Átvett és Felh bev'!F28</f>
        <v>243912</v>
      </c>
      <c r="G91" s="13">
        <f>+'7 Önk'!H73+'8 PH'!H73+'9 VGIG'!H73+'10 Járób'!H73+'11 Szoci'!H73+'12 Ovi'!H73+'13 Művház'!H73+'14 Könyvt'!H73+'4 Átvett és Felh bev'!G28</f>
        <v>544876</v>
      </c>
      <c r="H91" s="14">
        <f>+G91+F91</f>
        <v>788788</v>
      </c>
      <c r="I91" s="21">
        <v>788788</v>
      </c>
      <c r="J91" s="21">
        <f t="shared" si="28"/>
        <v>0</v>
      </c>
      <c r="K91" s="61"/>
    </row>
    <row r="92" spans="1:11" x14ac:dyDescent="0.25">
      <c r="A92" s="47" t="s">
        <v>204</v>
      </c>
      <c r="B92" s="56" t="s">
        <v>205</v>
      </c>
      <c r="C92" s="14">
        <f t="shared" ref="C92:I92" si="36">+C91+C90+C89+C88+C87+C86</f>
        <v>1350506</v>
      </c>
      <c r="D92" s="14">
        <f t="shared" si="36"/>
        <v>1276195</v>
      </c>
      <c r="E92" s="14">
        <f t="shared" si="36"/>
        <v>2626701</v>
      </c>
      <c r="F92" s="14">
        <f t="shared" si="36"/>
        <v>1252904</v>
      </c>
      <c r="G92" s="14">
        <f t="shared" si="36"/>
        <v>544876</v>
      </c>
      <c r="H92" s="14">
        <f t="shared" si="36"/>
        <v>1797780</v>
      </c>
      <c r="I92" s="14">
        <f t="shared" si="36"/>
        <v>1797780</v>
      </c>
      <c r="J92" s="21">
        <f t="shared" si="28"/>
        <v>0</v>
      </c>
      <c r="K92" s="61"/>
    </row>
    <row r="93" spans="1:11" x14ac:dyDescent="0.25">
      <c r="A93" s="47" t="s">
        <v>206</v>
      </c>
      <c r="B93" s="56" t="s">
        <v>207</v>
      </c>
      <c r="C93" s="14">
        <f>+'7 Önk'!D75+'8 PH'!D75+'9 VGIG'!D75+'10 Járób'!D75+'11 Szoci'!D75+'12 Ovi'!D75+'13 Művház'!D75+'14 Könyvt'!D75+'4 Átvett és Felh bev'!D61</f>
        <v>3094159</v>
      </c>
      <c r="D93" s="14">
        <f>+'7 Önk'!E75+'8 PH'!E75+'9 VGIG'!E75+'10 Járób'!E75+'11 Szoci'!E75+'12 Ovi'!E75+'13 Művház'!E75+'14 Könyvt'!E75+'4 Átvett és Felh bev'!E61</f>
        <v>144623</v>
      </c>
      <c r="E93" s="14">
        <f t="shared" ref="E93:E99" si="37">+D93+C93</f>
        <v>3238782</v>
      </c>
      <c r="F93" s="14">
        <f>+'7 Önk'!G75+'8 PH'!G75+'9 VGIG'!G75+'10 Járób'!G75+'11 Szoci'!G75+'12 Ovi'!G75+'13 Művház'!G75+'14 Könyvt'!G75+'4 Átvett és Felh bev'!F61</f>
        <v>637611</v>
      </c>
      <c r="G93" s="14">
        <f>+'7 Önk'!H75+'8 PH'!H75+'9 VGIG'!H75+'10 Járób'!H75+'11 Szoci'!H75+'12 Ovi'!H75+'13 Művház'!H75+'14 Könyvt'!H75+'4 Átvett és Felh bev'!G61</f>
        <v>0</v>
      </c>
      <c r="H93" s="14">
        <f t="shared" ref="H93:H99" si="38">+G93+F93</f>
        <v>637611</v>
      </c>
      <c r="I93" s="21">
        <v>637611</v>
      </c>
      <c r="J93" s="21">
        <f t="shared" si="28"/>
        <v>0</v>
      </c>
      <c r="K93" s="61"/>
    </row>
    <row r="94" spans="1:11" x14ac:dyDescent="0.25">
      <c r="A94" s="44" t="s">
        <v>208</v>
      </c>
      <c r="B94" s="55" t="s">
        <v>209</v>
      </c>
      <c r="C94" s="13">
        <f>+'7 Önk'!D76+'8 PH'!D76+'9 VGIG'!D76+'10 Járób'!D76+'11 Szoci'!D76+'12 Ovi'!D76+'13 Művház'!D76+'14 Könyvt'!D76</f>
        <v>0</v>
      </c>
      <c r="D94" s="13">
        <f>+'7 Önk'!E76+'8 PH'!E76+'9 VGIG'!E76+'10 Járób'!E76+'11 Szoci'!E76+'12 Ovi'!E76+'13 Művház'!E76+'14 Könyvt'!E76</f>
        <v>0</v>
      </c>
      <c r="E94" s="14">
        <f t="shared" si="37"/>
        <v>0</v>
      </c>
      <c r="F94" s="13">
        <f>+'7 Önk'!G76+'8 PH'!G76+'9 VGIG'!G76+'10 Járób'!G76+'11 Szoci'!G76+'12 Ovi'!G76+'13 Művház'!G76+'14 Könyvt'!G76</f>
        <v>0</v>
      </c>
      <c r="G94" s="13">
        <f>+'7 Önk'!H76+'8 PH'!H76+'9 VGIG'!H76+'10 Járób'!H76+'11 Szoci'!H76+'12 Ovi'!H76+'13 Művház'!H76+'14 Könyvt'!H76</f>
        <v>0</v>
      </c>
      <c r="H94" s="14">
        <f t="shared" si="38"/>
        <v>0</v>
      </c>
      <c r="J94" s="21">
        <f t="shared" si="28"/>
        <v>0</v>
      </c>
      <c r="K94" s="61"/>
    </row>
    <row r="95" spans="1:11" x14ac:dyDescent="0.25">
      <c r="A95" s="44" t="s">
        <v>210</v>
      </c>
      <c r="B95" s="55" t="s">
        <v>211</v>
      </c>
      <c r="C95" s="13">
        <f>+'7 Önk'!D77+'8 PH'!D77+'9 VGIG'!D77+'10 Járób'!D77+'11 Szoci'!D77+'12 Ovi'!D77+'13 Művház'!D77+'14 Könyvt'!D77</f>
        <v>0</v>
      </c>
      <c r="D95" s="13">
        <f>+'7 Önk'!E77+'8 PH'!E77+'9 VGIG'!E77+'10 Járób'!E77+'11 Szoci'!E77+'12 Ovi'!E77+'13 Művház'!E77+'14 Könyvt'!E77</f>
        <v>0</v>
      </c>
      <c r="E95" s="14">
        <f t="shared" si="37"/>
        <v>0</v>
      </c>
      <c r="F95" s="13">
        <f>+'7 Önk'!G77+'8 PH'!G77+'9 VGIG'!G77+'10 Járób'!G77+'11 Szoci'!G77+'12 Ovi'!G77+'13 Művház'!G77+'14 Könyvt'!G77</f>
        <v>0</v>
      </c>
      <c r="G95" s="13">
        <f>+'7 Önk'!H77+'8 PH'!H77+'9 VGIG'!H77+'10 Járób'!H77+'11 Szoci'!H77+'12 Ovi'!H77+'13 Művház'!H77+'14 Könyvt'!H77</f>
        <v>0</v>
      </c>
      <c r="H95" s="14">
        <f t="shared" si="38"/>
        <v>0</v>
      </c>
      <c r="J95" s="21">
        <f t="shared" si="28"/>
        <v>0</v>
      </c>
      <c r="K95" s="61"/>
    </row>
    <row r="96" spans="1:11" x14ac:dyDescent="0.25">
      <c r="A96" s="44" t="s">
        <v>212</v>
      </c>
      <c r="B96" s="55" t="s">
        <v>213</v>
      </c>
      <c r="C96" s="13">
        <f>+'7 Önk'!D78+'8 PH'!D78+'9 VGIG'!D78+'10 Járób'!D78+'11 Szoci'!D78+'12 Ovi'!D78+'13 Művház'!D78+'14 Könyvt'!D78</f>
        <v>0</v>
      </c>
      <c r="D96" s="13">
        <f>+'7 Önk'!E78+'8 PH'!E78+'9 VGIG'!E78+'10 Járób'!E78+'11 Szoci'!E78+'12 Ovi'!E78+'13 Művház'!E78+'14 Könyvt'!E78</f>
        <v>0</v>
      </c>
      <c r="E96" s="14">
        <f t="shared" si="37"/>
        <v>0</v>
      </c>
      <c r="F96" s="13">
        <f>+'7 Önk'!G78+'8 PH'!G78+'9 VGIG'!G78+'10 Járób'!G78+'11 Szoci'!G78+'12 Ovi'!G78+'13 Művház'!G78+'14 Könyvt'!G78</f>
        <v>0</v>
      </c>
      <c r="G96" s="13">
        <f>+'7 Önk'!H78+'8 PH'!H78+'9 VGIG'!H78+'10 Járób'!H78+'11 Szoci'!H78+'12 Ovi'!H78+'13 Művház'!H78+'14 Könyvt'!H78</f>
        <v>0</v>
      </c>
      <c r="H96" s="14">
        <f t="shared" si="38"/>
        <v>0</v>
      </c>
      <c r="J96" s="21">
        <f t="shared" si="28"/>
        <v>0</v>
      </c>
      <c r="K96" s="61"/>
    </row>
    <row r="97" spans="1:11" x14ac:dyDescent="0.25">
      <c r="A97" s="44" t="s">
        <v>214</v>
      </c>
      <c r="B97" s="55" t="s">
        <v>215</v>
      </c>
      <c r="C97" s="13">
        <f>+'3 Adók és tám'!D13</f>
        <v>112000</v>
      </c>
      <c r="D97" s="13"/>
      <c r="E97" s="14">
        <f t="shared" si="37"/>
        <v>112000</v>
      </c>
      <c r="F97" s="13">
        <f>+'3 Adók és tám'!E13</f>
        <v>112000</v>
      </c>
      <c r="G97" s="13"/>
      <c r="H97" s="14">
        <f t="shared" si="38"/>
        <v>112000</v>
      </c>
      <c r="I97" s="21">
        <v>112000</v>
      </c>
      <c r="J97" s="21">
        <f t="shared" si="28"/>
        <v>0</v>
      </c>
      <c r="K97" s="61"/>
    </row>
    <row r="98" spans="1:11" x14ac:dyDescent="0.25">
      <c r="A98" s="44" t="s">
        <v>216</v>
      </c>
      <c r="B98" s="55" t="s">
        <v>217</v>
      </c>
      <c r="C98" s="13">
        <f>+'3 Adók és tám'!D25-D98</f>
        <v>148283</v>
      </c>
      <c r="D98" s="13">
        <v>167517</v>
      </c>
      <c r="E98" s="14">
        <f t="shared" si="37"/>
        <v>315800</v>
      </c>
      <c r="F98" s="13">
        <f>+'3 Adók és tám'!E25-G98</f>
        <v>148283</v>
      </c>
      <c r="G98" s="13">
        <v>167517</v>
      </c>
      <c r="H98" s="14">
        <f t="shared" si="38"/>
        <v>315800</v>
      </c>
      <c r="I98" s="21">
        <v>315800</v>
      </c>
      <c r="J98" s="21">
        <f t="shared" si="28"/>
        <v>0</v>
      </c>
      <c r="K98" s="61"/>
    </row>
    <row r="99" spans="1:11" x14ac:dyDescent="0.25">
      <c r="A99" s="44" t="s">
        <v>218</v>
      </c>
      <c r="B99" s="55" t="s">
        <v>219</v>
      </c>
      <c r="C99" s="13">
        <f>+'3 Adók és tám'!D36</f>
        <v>4000</v>
      </c>
      <c r="D99" s="13"/>
      <c r="E99" s="14">
        <f t="shared" si="37"/>
        <v>4000</v>
      </c>
      <c r="F99" s="13">
        <f>+'3 Adók és tám'!E36</f>
        <v>4000</v>
      </c>
      <c r="G99" s="13"/>
      <c r="H99" s="14">
        <f t="shared" si="38"/>
        <v>4000</v>
      </c>
      <c r="I99" s="21">
        <v>4000</v>
      </c>
      <c r="J99" s="21">
        <f t="shared" si="28"/>
        <v>0</v>
      </c>
      <c r="K99" s="61"/>
    </row>
    <row r="100" spans="1:11" x14ac:dyDescent="0.25">
      <c r="A100" s="47" t="s">
        <v>220</v>
      </c>
      <c r="B100" s="56" t="s">
        <v>221</v>
      </c>
      <c r="C100" s="14">
        <f t="shared" ref="C100:I100" si="39">SUM(C94:C99)</f>
        <v>264283</v>
      </c>
      <c r="D100" s="14">
        <f t="shared" si="39"/>
        <v>167517</v>
      </c>
      <c r="E100" s="14">
        <f t="shared" si="39"/>
        <v>431800</v>
      </c>
      <c r="F100" s="14">
        <f t="shared" si="39"/>
        <v>264283</v>
      </c>
      <c r="G100" s="14">
        <f t="shared" si="39"/>
        <v>167517</v>
      </c>
      <c r="H100" s="14">
        <f t="shared" si="39"/>
        <v>431800</v>
      </c>
      <c r="I100" s="14">
        <f t="shared" si="39"/>
        <v>431800</v>
      </c>
      <c r="J100" s="21">
        <f t="shared" si="28"/>
        <v>0</v>
      </c>
      <c r="K100" s="61"/>
    </row>
    <row r="101" spans="1:11" x14ac:dyDescent="0.25">
      <c r="A101" s="57" t="s">
        <v>222</v>
      </c>
      <c r="B101" s="55" t="s">
        <v>223</v>
      </c>
      <c r="C101" s="13">
        <f>+'7 Önk'!D83+'8 PH'!D83+'9 VGIG'!D83+'10 Járób'!D83+'11 Szoci'!D83+'12 Ovi'!D83+'13 Művház'!D83+'14 Könyvt'!D83</f>
        <v>473</v>
      </c>
      <c r="D101" s="13">
        <f>+'7 Önk'!E83+'8 PH'!E83+'9 VGIG'!E83+'10 Járób'!E83+'11 Szoci'!E83+'12 Ovi'!E83+'13 Művház'!E83+'14 Könyvt'!E83</f>
        <v>50</v>
      </c>
      <c r="E101" s="14">
        <f t="shared" ref="E101:E111" si="40">+D101+C101</f>
        <v>523</v>
      </c>
      <c r="F101" s="13">
        <f>+'7 Önk'!G83+'8 PH'!G83+'9 VGIG'!G83+'10 Járób'!G83+'11 Szoci'!G83+'12 Ovi'!G83+'13 Művház'!G83+'14 Könyvt'!G83</f>
        <v>473</v>
      </c>
      <c r="G101" s="13">
        <f>+'7 Önk'!H83+'8 PH'!H83+'9 VGIG'!H83+'10 Járób'!H83+'11 Szoci'!H83+'12 Ovi'!H83+'13 Művház'!H83+'14 Könyvt'!H83</f>
        <v>71</v>
      </c>
      <c r="H101" s="14">
        <f t="shared" ref="H101:H111" si="41">+G101+F101</f>
        <v>544</v>
      </c>
      <c r="I101" s="21">
        <v>544</v>
      </c>
      <c r="J101" s="21">
        <f t="shared" si="28"/>
        <v>0</v>
      </c>
      <c r="K101" s="61"/>
    </row>
    <row r="102" spans="1:11" x14ac:dyDescent="0.25">
      <c r="A102" s="57" t="s">
        <v>224</v>
      </c>
      <c r="B102" s="55" t="s">
        <v>225</v>
      </c>
      <c r="C102" s="13">
        <f>+'7 Önk'!D84+'8 PH'!D84+'9 VGIG'!D84+'10 Járób'!D84+'11 Szoci'!D84+'12 Ovi'!D84+'13 Művház'!D84+'14 Könyvt'!D84</f>
        <v>48000</v>
      </c>
      <c r="D102" s="13">
        <f>+'7 Önk'!E84+'8 PH'!E84+'9 VGIG'!E84+'10 Járób'!E84+'11 Szoci'!E84+'12 Ovi'!E84+'13 Művház'!E84+'14 Könyvt'!E84</f>
        <v>142608</v>
      </c>
      <c r="E102" s="14">
        <f t="shared" si="40"/>
        <v>190608</v>
      </c>
      <c r="F102" s="13">
        <f>+'7 Önk'!G84+'8 PH'!G84+'9 VGIG'!G84+'10 Járób'!G84+'11 Szoci'!G84+'12 Ovi'!G84+'13 Művház'!G84+'14 Könyvt'!G84</f>
        <v>48000</v>
      </c>
      <c r="G102" s="13">
        <f>+'7 Önk'!H84+'8 PH'!H84+'9 VGIG'!H84+'10 Járób'!H84+'11 Szoci'!H84+'12 Ovi'!H84+'13 Művház'!H84+'14 Könyvt'!H84</f>
        <v>143851</v>
      </c>
      <c r="H102" s="14">
        <f t="shared" si="41"/>
        <v>191851</v>
      </c>
      <c r="I102" s="21">
        <v>191851</v>
      </c>
      <c r="J102" s="21">
        <f t="shared" si="28"/>
        <v>0</v>
      </c>
      <c r="K102" s="61"/>
    </row>
    <row r="103" spans="1:11" x14ac:dyDescent="0.25">
      <c r="A103" s="57" t="s">
        <v>226</v>
      </c>
      <c r="B103" s="55" t="s">
        <v>227</v>
      </c>
      <c r="C103" s="13">
        <f>+'7 Önk'!D85+'8 PH'!D85+'9 VGIG'!D85+'10 Járób'!D85+'11 Szoci'!D85+'12 Ovi'!D85+'13 Művház'!D85+'14 Könyvt'!D85</f>
        <v>0</v>
      </c>
      <c r="D103" s="13">
        <f>+'7 Önk'!E85+'8 PH'!E85+'9 VGIG'!E85+'10 Járób'!E85+'11 Szoci'!E85+'12 Ovi'!E85+'13 Művház'!E85+'14 Könyvt'!E85</f>
        <v>7152</v>
      </c>
      <c r="E103" s="14">
        <f t="shared" si="40"/>
        <v>7152</v>
      </c>
      <c r="F103" s="13">
        <f>+'7 Önk'!G85+'8 PH'!G85+'9 VGIG'!G85+'10 Járób'!G85+'11 Szoci'!G85+'12 Ovi'!G85+'13 Művház'!G85+'14 Könyvt'!G85</f>
        <v>0</v>
      </c>
      <c r="G103" s="13">
        <f>+'7 Önk'!H85+'8 PH'!H85+'9 VGIG'!H85+'10 Járób'!H85+'11 Szoci'!H85+'12 Ovi'!H85+'13 Művház'!H85+'14 Könyvt'!H85</f>
        <v>5850</v>
      </c>
      <c r="H103" s="14">
        <f t="shared" si="41"/>
        <v>5850</v>
      </c>
      <c r="I103" s="21">
        <v>5850</v>
      </c>
      <c r="J103" s="21">
        <f t="shared" si="28"/>
        <v>0</v>
      </c>
      <c r="K103" s="61"/>
    </row>
    <row r="104" spans="1:11" x14ac:dyDescent="0.25">
      <c r="A104" s="57" t="s">
        <v>228</v>
      </c>
      <c r="B104" s="55" t="s">
        <v>229</v>
      </c>
      <c r="C104" s="13">
        <f>+'7 Önk'!D86+'8 PH'!D86+'9 VGIG'!D86+'10 Járób'!D86+'11 Szoci'!D86+'12 Ovi'!D86+'13 Művház'!D86+'14 Könyvt'!D86</f>
        <v>4571</v>
      </c>
      <c r="D104" s="13">
        <f>+'7 Önk'!E86+'8 PH'!E86+'9 VGIG'!E86+'10 Járób'!E86+'11 Szoci'!E86+'12 Ovi'!E86+'13 Művház'!E86+'14 Könyvt'!E86</f>
        <v>0</v>
      </c>
      <c r="E104" s="14">
        <f t="shared" si="40"/>
        <v>4571</v>
      </c>
      <c r="F104" s="13">
        <f>+'7 Önk'!G86+'8 PH'!G86+'9 VGIG'!G86+'10 Járób'!G86+'11 Szoci'!G86+'12 Ovi'!G86+'13 Művház'!G86+'14 Könyvt'!G86</f>
        <v>4571</v>
      </c>
      <c r="G104" s="13">
        <f>+'7 Önk'!H86+'8 PH'!H86+'9 VGIG'!H86+'10 Járób'!H86+'11 Szoci'!H86+'12 Ovi'!H86+'13 Művház'!H86+'14 Könyvt'!H86</f>
        <v>0</v>
      </c>
      <c r="H104" s="14">
        <f t="shared" si="41"/>
        <v>4571</v>
      </c>
      <c r="I104" s="21">
        <v>4571</v>
      </c>
      <c r="J104" s="21">
        <f t="shared" si="28"/>
        <v>0</v>
      </c>
      <c r="K104" s="61"/>
    </row>
    <row r="105" spans="1:11" x14ac:dyDescent="0.25">
      <c r="A105" s="57" t="s">
        <v>230</v>
      </c>
      <c r="B105" s="55" t="s">
        <v>231</v>
      </c>
      <c r="C105" s="13">
        <f>+'7 Önk'!D87+'8 PH'!D87+'9 VGIG'!D87+'10 Járób'!D87+'11 Szoci'!D87+'12 Ovi'!D87+'13 Művház'!D87+'14 Könyvt'!D87</f>
        <v>156206</v>
      </c>
      <c r="D105" s="13">
        <f>+'7 Önk'!E87+'8 PH'!E87+'9 VGIG'!E87+'10 Járób'!E87+'11 Szoci'!E87+'12 Ovi'!E87+'13 Művház'!E87+'14 Könyvt'!E87</f>
        <v>0</v>
      </c>
      <c r="E105" s="14">
        <f t="shared" si="40"/>
        <v>156206</v>
      </c>
      <c r="F105" s="13">
        <f>+'7 Önk'!G87+'8 PH'!G87+'9 VGIG'!G87+'10 Járób'!G87+'11 Szoci'!G87+'12 Ovi'!G87+'13 Művház'!G87+'14 Könyvt'!G87</f>
        <v>154997</v>
      </c>
      <c r="G105" s="13">
        <f>+'7 Önk'!H87+'8 PH'!H87+'9 VGIG'!H87+'10 Járób'!H87+'11 Szoci'!H87+'12 Ovi'!H87+'13 Művház'!H87+'14 Könyvt'!H87</f>
        <v>0</v>
      </c>
      <c r="H105" s="14">
        <f t="shared" si="41"/>
        <v>154997</v>
      </c>
      <c r="I105" s="21">
        <v>154997</v>
      </c>
      <c r="J105" s="21">
        <f t="shared" si="28"/>
        <v>0</v>
      </c>
      <c r="K105" s="61"/>
    </row>
    <row r="106" spans="1:11" x14ac:dyDescent="0.25">
      <c r="A106" s="57" t="s">
        <v>232</v>
      </c>
      <c r="B106" s="55" t="s">
        <v>233</v>
      </c>
      <c r="C106" s="13">
        <f>+'7 Önk'!D88+'8 PH'!D88+'9 VGIG'!D88+'10 Járób'!D88+'11 Szoci'!D88+'12 Ovi'!D88+'13 Művház'!D88+'14 Könyvt'!D88</f>
        <v>25751</v>
      </c>
      <c r="D106" s="13">
        <f>+'7 Önk'!E88+'8 PH'!E88+'9 VGIG'!E88+'10 Járób'!E88+'11 Szoci'!E88+'12 Ovi'!E88+'13 Művház'!E88+'14 Könyvt'!E88</f>
        <v>31437</v>
      </c>
      <c r="E106" s="14">
        <f t="shared" si="40"/>
        <v>57188</v>
      </c>
      <c r="F106" s="13">
        <f>+'7 Önk'!G88+'8 PH'!G88+'9 VGIG'!G88+'10 Járób'!G88+'11 Szoci'!G88+'12 Ovi'!G88+'13 Művház'!G88+'14 Könyvt'!G88</f>
        <v>25335</v>
      </c>
      <c r="G106" s="13">
        <f>+'7 Önk'!H88+'8 PH'!H88+'9 VGIG'!H88+'10 Járób'!H88+'11 Szoci'!H88+'12 Ovi'!H88+'13 Művház'!H88+'14 Könyvt'!H88</f>
        <v>31437</v>
      </c>
      <c r="H106" s="14">
        <f t="shared" si="41"/>
        <v>56772</v>
      </c>
      <c r="I106" s="21">
        <v>56772</v>
      </c>
      <c r="J106" s="21">
        <f t="shared" si="28"/>
        <v>0</v>
      </c>
      <c r="K106" s="61"/>
    </row>
    <row r="107" spans="1:11" x14ac:dyDescent="0.25">
      <c r="A107" s="57" t="s">
        <v>234</v>
      </c>
      <c r="B107" s="55" t="s">
        <v>235</v>
      </c>
      <c r="C107" s="13">
        <f>+'7 Önk'!D89+'8 PH'!D89+'9 VGIG'!D89+'10 Járób'!D89+'11 Szoci'!D89+'12 Ovi'!D89+'13 Művház'!D89+'14 Könyvt'!D89</f>
        <v>0</v>
      </c>
      <c r="D107" s="13">
        <f>+'7 Önk'!E89+'8 PH'!E89+'9 VGIG'!E89+'10 Járób'!E89+'11 Szoci'!E89+'12 Ovi'!E89+'13 Művház'!E89+'14 Könyvt'!E89</f>
        <v>0</v>
      </c>
      <c r="E107" s="14">
        <f t="shared" si="40"/>
        <v>0</v>
      </c>
      <c r="F107" s="13">
        <f>+'7 Önk'!G89+'8 PH'!G89+'9 VGIG'!G89+'10 Járób'!G89+'11 Szoci'!G89+'12 Ovi'!G89+'13 Művház'!G89+'14 Könyvt'!G89</f>
        <v>0</v>
      </c>
      <c r="G107" s="13">
        <f>+'7 Önk'!H89+'8 PH'!H89+'9 VGIG'!H89+'10 Járób'!H89+'11 Szoci'!H89+'12 Ovi'!H89+'13 Művház'!H89+'14 Könyvt'!H89</f>
        <v>0</v>
      </c>
      <c r="H107" s="14">
        <f t="shared" si="41"/>
        <v>0</v>
      </c>
      <c r="J107" s="21">
        <f t="shared" si="28"/>
        <v>0</v>
      </c>
      <c r="K107" s="61"/>
    </row>
    <row r="108" spans="1:11" x14ac:dyDescent="0.25">
      <c r="A108" s="57" t="s">
        <v>236</v>
      </c>
      <c r="B108" s="55" t="s">
        <v>237</v>
      </c>
      <c r="C108" s="13">
        <f>+'7 Önk'!D90+'8 PH'!D90+'9 VGIG'!D90+'10 Járób'!D90+'11 Szoci'!D90+'12 Ovi'!D90+'13 Művház'!D90+'14 Könyvt'!D90</f>
        <v>0</v>
      </c>
      <c r="D108" s="13">
        <f>+'7 Önk'!E90+'8 PH'!E90+'9 VGIG'!E90+'10 Járób'!E90+'11 Szoci'!E90+'12 Ovi'!E90+'13 Művház'!E90+'14 Könyvt'!E90</f>
        <v>22</v>
      </c>
      <c r="E108" s="14">
        <f t="shared" si="40"/>
        <v>22</v>
      </c>
      <c r="F108" s="13">
        <f>+'7 Önk'!G90+'8 PH'!G90+'9 VGIG'!G90+'10 Járób'!G90+'11 Szoci'!G90+'12 Ovi'!G90+'13 Művház'!G90+'14 Könyvt'!G90</f>
        <v>0</v>
      </c>
      <c r="G108" s="13">
        <f>+'7 Önk'!H90+'8 PH'!H90+'9 VGIG'!H90+'10 Járób'!H90+'11 Szoci'!H90+'12 Ovi'!H90+'13 Művház'!H90+'14 Könyvt'!H90</f>
        <v>0</v>
      </c>
      <c r="H108" s="14">
        <f t="shared" si="41"/>
        <v>0</v>
      </c>
      <c r="I108" s="21">
        <v>0</v>
      </c>
      <c r="J108" s="21">
        <f t="shared" si="28"/>
        <v>0</v>
      </c>
      <c r="K108" s="61"/>
    </row>
    <row r="109" spans="1:11" x14ac:dyDescent="0.25">
      <c r="A109" s="57" t="s">
        <v>238</v>
      </c>
      <c r="B109" s="55" t="s">
        <v>239</v>
      </c>
      <c r="C109" s="13">
        <f>+'7 Önk'!D91+'8 PH'!D91+'9 VGIG'!D91+'10 Járób'!D91+'11 Szoci'!D91+'12 Ovi'!D91+'13 Művház'!D91+'14 Könyvt'!D91</f>
        <v>0</v>
      </c>
      <c r="D109" s="13">
        <f>+'7 Önk'!E91+'8 PH'!E91+'9 VGIG'!E91+'10 Járób'!E91+'11 Szoci'!E91+'12 Ovi'!E91+'13 Művház'!E91+'14 Könyvt'!E91</f>
        <v>10</v>
      </c>
      <c r="E109" s="14">
        <f t="shared" si="40"/>
        <v>10</v>
      </c>
      <c r="F109" s="13">
        <f>+'7 Önk'!G91+'8 PH'!G91+'9 VGIG'!G91+'10 Járób'!G91+'11 Szoci'!G91+'12 Ovi'!G91+'13 Művház'!G91+'14 Könyvt'!G91</f>
        <v>0</v>
      </c>
      <c r="G109" s="13">
        <f>+'7 Önk'!H91+'8 PH'!H91+'9 VGIG'!H91+'10 Járób'!H91+'11 Szoci'!H91+'12 Ovi'!H91+'13 Művház'!H91+'14 Könyvt'!H91</f>
        <v>0</v>
      </c>
      <c r="H109" s="14">
        <f t="shared" si="41"/>
        <v>0</v>
      </c>
      <c r="I109" s="21">
        <v>0</v>
      </c>
      <c r="J109" s="21">
        <f t="shared" si="28"/>
        <v>0</v>
      </c>
      <c r="K109" s="61"/>
    </row>
    <row r="110" spans="1:11" x14ac:dyDescent="0.25">
      <c r="A110" s="57" t="s">
        <v>240</v>
      </c>
      <c r="B110" s="55" t="s">
        <v>241</v>
      </c>
      <c r="C110" s="13">
        <f>+'7 Önk'!D92+'8 PH'!D92+'9 VGIG'!D92+'10 Járób'!D92+'11 Szoci'!D92+'12 Ovi'!D92+'13 Művház'!D92+'14 Könyvt'!D92</f>
        <v>0</v>
      </c>
      <c r="D110" s="13">
        <f>+'7 Önk'!E92+'8 PH'!E92+'9 VGIG'!E92+'10 Járób'!E92+'11 Szoci'!E92+'12 Ovi'!E92+'13 Művház'!E92+'14 Könyvt'!E92</f>
        <v>0</v>
      </c>
      <c r="E110" s="14">
        <f t="shared" si="40"/>
        <v>0</v>
      </c>
      <c r="F110" s="13">
        <f>+'7 Önk'!G92+'8 PH'!G92+'9 VGIG'!G92+'10 Járób'!G92+'11 Szoci'!G92+'12 Ovi'!G92+'13 Művház'!G92+'14 Könyvt'!G92</f>
        <v>0</v>
      </c>
      <c r="G110" s="13">
        <f>+'7 Önk'!H92+'8 PH'!H92+'9 VGIG'!H92+'10 Járób'!H92+'11 Szoci'!H92+'12 Ovi'!H92+'13 Művház'!H92+'14 Könyvt'!H92</f>
        <v>0</v>
      </c>
      <c r="H110" s="14">
        <f t="shared" si="41"/>
        <v>0</v>
      </c>
      <c r="I110" s="21">
        <v>3121</v>
      </c>
      <c r="J110" s="21">
        <f t="shared" si="28"/>
        <v>-3121</v>
      </c>
      <c r="K110" s="61"/>
    </row>
    <row r="111" spans="1:11" x14ac:dyDescent="0.25">
      <c r="A111" s="57" t="s">
        <v>242</v>
      </c>
      <c r="B111" s="55" t="s">
        <v>243</v>
      </c>
      <c r="C111" s="13">
        <f>+'7 Önk'!D93+'8 PH'!D93+'9 VGIG'!D93+'10 Járób'!D93+'11 Szoci'!D93+'12 Ovi'!D93+'13 Művház'!D93+'14 Könyvt'!D93</f>
        <v>3121</v>
      </c>
      <c r="D111" s="13">
        <f>+'7 Önk'!E93+'8 PH'!E93+'9 VGIG'!E93+'10 Járób'!E93+'11 Szoci'!E93+'12 Ovi'!E93+'13 Művház'!E93+'14 Könyvt'!E93</f>
        <v>0</v>
      </c>
      <c r="E111" s="14">
        <f t="shared" si="40"/>
        <v>3121</v>
      </c>
      <c r="F111" s="13">
        <f>+'7 Önk'!G93+'8 PH'!G93+'9 VGIG'!G93+'10 Járób'!G93+'11 Szoci'!G93+'12 Ovi'!G93+'13 Művház'!G93+'14 Könyvt'!G93</f>
        <v>5081</v>
      </c>
      <c r="G111" s="13">
        <f>+'7 Önk'!H93+'8 PH'!H93+'9 VGIG'!H93+'10 Járób'!H93+'11 Szoci'!H93+'12 Ovi'!H93+'13 Művház'!H93+'14 Könyvt'!H93</f>
        <v>630</v>
      </c>
      <c r="H111" s="14">
        <f t="shared" si="41"/>
        <v>5711</v>
      </c>
      <c r="I111" s="21">
        <v>2590</v>
      </c>
      <c r="J111" s="21">
        <f t="shared" si="28"/>
        <v>3121</v>
      </c>
      <c r="K111" s="61"/>
    </row>
    <row r="112" spans="1:11" x14ac:dyDescent="0.25">
      <c r="A112" s="48" t="s">
        <v>244</v>
      </c>
      <c r="B112" s="56" t="s">
        <v>245</v>
      </c>
      <c r="C112" s="14">
        <f t="shared" ref="C112:I112" si="42">SUM(C101:C111)</f>
        <v>238122</v>
      </c>
      <c r="D112" s="14">
        <f t="shared" si="42"/>
        <v>181279</v>
      </c>
      <c r="E112" s="14">
        <f t="shared" si="42"/>
        <v>419401</v>
      </c>
      <c r="F112" s="14">
        <f t="shared" si="42"/>
        <v>238457</v>
      </c>
      <c r="G112" s="14">
        <f t="shared" si="42"/>
        <v>181839</v>
      </c>
      <c r="H112" s="14">
        <f t="shared" si="42"/>
        <v>420296</v>
      </c>
      <c r="I112" s="14">
        <f t="shared" si="42"/>
        <v>420296</v>
      </c>
      <c r="J112" s="21">
        <f t="shared" si="28"/>
        <v>0</v>
      </c>
      <c r="K112" s="61"/>
    </row>
    <row r="113" spans="1:11" x14ac:dyDescent="0.25">
      <c r="A113" s="57" t="s">
        <v>246</v>
      </c>
      <c r="B113" s="55" t="s">
        <v>247</v>
      </c>
      <c r="C113" s="13">
        <f>+'7 Önk'!D95+'8 PH'!D95+'9 VGIG'!D95+'10 Járób'!D95+'11 Szoci'!D95+'12 Ovi'!D95+'13 Művház'!D95+'14 Könyvt'!D95+'4 Átvett és Felh bev'!E78</f>
        <v>0</v>
      </c>
      <c r="D113" s="13">
        <f>+'7 Önk'!E95+'8 PH'!E95+'9 VGIG'!E95+'10 Járób'!E95+'11 Szoci'!E95+'12 Ovi'!E95+'13 Művház'!E95+'14 Könyvt'!E95+'4 Átvett és Felh bev'!F78</f>
        <v>0</v>
      </c>
      <c r="E113" s="14">
        <f>+D113+C113</f>
        <v>0</v>
      </c>
      <c r="F113" s="13">
        <f>+'7 Önk'!G95+'8 PH'!G95+'9 VGIG'!G95+'10 Járób'!G95+'11 Szoci'!G95+'12 Ovi'!G95+'13 Művház'!G95+'14 Könyvt'!G95+'4 Átvett és Felh bev'!F78</f>
        <v>0</v>
      </c>
      <c r="G113" s="13">
        <f>+'7 Önk'!H95+'8 PH'!H95+'9 VGIG'!H95+'10 Járób'!H95+'11 Szoci'!H95+'12 Ovi'!H95+'13 Művház'!H95+'14 Könyvt'!H95+'4 Átvett és Felh bev'!G78</f>
        <v>0</v>
      </c>
      <c r="H113" s="14">
        <f>+G113+F113</f>
        <v>0</v>
      </c>
      <c r="J113" s="21">
        <f t="shared" si="28"/>
        <v>0</v>
      </c>
      <c r="K113" s="61"/>
    </row>
    <row r="114" spans="1:11" x14ac:dyDescent="0.25">
      <c r="A114" s="57" t="s">
        <v>248</v>
      </c>
      <c r="B114" s="55" t="s">
        <v>249</v>
      </c>
      <c r="C114" s="13">
        <f>+'7 Önk'!D96+'8 PH'!D96+'9 VGIG'!D96+'10 Járób'!D96+'11 Szoci'!D96+'12 Ovi'!D96+'13 Művház'!D96+'14 Könyvt'!D96+'4 Átvett és Felh bev'!D84</f>
        <v>0</v>
      </c>
      <c r="D114" s="13">
        <f>+'7 Önk'!E96+'8 PH'!E96+'9 VGIG'!E96+'10 Járób'!E96+'11 Szoci'!E96+'12 Ovi'!E96+'13 Művház'!E96+'14 Könyvt'!E96+'4 Átvett és Felh bev'!E84</f>
        <v>30000</v>
      </c>
      <c r="E114" s="14">
        <f>+D114+C114</f>
        <v>30000</v>
      </c>
      <c r="F114" s="13">
        <f>+'7 Önk'!G96+'8 PH'!G96+'9 VGIG'!G96+'10 Járób'!G96+'11 Szoci'!G96+'12 Ovi'!G96+'13 Művház'!G96+'14 Könyvt'!G96+'4 Átvett és Felh bev'!F84</f>
        <v>0</v>
      </c>
      <c r="G114" s="13">
        <f>+'7 Önk'!H96+'8 PH'!H96+'9 VGIG'!H96+'10 Járób'!H96+'11 Szoci'!H96+'12 Ovi'!H96+'13 Művház'!H96+'14 Könyvt'!H96+'4 Átvett és Felh bev'!G84</f>
        <v>3260</v>
      </c>
      <c r="H114" s="14">
        <f>+G114+F114</f>
        <v>3260</v>
      </c>
      <c r="I114" s="21">
        <v>3260</v>
      </c>
      <c r="J114" s="21">
        <f t="shared" si="28"/>
        <v>0</v>
      </c>
      <c r="K114" s="61"/>
    </row>
    <row r="115" spans="1:11" x14ac:dyDescent="0.25">
      <c r="A115" s="57" t="s">
        <v>250</v>
      </c>
      <c r="B115" s="55" t="s">
        <v>251</v>
      </c>
      <c r="C115" s="13">
        <f>+'7 Önk'!D97+'8 PH'!D97+'9 VGIG'!D97+'10 Járób'!D97+'11 Szoci'!D97+'12 Ovi'!D97+'13 Művház'!D97+'14 Könyvt'!D97+'4 Átvett és Felh bev'!D87</f>
        <v>0</v>
      </c>
      <c r="D115" s="13">
        <f>+'7 Önk'!E97+'8 PH'!E97+'9 VGIG'!E97+'10 Járób'!E97+'11 Szoci'!E97+'12 Ovi'!E97+'13 Művház'!E97+'14 Könyvt'!E97+'4 Átvett és Felh bev'!E87</f>
        <v>0</v>
      </c>
      <c r="E115" s="14">
        <f>+D115+C115</f>
        <v>0</v>
      </c>
      <c r="F115" s="13">
        <f>+'7 Önk'!G97+'8 PH'!G97+'9 VGIG'!G97+'10 Járób'!G97+'11 Szoci'!G97+'12 Ovi'!G97+'13 Művház'!G97+'14 Könyvt'!G97+'4 Átvett és Felh bev'!F87</f>
        <v>0</v>
      </c>
      <c r="G115" s="13">
        <f>+'7 Önk'!H97+'8 PH'!H97+'9 VGIG'!H97+'10 Járób'!H97+'11 Szoci'!H97+'12 Ovi'!H97+'13 Művház'!H97+'14 Könyvt'!H97+'4 Átvett és Felh bev'!G87</f>
        <v>0</v>
      </c>
      <c r="H115" s="14">
        <f>+G115+F115</f>
        <v>0</v>
      </c>
      <c r="J115" s="21">
        <f t="shared" si="28"/>
        <v>0</v>
      </c>
      <c r="K115" s="61"/>
    </row>
    <row r="116" spans="1:11" x14ac:dyDescent="0.25">
      <c r="A116" s="57" t="s">
        <v>252</v>
      </c>
      <c r="B116" s="55" t="s">
        <v>253</v>
      </c>
      <c r="C116" s="13">
        <f>+'7 Önk'!D98+'8 PH'!D98+'9 VGIG'!D98+'10 Járób'!D98+'11 Szoci'!D98+'12 Ovi'!D98+'13 Művház'!D98+'14 Könyvt'!D98+'4 Átvett és Felh bev'!D90</f>
        <v>0</v>
      </c>
      <c r="D116" s="13">
        <f>+'7 Önk'!E98+'8 PH'!E98+'9 VGIG'!E98+'10 Járób'!E98+'11 Szoci'!E98+'12 Ovi'!E98+'13 Művház'!E98+'14 Könyvt'!E98+'4 Átvett és Felh bev'!E90</f>
        <v>0</v>
      </c>
      <c r="E116" s="14">
        <f>+D116+C116</f>
        <v>0</v>
      </c>
      <c r="F116" s="13">
        <f>+'7 Önk'!G98+'8 PH'!G98+'9 VGIG'!G98+'10 Járób'!G98+'11 Szoci'!G98+'12 Ovi'!G98+'13 Művház'!G98+'14 Könyvt'!G98+'4 Átvett és Felh bev'!F90</f>
        <v>0</v>
      </c>
      <c r="G116" s="13">
        <f>+'7 Önk'!H98+'8 PH'!H98+'9 VGIG'!H98+'10 Járób'!H98+'11 Szoci'!H98+'12 Ovi'!H98+'13 Művház'!H98+'14 Könyvt'!H98+'4 Átvett és Felh bev'!G90</f>
        <v>0</v>
      </c>
      <c r="H116" s="14">
        <f>+G116+F116</f>
        <v>0</v>
      </c>
      <c r="J116" s="21">
        <f t="shared" si="28"/>
        <v>0</v>
      </c>
      <c r="K116" s="61"/>
    </row>
    <row r="117" spans="1:11" x14ac:dyDescent="0.25">
      <c r="A117" s="57" t="s">
        <v>254</v>
      </c>
      <c r="B117" s="55" t="s">
        <v>255</v>
      </c>
      <c r="C117" s="13">
        <f>+'7 Önk'!D99+'8 PH'!D99+'9 VGIG'!D99+'10 Járób'!D99+'11 Szoci'!D99+'12 Ovi'!D99+'13 Művház'!D99+'14 Könyvt'!D99+'4 Átvett és Felh bev'!D93</f>
        <v>0</v>
      </c>
      <c r="D117" s="13">
        <f>+'7 Önk'!E99+'8 PH'!E99+'9 VGIG'!E99+'10 Járób'!E99+'11 Szoci'!E99+'12 Ovi'!E99+'13 Művház'!E99+'14 Könyvt'!E99+'4 Átvett és Felh bev'!E93</f>
        <v>0</v>
      </c>
      <c r="E117" s="14">
        <f>+D117+C117</f>
        <v>0</v>
      </c>
      <c r="F117" s="13">
        <f>+'7 Önk'!G99+'8 PH'!G99+'9 VGIG'!G99+'10 Járób'!G99+'11 Szoci'!G99+'12 Ovi'!G99+'13 Művház'!G99+'14 Könyvt'!G99+'4 Átvett és Felh bev'!F93</f>
        <v>0</v>
      </c>
      <c r="G117" s="13">
        <f>+'7 Önk'!H99+'8 PH'!H99+'9 VGIG'!H99+'10 Járób'!H99+'11 Szoci'!H99+'12 Ovi'!H99+'13 Művház'!H99+'14 Könyvt'!H99+'4 Átvett és Felh bev'!G93</f>
        <v>0</v>
      </c>
      <c r="H117" s="14">
        <f>+G117+F117</f>
        <v>0</v>
      </c>
      <c r="J117" s="21">
        <f t="shared" si="28"/>
        <v>0</v>
      </c>
      <c r="K117" s="61"/>
    </row>
    <row r="118" spans="1:11" x14ac:dyDescent="0.25">
      <c r="A118" s="47" t="s">
        <v>256</v>
      </c>
      <c r="B118" s="56" t="s">
        <v>257</v>
      </c>
      <c r="C118" s="14">
        <f t="shared" ref="C118:I118" si="43">SUM(C113:C117)</f>
        <v>0</v>
      </c>
      <c r="D118" s="14">
        <f t="shared" si="43"/>
        <v>30000</v>
      </c>
      <c r="E118" s="14">
        <f t="shared" si="43"/>
        <v>30000</v>
      </c>
      <c r="F118" s="14">
        <f t="shared" si="43"/>
        <v>0</v>
      </c>
      <c r="G118" s="14">
        <f t="shared" si="43"/>
        <v>3260</v>
      </c>
      <c r="H118" s="14">
        <f t="shared" si="43"/>
        <v>3260</v>
      </c>
      <c r="I118" s="14">
        <f t="shared" si="43"/>
        <v>3260</v>
      </c>
      <c r="J118" s="21">
        <f t="shared" si="28"/>
        <v>0</v>
      </c>
      <c r="K118" s="61"/>
    </row>
    <row r="119" spans="1:11" x14ac:dyDescent="0.25">
      <c r="A119" s="47" t="s">
        <v>258</v>
      </c>
      <c r="B119" s="56" t="s">
        <v>259</v>
      </c>
      <c r="C119" s="13">
        <f>+'7 Önk'!D101+'8 PH'!D101+'9 VGIG'!D101+'10 Járób'!D101+'11 Szoci'!D101+'12 Ovi'!D101+'13 Művház'!D101+'14 Könyvt'!D101</f>
        <v>0</v>
      </c>
      <c r="D119" s="13">
        <f>+'7 Önk'!E101+'8 PH'!E101+'9 VGIG'!E101+'10 Járób'!E101+'11 Szoci'!E101+'12 Ovi'!E101+'13 Művház'!E101+'14 Könyvt'!E101</f>
        <v>0</v>
      </c>
      <c r="E119" s="14">
        <f t="shared" ref="E119:E124" si="44">+D119+C119</f>
        <v>0</v>
      </c>
      <c r="F119" s="13">
        <f>+'7 Önk'!G101+'8 PH'!G101+'9 VGIG'!G101+'10 Járób'!G101+'11 Szoci'!G101+'12 Ovi'!G101+'13 Művház'!G101+'14 Könyvt'!G101</f>
        <v>21928</v>
      </c>
      <c r="G119" s="13">
        <f>+'7 Önk'!H101+'8 PH'!H101+'9 VGIG'!H101+'10 Járób'!H101+'11 Szoci'!H101+'12 Ovi'!H101+'13 Művház'!H101+'14 Könyvt'!H101</f>
        <v>0</v>
      </c>
      <c r="H119" s="14">
        <f t="shared" ref="H119:H124" si="45">+G119+F119</f>
        <v>21928</v>
      </c>
      <c r="I119" s="21">
        <v>21928</v>
      </c>
      <c r="J119" s="21">
        <f t="shared" si="28"/>
        <v>0</v>
      </c>
      <c r="K119" s="61"/>
    </row>
    <row r="120" spans="1:11" x14ac:dyDescent="0.25">
      <c r="A120" s="57" t="s">
        <v>260</v>
      </c>
      <c r="B120" s="55" t="s">
        <v>261</v>
      </c>
      <c r="C120" s="13">
        <f>+'7 Önk'!D102+'8 PH'!D102+'9 VGIG'!D102+'10 Járób'!D102+'11 Szoci'!D102+'12 Ovi'!D102+'13 Művház'!D102+'14 Könyvt'!D102</f>
        <v>0</v>
      </c>
      <c r="D120" s="13">
        <f>+'7 Önk'!E102+'8 PH'!E102+'9 VGIG'!E102+'10 Járób'!E102+'11 Szoci'!E102+'12 Ovi'!E102+'13 Művház'!E102+'14 Könyvt'!E102</f>
        <v>0</v>
      </c>
      <c r="E120" s="14">
        <f t="shared" si="44"/>
        <v>0</v>
      </c>
      <c r="F120" s="13">
        <f>+'7 Önk'!G102+'8 PH'!G102+'9 VGIG'!G102+'10 Járób'!G102+'11 Szoci'!G102+'12 Ovi'!G102+'13 Művház'!G102+'14 Könyvt'!G102</f>
        <v>0</v>
      </c>
      <c r="G120" s="13">
        <f>+'7 Önk'!H102+'8 PH'!H102+'9 VGIG'!H102+'10 Járób'!H102+'11 Szoci'!H102+'12 Ovi'!H102+'13 Művház'!H102+'14 Könyvt'!H102</f>
        <v>0</v>
      </c>
      <c r="H120" s="14">
        <f t="shared" si="45"/>
        <v>0</v>
      </c>
      <c r="J120" s="21">
        <f t="shared" si="28"/>
        <v>0</v>
      </c>
      <c r="K120" s="61"/>
    </row>
    <row r="121" spans="1:11" x14ac:dyDescent="0.25">
      <c r="A121" s="44" t="s">
        <v>262</v>
      </c>
      <c r="B121" s="55" t="s">
        <v>263</v>
      </c>
      <c r="C121" s="13">
        <f>+'7 Önk'!D103+'8 PH'!D103+'9 VGIG'!D103+'10 Járób'!D103+'11 Szoci'!D103+'12 Ovi'!D103+'13 Művház'!D103+'14 Könyvt'!D103</f>
        <v>0</v>
      </c>
      <c r="D121" s="13">
        <f>+'7 Önk'!E103+'8 PH'!E103+'9 VGIG'!E103+'10 Járób'!E103+'11 Szoci'!E103+'12 Ovi'!E103+'13 Művház'!E103+'14 Könyvt'!E103</f>
        <v>0</v>
      </c>
      <c r="E121" s="14">
        <f t="shared" si="44"/>
        <v>0</v>
      </c>
      <c r="F121" s="13">
        <f>+'7 Önk'!G103+'8 PH'!G103+'9 VGIG'!G103+'10 Járób'!G103+'11 Szoci'!G103+'12 Ovi'!G103+'13 Művház'!G103+'14 Könyvt'!G103</f>
        <v>0</v>
      </c>
      <c r="G121" s="13">
        <f>+'7 Önk'!H103+'8 PH'!H103+'9 VGIG'!H103+'10 Járób'!H103+'11 Szoci'!H103+'12 Ovi'!H103+'13 Művház'!H103+'14 Könyvt'!H103</f>
        <v>0</v>
      </c>
      <c r="H121" s="14">
        <f t="shared" si="45"/>
        <v>0</v>
      </c>
      <c r="J121" s="21">
        <f t="shared" si="28"/>
        <v>0</v>
      </c>
      <c r="K121" s="61"/>
    </row>
    <row r="122" spans="1:11" ht="31.5" x14ac:dyDescent="0.25">
      <c r="A122" s="57" t="s">
        <v>264</v>
      </c>
      <c r="B122" s="55" t="s">
        <v>265</v>
      </c>
      <c r="C122" s="13">
        <f>+'7 Önk'!D104+'8 PH'!D104+'9 VGIG'!D104+'10 Járób'!D104+'11 Szoci'!D104+'12 Ovi'!D104+'13 Művház'!D104+'14 Könyvt'!D104</f>
        <v>0</v>
      </c>
      <c r="D122" s="13">
        <f>+'7 Önk'!E104+'8 PH'!E104+'9 VGIG'!E104+'10 Járób'!E104+'11 Szoci'!E104+'12 Ovi'!E104+'13 Művház'!E104+'14 Könyvt'!E104</f>
        <v>0</v>
      </c>
      <c r="E122" s="14">
        <f t="shared" si="44"/>
        <v>0</v>
      </c>
      <c r="F122" s="13">
        <f>+'7 Önk'!G104+'8 PH'!G104+'9 VGIG'!G104+'10 Járób'!G104+'11 Szoci'!G104+'12 Ovi'!G104+'13 Művház'!G104+'14 Könyvt'!G104</f>
        <v>0</v>
      </c>
      <c r="G122" s="13">
        <f>+'7 Önk'!H104+'8 PH'!H104+'9 VGIG'!H104+'10 Járób'!H104+'11 Szoci'!H104+'12 Ovi'!H104+'13 Művház'!H104+'14 Könyvt'!H104</f>
        <v>0</v>
      </c>
      <c r="H122" s="14">
        <f t="shared" si="45"/>
        <v>0</v>
      </c>
      <c r="J122" s="21">
        <f t="shared" si="28"/>
        <v>0</v>
      </c>
      <c r="K122" s="61"/>
    </row>
    <row r="123" spans="1:11" x14ac:dyDescent="0.25">
      <c r="A123" s="57" t="s">
        <v>266</v>
      </c>
      <c r="B123" s="55" t="s">
        <v>267</v>
      </c>
      <c r="C123" s="13">
        <f>+'7 Önk'!D105+'8 PH'!D105+'9 VGIG'!D105+'10 Járób'!D105+'11 Szoci'!D105+'12 Ovi'!D105+'13 Művház'!D105+'14 Könyvt'!D105</f>
        <v>0</v>
      </c>
      <c r="D123" s="13">
        <f>+'7 Önk'!E105+'8 PH'!E105+'9 VGIG'!E105+'10 Járób'!E105+'11 Szoci'!E105+'12 Ovi'!E105+'13 Művház'!E105+'14 Könyvt'!E105</f>
        <v>0</v>
      </c>
      <c r="E123" s="14">
        <f t="shared" si="44"/>
        <v>0</v>
      </c>
      <c r="F123" s="13">
        <f>+'7 Önk'!G105+'8 PH'!G105+'9 VGIG'!G105+'10 Járób'!G105+'11 Szoci'!G105+'12 Ovi'!G105+'13 Művház'!G105+'14 Könyvt'!G105</f>
        <v>0</v>
      </c>
      <c r="G123" s="13">
        <f>+'7 Önk'!H105+'8 PH'!H105+'9 VGIG'!H105+'10 Járób'!H105+'11 Szoci'!H105+'12 Ovi'!H105+'13 Művház'!H105+'14 Könyvt'!H105</f>
        <v>0</v>
      </c>
      <c r="H123" s="14">
        <f t="shared" si="45"/>
        <v>0</v>
      </c>
      <c r="J123" s="21">
        <f t="shared" si="28"/>
        <v>0</v>
      </c>
      <c r="K123" s="61"/>
    </row>
    <row r="124" spans="1:11" x14ac:dyDescent="0.25">
      <c r="A124" s="57" t="s">
        <v>268</v>
      </c>
      <c r="B124" s="55" t="s">
        <v>269</v>
      </c>
      <c r="C124" s="13">
        <f>+'7 Önk'!D106+'8 PH'!D106+'9 VGIG'!D106+'10 Járób'!D106+'11 Szoci'!D106+'12 Ovi'!D106+'13 Művház'!D106+'14 Könyvt'!D106</f>
        <v>29400</v>
      </c>
      <c r="D124" s="13">
        <f>+'7 Önk'!E106+'8 PH'!E106+'9 VGIG'!E106+'10 Járób'!E106+'11 Szoci'!E106+'12 Ovi'!E106+'13 Művház'!E106+'14 Könyvt'!E106+'4 Átvett és Felh bev'!F73</f>
        <v>0</v>
      </c>
      <c r="E124" s="14">
        <f t="shared" si="44"/>
        <v>29400</v>
      </c>
      <c r="F124" s="13">
        <f>+'7 Önk'!G106+'8 PH'!G106+'9 VGIG'!G106+'10 Járób'!G106+'11 Szoci'!G106+'12 Ovi'!G106+'13 Művház'!G106+'14 Könyvt'!G106</f>
        <v>30350</v>
      </c>
      <c r="G124" s="13">
        <f>+'7 Önk'!H106+'8 PH'!H106+'9 VGIG'!H106+'10 Járób'!H106+'11 Szoci'!H106+'12 Ovi'!H106+'13 Művház'!H106+'14 Könyvt'!H106</f>
        <v>0</v>
      </c>
      <c r="H124" s="14">
        <f t="shared" si="45"/>
        <v>30350</v>
      </c>
      <c r="I124" s="21">
        <v>30350</v>
      </c>
      <c r="J124" s="21">
        <f t="shared" si="28"/>
        <v>0</v>
      </c>
      <c r="K124" s="61"/>
    </row>
    <row r="125" spans="1:11" x14ac:dyDescent="0.25">
      <c r="A125" s="47" t="s">
        <v>270</v>
      </c>
      <c r="B125" s="56" t="s">
        <v>271</v>
      </c>
      <c r="C125" s="14">
        <f t="shared" ref="C125:H125" si="46">SUM(C120:C124)</f>
        <v>29400</v>
      </c>
      <c r="D125" s="14">
        <f t="shared" si="46"/>
        <v>0</v>
      </c>
      <c r="E125" s="14">
        <f t="shared" si="46"/>
        <v>29400</v>
      </c>
      <c r="F125" s="14">
        <f t="shared" si="46"/>
        <v>30350</v>
      </c>
      <c r="G125" s="14">
        <f t="shared" si="46"/>
        <v>0</v>
      </c>
      <c r="H125" s="14">
        <f t="shared" si="46"/>
        <v>30350</v>
      </c>
      <c r="I125" s="14">
        <f t="shared" ref="I125" si="47">SUM(I120:I124)</f>
        <v>30350</v>
      </c>
      <c r="J125" s="21">
        <f t="shared" si="28"/>
        <v>0</v>
      </c>
      <c r="K125" s="61"/>
    </row>
    <row r="126" spans="1:11" x14ac:dyDescent="0.25">
      <c r="A126" s="72" t="s">
        <v>272</v>
      </c>
      <c r="B126" s="58" t="s">
        <v>273</v>
      </c>
      <c r="C126" s="60">
        <f t="shared" ref="C126:H126" si="48">+C125+C119+C118+C112+C100+C93+C92</f>
        <v>4976470</v>
      </c>
      <c r="D126" s="60">
        <f t="shared" si="48"/>
        <v>1799614</v>
      </c>
      <c r="E126" s="60">
        <f t="shared" si="48"/>
        <v>6776084</v>
      </c>
      <c r="F126" s="60">
        <f t="shared" si="48"/>
        <v>2445533</v>
      </c>
      <c r="G126" s="60">
        <f t="shared" si="48"/>
        <v>897492</v>
      </c>
      <c r="H126" s="60">
        <f t="shared" si="48"/>
        <v>3343025</v>
      </c>
      <c r="I126" s="60">
        <f t="shared" ref="I126" si="49">+I125+I119+I118+I112+I100+I93+I92</f>
        <v>3343025</v>
      </c>
      <c r="J126" s="21">
        <f t="shared" si="28"/>
        <v>0</v>
      </c>
      <c r="K126" s="61"/>
    </row>
    <row r="127" spans="1:11" x14ac:dyDescent="0.25">
      <c r="A127" s="73" t="s">
        <v>274</v>
      </c>
      <c r="B127" s="74"/>
      <c r="C127" s="75">
        <f>+C119+C112+C100+C92-C33</f>
        <v>-193090</v>
      </c>
      <c r="D127" s="75">
        <f>+D119+D112+D100+D92-D33</f>
        <v>-37483</v>
      </c>
      <c r="E127" s="75">
        <f>+D127+C127</f>
        <v>-230573</v>
      </c>
      <c r="F127" s="75">
        <f>+F119+F112+F100+F92-F33</f>
        <v>-320754</v>
      </c>
      <c r="G127" s="75">
        <f>+G119+G112+G100+G92-G33</f>
        <v>122996</v>
      </c>
      <c r="H127" s="75">
        <f>+G127+F127</f>
        <v>-197758</v>
      </c>
      <c r="K127" s="61"/>
    </row>
    <row r="128" spans="1:11" x14ac:dyDescent="0.25">
      <c r="A128" s="73" t="s">
        <v>275</v>
      </c>
      <c r="B128" s="74"/>
      <c r="C128" s="75">
        <f>+C125+C118+C93-C57</f>
        <v>50687</v>
      </c>
      <c r="D128" s="75">
        <f>+D125+D118+D93-D57</f>
        <v>9322</v>
      </c>
      <c r="E128" s="75">
        <f>+D128+C128</f>
        <v>60009</v>
      </c>
      <c r="F128" s="75">
        <f>+F125+F118+F93-F57</f>
        <v>67520</v>
      </c>
      <c r="G128" s="75">
        <f>+G125+G118+G93-G57</f>
        <v>-61476</v>
      </c>
      <c r="H128" s="75">
        <f>+G128+F128</f>
        <v>6044</v>
      </c>
      <c r="K128" s="61"/>
    </row>
    <row r="129" spans="1:11" x14ac:dyDescent="0.25">
      <c r="A129" s="63" t="s">
        <v>276</v>
      </c>
      <c r="B129" s="44" t="s">
        <v>277</v>
      </c>
      <c r="C129" s="13">
        <f>+'17 hitelek'!D55</f>
        <v>0</v>
      </c>
      <c r="D129" s="13">
        <f>+'17 hitelek'!E55</f>
        <v>0</v>
      </c>
      <c r="E129" s="14">
        <f>+D129+C129</f>
        <v>0</v>
      </c>
      <c r="F129" s="13">
        <f>+'17 hitelek'!F55</f>
        <v>0</v>
      </c>
      <c r="G129" s="13">
        <f>+'17 hitelek'!G55</f>
        <v>0</v>
      </c>
      <c r="H129" s="14">
        <f>+G129+F129</f>
        <v>0</v>
      </c>
      <c r="J129" s="21">
        <f t="shared" si="28"/>
        <v>0</v>
      </c>
      <c r="K129" s="61"/>
    </row>
    <row r="130" spans="1:11" x14ac:dyDescent="0.25">
      <c r="A130" s="57" t="s">
        <v>278</v>
      </c>
      <c r="B130" s="44" t="s">
        <v>279</v>
      </c>
      <c r="C130" s="13">
        <f>+'17 hitelek'!D58</f>
        <v>0</v>
      </c>
      <c r="D130" s="13">
        <f>+'17 hitelek'!E58</f>
        <v>0</v>
      </c>
      <c r="E130" s="14">
        <f>+D130+C130</f>
        <v>0</v>
      </c>
      <c r="F130" s="13">
        <f>+'17 hitelek'!F58</f>
        <v>0</v>
      </c>
      <c r="G130" s="13">
        <f>+'17 hitelek'!G58</f>
        <v>0</v>
      </c>
      <c r="H130" s="14">
        <f>+G130+F130</f>
        <v>0</v>
      </c>
      <c r="J130" s="21">
        <f t="shared" si="28"/>
        <v>0</v>
      </c>
      <c r="K130" s="61"/>
    </row>
    <row r="131" spans="1:11" x14ac:dyDescent="0.25">
      <c r="A131" s="63" t="s">
        <v>280</v>
      </c>
      <c r="B131" s="44" t="s">
        <v>281</v>
      </c>
      <c r="C131" s="13">
        <f>+'17 hitelek'!D60</f>
        <v>88500</v>
      </c>
      <c r="D131" s="13">
        <f>+'17 hitelek'!E60</f>
        <v>0</v>
      </c>
      <c r="E131" s="14">
        <f>+D131+C131</f>
        <v>88500</v>
      </c>
      <c r="F131" s="13">
        <f>+'17 hitelek'!F60</f>
        <v>88500</v>
      </c>
      <c r="G131" s="13">
        <f>+'17 hitelek'!G60</f>
        <v>0</v>
      </c>
      <c r="H131" s="14">
        <f>+G131+F131</f>
        <v>88500</v>
      </c>
      <c r="I131" s="21">
        <v>88500</v>
      </c>
      <c r="J131" s="21">
        <f t="shared" si="28"/>
        <v>0</v>
      </c>
      <c r="K131" s="61"/>
    </row>
    <row r="132" spans="1:11" x14ac:dyDescent="0.25">
      <c r="A132" s="48" t="s">
        <v>282</v>
      </c>
      <c r="B132" s="47" t="s">
        <v>283</v>
      </c>
      <c r="C132" s="14">
        <f t="shared" ref="C132:I132" si="50">SUM(C129:C131)</f>
        <v>88500</v>
      </c>
      <c r="D132" s="14">
        <f t="shared" si="50"/>
        <v>0</v>
      </c>
      <c r="E132" s="14">
        <f t="shared" si="50"/>
        <v>88500</v>
      </c>
      <c r="F132" s="14">
        <f t="shared" si="50"/>
        <v>88500</v>
      </c>
      <c r="G132" s="14">
        <f t="shared" si="50"/>
        <v>0</v>
      </c>
      <c r="H132" s="14">
        <f t="shared" si="50"/>
        <v>88500</v>
      </c>
      <c r="I132" s="14">
        <f t="shared" si="50"/>
        <v>88500</v>
      </c>
      <c r="J132" s="21">
        <f t="shared" si="28"/>
        <v>0</v>
      </c>
    </row>
    <row r="133" spans="1:11" hidden="1" x14ac:dyDescent="0.25">
      <c r="A133" s="57" t="s">
        <v>284</v>
      </c>
      <c r="B133" s="44" t="s">
        <v>285</v>
      </c>
      <c r="C133" s="13"/>
      <c r="D133" s="13"/>
      <c r="E133" s="14">
        <f>+D133+C133</f>
        <v>0</v>
      </c>
      <c r="F133" s="13"/>
      <c r="G133" s="13"/>
      <c r="H133" s="14">
        <f>+G133+F133</f>
        <v>0</v>
      </c>
      <c r="J133" s="21">
        <f t="shared" si="28"/>
        <v>0</v>
      </c>
    </row>
    <row r="134" spans="1:11" hidden="1" x14ac:dyDescent="0.25">
      <c r="A134" s="63" t="s">
        <v>286</v>
      </c>
      <c r="B134" s="44" t="s">
        <v>287</v>
      </c>
      <c r="C134" s="13"/>
      <c r="D134" s="13"/>
      <c r="E134" s="14">
        <f>+D134+C134</f>
        <v>0</v>
      </c>
      <c r="F134" s="13"/>
      <c r="G134" s="13"/>
      <c r="H134" s="14">
        <f>+G134+F134</f>
        <v>0</v>
      </c>
      <c r="J134" s="21">
        <f t="shared" si="28"/>
        <v>0</v>
      </c>
    </row>
    <row r="135" spans="1:11" hidden="1" x14ac:dyDescent="0.25">
      <c r="A135" s="57" t="s">
        <v>288</v>
      </c>
      <c r="B135" s="44" t="s">
        <v>289</v>
      </c>
      <c r="C135" s="13"/>
      <c r="D135" s="13"/>
      <c r="E135" s="14">
        <f>+D135+C135</f>
        <v>0</v>
      </c>
      <c r="F135" s="13"/>
      <c r="G135" s="13"/>
      <c r="H135" s="14">
        <f>+G135+F135</f>
        <v>0</v>
      </c>
      <c r="J135" s="21">
        <f t="shared" si="28"/>
        <v>0</v>
      </c>
    </row>
    <row r="136" spans="1:11" hidden="1" x14ac:dyDescent="0.25">
      <c r="A136" s="63" t="s">
        <v>290</v>
      </c>
      <c r="B136" s="44" t="s">
        <v>291</v>
      </c>
      <c r="C136" s="13"/>
      <c r="D136" s="13"/>
      <c r="E136" s="14">
        <f>+D136+C136</f>
        <v>0</v>
      </c>
      <c r="F136" s="13"/>
      <c r="G136" s="13"/>
      <c r="H136" s="14">
        <f>+G136+F136</f>
        <v>0</v>
      </c>
      <c r="J136" s="21">
        <f t="shared" ref="J136:J154" si="51">+H136-I136</f>
        <v>0</v>
      </c>
    </row>
    <row r="137" spans="1:11" x14ac:dyDescent="0.25">
      <c r="A137" s="65" t="s">
        <v>292</v>
      </c>
      <c r="B137" s="47" t="s">
        <v>293</v>
      </c>
      <c r="C137" s="14">
        <f t="shared" ref="C137:H137" si="52">SUM(C133:C136)</f>
        <v>0</v>
      </c>
      <c r="D137" s="14">
        <f t="shared" si="52"/>
        <v>0</v>
      </c>
      <c r="E137" s="14">
        <f t="shared" si="52"/>
        <v>0</v>
      </c>
      <c r="F137" s="14">
        <f t="shared" si="52"/>
        <v>0</v>
      </c>
      <c r="G137" s="14">
        <f t="shared" si="52"/>
        <v>0</v>
      </c>
      <c r="H137" s="14">
        <f t="shared" si="52"/>
        <v>0</v>
      </c>
      <c r="J137" s="21">
        <f t="shared" si="51"/>
        <v>0</v>
      </c>
    </row>
    <row r="138" spans="1:11" x14ac:dyDescent="0.25">
      <c r="A138" s="44" t="s">
        <v>294</v>
      </c>
      <c r="B138" s="44" t="s">
        <v>295</v>
      </c>
      <c r="C138" s="13">
        <f>+'7 Önk'!D113+'8 PH'!D113+'9 VGIG'!D113+'10 Járób'!D113+'11 Szoci'!D113+'12 Ovi'!D113+'13 Művház'!D113+'14 Könyvt'!D113</f>
        <v>157070</v>
      </c>
      <c r="D138" s="13">
        <f>+'7 Önk'!E113+'8 PH'!E113+'9 VGIG'!E113+'10 Járób'!E113+'11 Szoci'!E113+'12 Ovi'!E113+'13 Művház'!E113+'14 Könyvt'!E113</f>
        <v>28161</v>
      </c>
      <c r="E138" s="14">
        <f>+D138+C138</f>
        <v>185231</v>
      </c>
      <c r="F138" s="13">
        <f>+'7 Önk'!G113+'8 PH'!G113+'9 VGIG'!G113+'10 Járób'!G113+'11 Szoci'!G113+'12 Ovi'!G113+'13 Művház'!G113+'14 Könyvt'!G113</f>
        <v>172759</v>
      </c>
      <c r="G138" s="13">
        <f>+'7 Önk'!H113+'8 PH'!H113+'9 VGIG'!H113+'10 Járób'!H113+'11 Szoci'!H113+'12 Ovi'!H113+'13 Művház'!H113+'14 Könyvt'!H113</f>
        <v>33622</v>
      </c>
      <c r="H138" s="14">
        <f>+G138+F138</f>
        <v>206381</v>
      </c>
      <c r="I138" s="21">
        <v>218208</v>
      </c>
      <c r="J138" s="21">
        <f t="shared" si="51"/>
        <v>-11827</v>
      </c>
    </row>
    <row r="139" spans="1:11" x14ac:dyDescent="0.25">
      <c r="A139" s="44" t="s">
        <v>296</v>
      </c>
      <c r="B139" s="44" t="s">
        <v>295</v>
      </c>
      <c r="C139" s="13">
        <f>+'7 Önk'!D114+'8 PH'!D114+'9 VGIG'!D114+'10 Járób'!D114+'11 Szoci'!D114+'12 Ovi'!D114+'13 Művház'!D114+'14 Könyvt'!D114+'4 Átvett és Felh bev'!D75</f>
        <v>11827</v>
      </c>
      <c r="D139" s="13">
        <f>+'7 Önk'!E114+'8 PH'!E114+'9 VGIG'!E114+'10 Járób'!E114+'11 Szoci'!E114+'12 Ovi'!E114+'13 Művház'!E114+'14 Könyvt'!E114+'4 Átvett és Felh bev'!E75</f>
        <v>0</v>
      </c>
      <c r="E139" s="14">
        <f>+D139+C139</f>
        <v>11827</v>
      </c>
      <c r="F139" s="13">
        <f>+'7 Önk'!G114+'8 PH'!G114+'9 VGIG'!G114+'10 Járób'!G114+'11 Szoci'!G114+'12 Ovi'!G114+'13 Művház'!G114+'14 Könyvt'!G114+'4 Átvett és Felh bev'!F75</f>
        <v>11827</v>
      </c>
      <c r="G139" s="13">
        <f>+'7 Önk'!H114+'8 PH'!H114+'9 VGIG'!H114+'10 Járób'!H114+'11 Szoci'!H114+'12 Ovi'!H114+'13 Művház'!H114+'14 Könyvt'!H114+'4 Átvett és Felh bev'!G75</f>
        <v>0</v>
      </c>
      <c r="H139" s="14">
        <f>+G139+F139</f>
        <v>11827</v>
      </c>
      <c r="J139" s="21">
        <f t="shared" si="51"/>
        <v>11827</v>
      </c>
    </row>
    <row r="140" spans="1:11" hidden="1" x14ac:dyDescent="0.25">
      <c r="A140" s="44" t="s">
        <v>297</v>
      </c>
      <c r="B140" s="44" t="s">
        <v>298</v>
      </c>
      <c r="C140" s="13"/>
      <c r="D140" s="13"/>
      <c r="E140" s="14">
        <f>+D140+C140</f>
        <v>0</v>
      </c>
      <c r="F140" s="13"/>
      <c r="G140" s="13"/>
      <c r="H140" s="14">
        <f>+G140+F140</f>
        <v>0</v>
      </c>
      <c r="J140" s="21">
        <f t="shared" si="51"/>
        <v>0</v>
      </c>
    </row>
    <row r="141" spans="1:11" hidden="1" x14ac:dyDescent="0.25">
      <c r="A141" s="44" t="s">
        <v>299</v>
      </c>
      <c r="B141" s="44" t="s">
        <v>298</v>
      </c>
      <c r="C141" s="13"/>
      <c r="D141" s="13"/>
      <c r="E141" s="14">
        <f>+D141+C141</f>
        <v>0</v>
      </c>
      <c r="F141" s="13"/>
      <c r="G141" s="13"/>
      <c r="H141" s="14">
        <f>+G141+F141</f>
        <v>0</v>
      </c>
      <c r="J141" s="21">
        <f t="shared" si="51"/>
        <v>0</v>
      </c>
    </row>
    <row r="142" spans="1:11" x14ac:dyDescent="0.25">
      <c r="A142" s="47" t="s">
        <v>300</v>
      </c>
      <c r="B142" s="47" t="s">
        <v>301</v>
      </c>
      <c r="C142" s="14">
        <f t="shared" ref="C142:I142" si="53">SUM(C138:C141)</f>
        <v>168897</v>
      </c>
      <c r="D142" s="14">
        <f t="shared" si="53"/>
        <v>28161</v>
      </c>
      <c r="E142" s="14">
        <f t="shared" si="53"/>
        <v>197058</v>
      </c>
      <c r="F142" s="14">
        <f t="shared" si="53"/>
        <v>184586</v>
      </c>
      <c r="G142" s="14">
        <f t="shared" si="53"/>
        <v>33622</v>
      </c>
      <c r="H142" s="14">
        <f t="shared" si="53"/>
        <v>218208</v>
      </c>
      <c r="I142" s="14">
        <f t="shared" si="53"/>
        <v>218208</v>
      </c>
      <c r="J142" s="21">
        <f t="shared" si="51"/>
        <v>0</v>
      </c>
    </row>
    <row r="143" spans="1:11" x14ac:dyDescent="0.25">
      <c r="A143" s="63" t="s">
        <v>302</v>
      </c>
      <c r="B143" s="44" t="s">
        <v>303</v>
      </c>
      <c r="C143" s="13">
        <f>+'7 Önk'!D118+'8 PH'!D118+'9 VGIG'!D118+'10 Járób'!D118+'11 Szoci'!D118+'12 Ovi'!D118+'13 Művház'!D118+'14 Könyvt'!D118</f>
        <v>0</v>
      </c>
      <c r="D143" s="13">
        <f>+'7 Önk'!E118+'8 PH'!E118+'9 VGIG'!E118+'10 Járób'!E118+'11 Szoci'!E118+'12 Ovi'!E118+'13 Művház'!E118+'14 Könyvt'!E118</f>
        <v>0</v>
      </c>
      <c r="E143" s="14">
        <f>+D143+C143</f>
        <v>0</v>
      </c>
      <c r="F143" s="13">
        <f>+'7 Önk'!G118+'8 PH'!G118+'9 VGIG'!G118+'10 Járób'!G118+'11 Szoci'!G118+'12 Ovi'!G118+'13 Művház'!G118+'14 Könyvt'!G118</f>
        <v>0</v>
      </c>
      <c r="G143" s="13">
        <f>+'7 Önk'!H118+'8 PH'!H118+'9 VGIG'!H118+'10 Járób'!H118+'11 Szoci'!H118+'12 Ovi'!H118+'13 Művház'!H118+'14 Könyvt'!H118</f>
        <v>0</v>
      </c>
      <c r="H143" s="14">
        <f>+G143+F143</f>
        <v>0</v>
      </c>
      <c r="J143" s="21">
        <f t="shared" si="51"/>
        <v>0</v>
      </c>
    </row>
    <row r="144" spans="1:11" x14ac:dyDescent="0.25">
      <c r="A144" s="63" t="s">
        <v>304</v>
      </c>
      <c r="B144" s="44" t="s">
        <v>305</v>
      </c>
      <c r="C144" s="13">
        <f>+'7 Önk'!D119+'8 PH'!D119+'9 VGIG'!D119+'10 Járób'!D119+'11 Szoci'!D119+'12 Ovi'!D119+'13 Művház'!D119+'14 Könyvt'!D119</f>
        <v>0</v>
      </c>
      <c r="D144" s="13">
        <f>+'7 Önk'!E119+'8 PH'!E119+'9 VGIG'!E119+'10 Járób'!E119+'11 Szoci'!E119+'12 Ovi'!E119+'13 Művház'!E119+'14 Könyvt'!E119</f>
        <v>0</v>
      </c>
      <c r="E144" s="14">
        <f>+D144+C144</f>
        <v>0</v>
      </c>
      <c r="F144" s="13">
        <f>+'7 Önk'!G119+'8 PH'!G119+'9 VGIG'!G119+'10 Járób'!G119+'11 Szoci'!G119+'12 Ovi'!G119+'13 Művház'!G119+'14 Könyvt'!G119</f>
        <v>0</v>
      </c>
      <c r="G144" s="13">
        <f>+'7 Önk'!H119+'8 PH'!H119+'9 VGIG'!H119+'10 Járób'!H119+'11 Szoci'!H119+'12 Ovi'!H119+'13 Művház'!H119+'14 Könyvt'!H119</f>
        <v>0</v>
      </c>
      <c r="H144" s="14">
        <f>+G144+F144</f>
        <v>0</v>
      </c>
      <c r="J144" s="21">
        <f t="shared" si="51"/>
        <v>0</v>
      </c>
    </row>
    <row r="145" spans="1:10" x14ac:dyDescent="0.25">
      <c r="A145" s="63" t="s">
        <v>306</v>
      </c>
      <c r="B145" s="44" t="s">
        <v>307</v>
      </c>
      <c r="C145" s="13"/>
      <c r="D145" s="13"/>
      <c r="E145" s="14"/>
      <c r="F145" s="13"/>
      <c r="G145" s="13"/>
      <c r="H145" s="14"/>
      <c r="J145" s="21">
        <f t="shared" si="51"/>
        <v>0</v>
      </c>
    </row>
    <row r="146" spans="1:10" x14ac:dyDescent="0.25">
      <c r="A146" s="63" t="s">
        <v>308</v>
      </c>
      <c r="B146" s="44" t="s">
        <v>309</v>
      </c>
      <c r="C146" s="13">
        <f>+'7 Önk'!D123+'8 PH'!D123+'9 VGIG'!D123+'10 Járób'!D123+'11 Szoci'!D123+'12 Ovi'!D123+'13 Művház'!D123+'14 Könyvt'!D123</f>
        <v>0</v>
      </c>
      <c r="D146" s="13">
        <f>+'7 Önk'!E123+'8 PH'!E123+'9 VGIG'!E123+'10 Járób'!E123+'11 Szoci'!E123+'12 Ovi'!E123+'13 Művház'!E123+'14 Könyvt'!E123</f>
        <v>0</v>
      </c>
      <c r="E146" s="14">
        <f>+D146+C146</f>
        <v>0</v>
      </c>
      <c r="F146" s="13">
        <f>+'7 Önk'!G123+'8 PH'!G123+'9 VGIG'!G123+'10 Járób'!G123+'11 Szoci'!G123+'12 Ovi'!G123+'13 Művház'!G123+'14 Könyvt'!G123</f>
        <v>0</v>
      </c>
      <c r="G146" s="13">
        <f>+'7 Önk'!H123+'8 PH'!H123+'9 VGIG'!H123+'10 Járób'!H123+'11 Szoci'!H123+'12 Ovi'!H123+'13 Művház'!H123+'14 Könyvt'!H123</f>
        <v>0</v>
      </c>
      <c r="H146" s="14">
        <f>+G146+F146</f>
        <v>0</v>
      </c>
      <c r="J146" s="21">
        <f t="shared" si="51"/>
        <v>0</v>
      </c>
    </row>
    <row r="147" spans="1:10" x14ac:dyDescent="0.25">
      <c r="A147" s="57" t="s">
        <v>310</v>
      </c>
      <c r="B147" s="44" t="s">
        <v>311</v>
      </c>
      <c r="C147" s="13">
        <f>+'7 Önk'!D124+'8 PH'!D124+'9 VGIG'!D124+'10 Járób'!D124+'11 Szoci'!D124+'12 Ovi'!D124+'13 Művház'!D124+'14 Könyvt'!D124</f>
        <v>0</v>
      </c>
      <c r="D147" s="13">
        <f>+'7 Önk'!E124+'8 PH'!E124+'9 VGIG'!E124+'10 Járób'!E124+'11 Szoci'!E124+'12 Ovi'!E124+'13 Művház'!E124+'14 Könyvt'!E124</f>
        <v>0</v>
      </c>
      <c r="E147" s="14">
        <f>+D147+C147</f>
        <v>0</v>
      </c>
      <c r="F147" s="13">
        <f>+'7 Önk'!G124+'8 PH'!G124+'9 VGIG'!G124+'10 Járób'!G124+'11 Szoci'!G124+'12 Ovi'!G124+'13 Művház'!G124+'14 Könyvt'!G124</f>
        <v>0</v>
      </c>
      <c r="G147" s="13">
        <f>+'7 Önk'!H124+'8 PH'!H124+'9 VGIG'!H124+'10 Járób'!H124+'11 Szoci'!H124+'12 Ovi'!H124+'13 Művház'!H124+'14 Könyvt'!H124</f>
        <v>0</v>
      </c>
      <c r="H147" s="14">
        <f>+G147+F147</f>
        <v>0</v>
      </c>
      <c r="J147" s="21">
        <f t="shared" si="51"/>
        <v>0</v>
      </c>
    </row>
    <row r="148" spans="1:10" x14ac:dyDescent="0.25">
      <c r="A148" s="57" t="s">
        <v>312</v>
      </c>
      <c r="B148" s="44" t="s">
        <v>313</v>
      </c>
      <c r="C148" s="13">
        <f>+'7 Önk'!D125+'8 PH'!D125+'9 VGIG'!D125+'10 Járób'!D125+'11 Szoci'!D125+'12 Ovi'!D125+'13 Művház'!D125+'14 Könyvt'!D125</f>
        <v>0</v>
      </c>
      <c r="D148" s="13">
        <f>+'7 Önk'!E125+'8 PH'!E125+'9 VGIG'!E125+'10 Járób'!E125+'11 Szoci'!E125+'12 Ovi'!E125+'13 Művház'!E125+'14 Könyvt'!E125</f>
        <v>0</v>
      </c>
      <c r="E148" s="14">
        <f>+D148+C148</f>
        <v>0</v>
      </c>
      <c r="F148" s="13">
        <f>+'7 Önk'!G125+'8 PH'!G125+'9 VGIG'!G125+'10 Járób'!G125+'11 Szoci'!G125+'12 Ovi'!G125+'13 Művház'!G125+'14 Könyvt'!G125</f>
        <v>0</v>
      </c>
      <c r="G148" s="13">
        <f>+'7 Önk'!H125+'8 PH'!H125+'9 VGIG'!H125+'10 Járób'!H125+'11 Szoci'!H125+'12 Ovi'!H125+'13 Művház'!H125+'14 Könyvt'!H125</f>
        <v>0</v>
      </c>
      <c r="H148" s="14">
        <f>+G148+F148</f>
        <v>0</v>
      </c>
      <c r="J148" s="21">
        <f t="shared" si="51"/>
        <v>0</v>
      </c>
    </row>
    <row r="149" spans="1:10" x14ac:dyDescent="0.25">
      <c r="A149" s="48" t="s">
        <v>314</v>
      </c>
      <c r="B149" s="47" t="s">
        <v>315</v>
      </c>
      <c r="C149" s="14">
        <f t="shared" ref="C149:H149" si="54">SUM(C143:C147)+C142+C137+C132</f>
        <v>257397</v>
      </c>
      <c r="D149" s="14">
        <f t="shared" si="54"/>
        <v>28161</v>
      </c>
      <c r="E149" s="14">
        <f t="shared" si="54"/>
        <v>285558</v>
      </c>
      <c r="F149" s="14">
        <f t="shared" si="54"/>
        <v>273086</v>
      </c>
      <c r="G149" s="14">
        <f t="shared" si="54"/>
        <v>33622</v>
      </c>
      <c r="H149" s="14">
        <f t="shared" si="54"/>
        <v>306708</v>
      </c>
      <c r="I149" s="14">
        <f t="shared" ref="I149" si="55">SUM(I143:I147)+I142+I137+I132</f>
        <v>306708</v>
      </c>
      <c r="J149" s="21">
        <f t="shared" si="51"/>
        <v>0</v>
      </c>
    </row>
    <row r="150" spans="1:10" hidden="1" x14ac:dyDescent="0.25">
      <c r="A150" s="63" t="s">
        <v>316</v>
      </c>
      <c r="B150" s="44" t="s">
        <v>317</v>
      </c>
      <c r="C150" s="13">
        <f>+'7 Önk'!D127+'8 PH'!D127+'9 VGIG'!D127+'10 Járób'!D127+'11 Szoci'!D127+'12 Ovi'!D127+'13 Művház'!D127+'14 Könyvt'!D127</f>
        <v>0</v>
      </c>
      <c r="D150" s="13">
        <f>+'7 Önk'!E127+'8 PH'!E127+'9 VGIG'!E127+'10 Járób'!E127+'11 Szoci'!E127+'12 Ovi'!E127+'13 Művház'!E127+'14 Könyvt'!E127</f>
        <v>0</v>
      </c>
      <c r="E150" s="14">
        <f>+D150+C150</f>
        <v>0</v>
      </c>
      <c r="F150" s="13">
        <f>+'7 Önk'!G127+'8 PH'!G127+'9 VGIG'!G127+'10 Járób'!G127+'11 Szoci'!G127+'12 Ovi'!G127+'13 Művház'!G127+'14 Könyvt'!G127</f>
        <v>0</v>
      </c>
      <c r="G150" s="13">
        <f>+'7 Önk'!H127+'8 PH'!H127+'9 VGIG'!H127+'10 Járób'!H127+'11 Szoci'!H127+'12 Ovi'!H127+'13 Művház'!H127+'14 Könyvt'!H127</f>
        <v>0</v>
      </c>
      <c r="H150" s="14">
        <f t="shared" ref="H150:I152" si="56">+G150+F150</f>
        <v>0</v>
      </c>
      <c r="I150" s="14">
        <f t="shared" si="56"/>
        <v>0</v>
      </c>
      <c r="J150" s="21">
        <f t="shared" si="51"/>
        <v>0</v>
      </c>
    </row>
    <row r="151" spans="1:10" hidden="1" x14ac:dyDescent="0.25">
      <c r="A151" s="57" t="s">
        <v>318</v>
      </c>
      <c r="B151" s="44" t="s">
        <v>319</v>
      </c>
      <c r="C151" s="13">
        <f>+'7 Önk'!D128+'8 PH'!D128+'9 VGIG'!D128+'10 Járób'!D128+'11 Szoci'!D128+'12 Ovi'!D128+'13 Művház'!D128+'14 Könyvt'!D128</f>
        <v>0</v>
      </c>
      <c r="D151" s="13">
        <f>+'7 Önk'!E128+'8 PH'!E128+'9 VGIG'!E128+'10 Járób'!E128+'11 Szoci'!E128+'12 Ovi'!E128+'13 Művház'!E128+'14 Könyvt'!E128</f>
        <v>0</v>
      </c>
      <c r="E151" s="14">
        <f>+D151+C151</f>
        <v>0</v>
      </c>
      <c r="F151" s="13">
        <f>+'7 Önk'!G128+'8 PH'!G128+'9 VGIG'!G128+'10 Járób'!G128+'11 Szoci'!G128+'12 Ovi'!G128+'13 Művház'!G128+'14 Könyvt'!G128</f>
        <v>0</v>
      </c>
      <c r="G151" s="13">
        <f>+'7 Önk'!H128+'8 PH'!H128+'9 VGIG'!H128+'10 Járób'!H128+'11 Szoci'!H128+'12 Ovi'!H128+'13 Művház'!H128+'14 Könyvt'!H128</f>
        <v>0</v>
      </c>
      <c r="H151" s="14">
        <f t="shared" si="56"/>
        <v>0</v>
      </c>
      <c r="I151" s="14">
        <f t="shared" si="56"/>
        <v>0</v>
      </c>
      <c r="J151" s="21">
        <f t="shared" si="51"/>
        <v>0</v>
      </c>
    </row>
    <row r="152" spans="1:10" hidden="1" x14ac:dyDescent="0.25">
      <c r="A152" s="57" t="s">
        <v>320</v>
      </c>
      <c r="B152" s="44" t="s">
        <v>321</v>
      </c>
      <c r="C152" s="13">
        <f>+'7 Önk'!D129+'8 PH'!D129+'9 VGIG'!D129+'10 Járób'!D129+'11 Szoci'!D129+'12 Ovi'!D129+'13 Művház'!D129+'14 Könyvt'!D129</f>
        <v>0</v>
      </c>
      <c r="D152" s="13">
        <f>+'7 Önk'!E129+'8 PH'!E129+'9 VGIG'!E129+'10 Járób'!E129+'11 Szoci'!E129+'12 Ovi'!E129+'13 Művház'!E129+'14 Könyvt'!E129</f>
        <v>0</v>
      </c>
      <c r="E152" s="14">
        <f>+D152+C152</f>
        <v>0</v>
      </c>
      <c r="F152" s="13">
        <f>+'7 Önk'!G129+'8 PH'!G129+'9 VGIG'!G129+'10 Járób'!G129+'11 Szoci'!G129+'12 Ovi'!G129+'13 Művház'!G129+'14 Könyvt'!G129</f>
        <v>0</v>
      </c>
      <c r="G152" s="13">
        <f>+'7 Önk'!H129+'8 PH'!H129+'9 VGIG'!H129+'10 Járób'!H129+'11 Szoci'!H129+'12 Ovi'!H129+'13 Művház'!H129+'14 Könyvt'!H129</f>
        <v>0</v>
      </c>
      <c r="H152" s="14">
        <f t="shared" si="56"/>
        <v>0</v>
      </c>
      <c r="I152" s="14">
        <f t="shared" si="56"/>
        <v>0</v>
      </c>
      <c r="J152" s="21">
        <f t="shared" si="51"/>
        <v>0</v>
      </c>
    </row>
    <row r="153" spans="1:10" x14ac:dyDescent="0.25">
      <c r="A153" s="66" t="s">
        <v>322</v>
      </c>
      <c r="B153" s="67" t="s">
        <v>323</v>
      </c>
      <c r="C153" s="60">
        <f t="shared" ref="C153:H153" si="57">+C151+C150+C149+C152</f>
        <v>257397</v>
      </c>
      <c r="D153" s="60">
        <f t="shared" si="57"/>
        <v>28161</v>
      </c>
      <c r="E153" s="60">
        <f t="shared" si="57"/>
        <v>285558</v>
      </c>
      <c r="F153" s="60">
        <f t="shared" si="57"/>
        <v>273086</v>
      </c>
      <c r="G153" s="60">
        <f t="shared" si="57"/>
        <v>33622</v>
      </c>
      <c r="H153" s="60">
        <f t="shared" si="57"/>
        <v>306708</v>
      </c>
      <c r="I153" s="60">
        <f t="shared" ref="I153" si="58">+I151+I150+I149+I152</f>
        <v>306708</v>
      </c>
      <c r="J153" s="21">
        <f t="shared" si="51"/>
        <v>0</v>
      </c>
    </row>
    <row r="154" spans="1:10" x14ac:dyDescent="0.25">
      <c r="A154" s="17" t="s">
        <v>324</v>
      </c>
      <c r="B154" s="17" t="s">
        <v>325</v>
      </c>
      <c r="C154" s="18">
        <f t="shared" ref="C154:H154" si="59">+C126+C153</f>
        <v>5233867</v>
      </c>
      <c r="D154" s="18">
        <f t="shared" si="59"/>
        <v>1827775</v>
      </c>
      <c r="E154" s="18">
        <f t="shared" si="59"/>
        <v>7061642</v>
      </c>
      <c r="F154" s="18">
        <f t="shared" si="59"/>
        <v>2718619</v>
      </c>
      <c r="G154" s="18">
        <f t="shared" si="59"/>
        <v>931114</v>
      </c>
      <c r="H154" s="18">
        <f t="shared" si="59"/>
        <v>3649733</v>
      </c>
      <c r="I154" s="18">
        <f t="shared" ref="I154" si="60">+I126+I153</f>
        <v>3649733</v>
      </c>
      <c r="J154" s="21">
        <f t="shared" si="51"/>
        <v>0</v>
      </c>
    </row>
    <row r="155" spans="1:10" x14ac:dyDescent="0.25">
      <c r="A155" s="2"/>
      <c r="B155" s="2"/>
      <c r="C155" s="3"/>
      <c r="D155" s="3"/>
      <c r="E155" s="76"/>
      <c r="F155" s="3"/>
      <c r="G155" s="3"/>
      <c r="H155" s="76"/>
    </row>
    <row r="156" spans="1:10" x14ac:dyDescent="0.25">
      <c r="A156" s="15" t="s">
        <v>326</v>
      </c>
      <c r="B156" s="15"/>
      <c r="C156" s="14">
        <f t="shared" ref="C156:H156" si="61">+C126-C58</f>
        <v>-142403</v>
      </c>
      <c r="D156" s="14">
        <f t="shared" si="61"/>
        <v>-28161</v>
      </c>
      <c r="E156" s="14">
        <f t="shared" si="61"/>
        <v>-170564</v>
      </c>
      <c r="F156" s="14">
        <f t="shared" si="61"/>
        <v>-253234</v>
      </c>
      <c r="G156" s="14">
        <f t="shared" si="61"/>
        <v>61520</v>
      </c>
      <c r="H156" s="14">
        <f t="shared" si="61"/>
        <v>-191714</v>
      </c>
    </row>
    <row r="157" spans="1:10" x14ac:dyDescent="0.25">
      <c r="A157" s="15" t="s">
        <v>327</v>
      </c>
      <c r="B157" s="15"/>
      <c r="C157" s="14">
        <f t="shared" ref="C157:H157" si="62">+C153-C75</f>
        <v>142403</v>
      </c>
      <c r="D157" s="14">
        <f t="shared" si="62"/>
        <v>28161</v>
      </c>
      <c r="E157" s="14">
        <f t="shared" si="62"/>
        <v>170564</v>
      </c>
      <c r="F157" s="14">
        <f t="shared" si="62"/>
        <v>158092</v>
      </c>
      <c r="G157" s="14">
        <f t="shared" si="62"/>
        <v>33622</v>
      </c>
      <c r="H157" s="14">
        <f t="shared" si="62"/>
        <v>191714</v>
      </c>
    </row>
    <row r="158" spans="1:10" x14ac:dyDescent="0.25">
      <c r="A158" s="77"/>
      <c r="B158" s="77"/>
      <c r="C158" s="71"/>
      <c r="D158" s="71"/>
      <c r="E158" s="71"/>
      <c r="F158" s="71"/>
      <c r="G158" s="71"/>
      <c r="H158" s="71"/>
    </row>
    <row r="159" spans="1:10" x14ac:dyDescent="0.25">
      <c r="A159" s="15" t="s">
        <v>328</v>
      </c>
      <c r="B159" s="15"/>
      <c r="C159" s="14">
        <f>+C127+C131+C138-C61-C65</f>
        <v>-62514</v>
      </c>
      <c r="D159" s="14">
        <f>+D127+D132+D138-D61</f>
        <v>-9322</v>
      </c>
      <c r="E159" s="14">
        <f>+C159+D159</f>
        <v>-71836</v>
      </c>
      <c r="F159" s="14">
        <f>+F127+F131+F138-F61-F65</f>
        <v>-174489</v>
      </c>
      <c r="G159" s="14">
        <f>+G127+G132+G138-G61</f>
        <v>156618</v>
      </c>
      <c r="H159" s="14">
        <f>+F159+G159</f>
        <v>-17871</v>
      </c>
    </row>
    <row r="160" spans="1:10" x14ac:dyDescent="0.25">
      <c r="A160" s="15" t="s">
        <v>329</v>
      </c>
      <c r="B160" s="15"/>
      <c r="C160" s="14">
        <f t="shared" ref="C160:H160" si="63">+C128+C139-C59+C129+C130</f>
        <v>62514</v>
      </c>
      <c r="D160" s="14">
        <f t="shared" si="63"/>
        <v>9322</v>
      </c>
      <c r="E160" s="14">
        <f t="shared" si="63"/>
        <v>71836</v>
      </c>
      <c r="F160" s="14">
        <f t="shared" si="63"/>
        <v>79347</v>
      </c>
      <c r="G160" s="14">
        <f t="shared" si="63"/>
        <v>-61476</v>
      </c>
      <c r="H160" s="14">
        <f t="shared" si="63"/>
        <v>17871</v>
      </c>
    </row>
    <row r="161" spans="1:8" x14ac:dyDescent="0.25">
      <c r="A161" s="2"/>
      <c r="B161" s="2"/>
      <c r="C161" s="3"/>
      <c r="D161" s="3"/>
      <c r="E161" s="76"/>
      <c r="F161" s="3"/>
      <c r="G161" s="3"/>
      <c r="H161" s="76"/>
    </row>
    <row r="162" spans="1:8" x14ac:dyDescent="0.25">
      <c r="A162" s="78" t="s">
        <v>330</v>
      </c>
      <c r="B162" s="2"/>
      <c r="C162" s="3">
        <f t="shared" ref="C162:H162" si="64">+C154-C76</f>
        <v>0</v>
      </c>
      <c r="D162" s="3">
        <f t="shared" si="64"/>
        <v>0</v>
      </c>
      <c r="E162" s="3">
        <f t="shared" si="64"/>
        <v>0</v>
      </c>
      <c r="F162" s="3">
        <f t="shared" si="64"/>
        <v>-95142</v>
      </c>
      <c r="G162" s="3">
        <f t="shared" si="64"/>
        <v>95142</v>
      </c>
      <c r="H162" s="3">
        <f t="shared" si="64"/>
        <v>0</v>
      </c>
    </row>
    <row r="163" spans="1:8" x14ac:dyDescent="0.25">
      <c r="A163" s="2"/>
      <c r="B163" s="2"/>
      <c r="C163" s="3"/>
      <c r="D163" s="3"/>
      <c r="E163" s="76"/>
      <c r="F163" s="3"/>
      <c r="G163" s="3"/>
      <c r="H163" s="76"/>
    </row>
    <row r="164" spans="1:8" x14ac:dyDescent="0.25">
      <c r="A164" s="2"/>
      <c r="B164" s="2"/>
      <c r="C164" s="3"/>
      <c r="D164" s="3"/>
      <c r="E164" s="76"/>
      <c r="F164" s="3"/>
      <c r="G164" s="3"/>
      <c r="H164" s="76"/>
    </row>
    <row r="165" spans="1:8" x14ac:dyDescent="0.25">
      <c r="A165" s="2"/>
      <c r="B165" s="2"/>
      <c r="C165" s="3"/>
      <c r="D165" s="3"/>
      <c r="E165" s="76"/>
      <c r="F165" s="3"/>
      <c r="G165" s="3"/>
      <c r="H165" s="76"/>
    </row>
    <row r="166" spans="1:8" x14ac:dyDescent="0.25">
      <c r="A166" s="2"/>
      <c r="B166" s="2"/>
      <c r="C166" s="3"/>
      <c r="D166" s="3"/>
      <c r="E166" s="76"/>
      <c r="F166" s="3"/>
      <c r="G166" s="3"/>
      <c r="H166" s="76"/>
    </row>
    <row r="167" spans="1:8" x14ac:dyDescent="0.25">
      <c r="A167" s="2"/>
      <c r="B167" s="2"/>
      <c r="C167" s="3"/>
      <c r="D167" s="3"/>
      <c r="E167" s="76"/>
      <c r="F167" s="3"/>
      <c r="G167" s="3"/>
      <c r="H167" s="76"/>
    </row>
    <row r="168" spans="1:8" x14ac:dyDescent="0.25">
      <c r="A168" s="2"/>
      <c r="B168" s="2"/>
      <c r="C168" s="3"/>
      <c r="D168" s="3"/>
      <c r="E168" s="76"/>
      <c r="F168" s="3"/>
      <c r="G168" s="3"/>
      <c r="H168" s="76"/>
    </row>
    <row r="169" spans="1:8" x14ac:dyDescent="0.25">
      <c r="A169" s="2"/>
      <c r="B169" s="2"/>
      <c r="C169" s="3"/>
      <c r="D169" s="3"/>
      <c r="E169" s="76"/>
      <c r="F169" s="3"/>
      <c r="G169" s="3"/>
      <c r="H169" s="76"/>
    </row>
    <row r="170" spans="1:8" x14ac:dyDescent="0.25">
      <c r="A170" s="2"/>
      <c r="B170" s="2"/>
      <c r="C170" s="3"/>
      <c r="D170" s="3"/>
      <c r="E170" s="76"/>
      <c r="F170" s="3"/>
      <c r="G170" s="3"/>
      <c r="H170" s="76"/>
    </row>
    <row r="171" spans="1:8" x14ac:dyDescent="0.25">
      <c r="A171" s="2"/>
      <c r="B171" s="2"/>
      <c r="C171" s="3"/>
      <c r="D171" s="3"/>
      <c r="E171" s="76"/>
      <c r="F171" s="3"/>
      <c r="G171" s="3"/>
      <c r="H171" s="76"/>
    </row>
    <row r="172" spans="1:8" x14ac:dyDescent="0.25">
      <c r="A172" s="2"/>
      <c r="B172" s="2"/>
      <c r="C172" s="3"/>
      <c r="D172" s="3"/>
      <c r="E172" s="76"/>
      <c r="F172" s="3"/>
      <c r="G172" s="3"/>
      <c r="H172" s="76"/>
    </row>
    <row r="173" spans="1:8" x14ac:dyDescent="0.25">
      <c r="A173" s="2"/>
      <c r="B173" s="2"/>
      <c r="C173" s="3"/>
      <c r="D173" s="3"/>
      <c r="E173" s="76"/>
      <c r="F173" s="3"/>
      <c r="G173" s="3"/>
      <c r="H173" s="76"/>
    </row>
    <row r="174" spans="1:8" x14ac:dyDescent="0.25">
      <c r="A174" s="2"/>
      <c r="B174" s="2"/>
      <c r="C174" s="3"/>
      <c r="D174" s="3"/>
      <c r="E174" s="76"/>
      <c r="F174" s="3"/>
      <c r="G174" s="3"/>
      <c r="H174" s="76"/>
    </row>
    <row r="175" spans="1:8" x14ac:dyDescent="0.25">
      <c r="A175" s="2"/>
      <c r="B175" s="2"/>
      <c r="C175" s="3"/>
      <c r="D175" s="3"/>
      <c r="E175" s="76"/>
      <c r="F175" s="3"/>
      <c r="G175" s="3"/>
      <c r="H175" s="76"/>
    </row>
    <row r="176" spans="1:8" x14ac:dyDescent="0.25">
      <c r="A176" s="2"/>
      <c r="B176" s="2"/>
      <c r="C176" s="3"/>
      <c r="D176" s="3"/>
      <c r="E176" s="76"/>
      <c r="F176" s="3"/>
      <c r="G176" s="3"/>
      <c r="H176" s="76"/>
    </row>
    <row r="177" spans="1:8" x14ac:dyDescent="0.25">
      <c r="A177" s="2"/>
      <c r="B177" s="2"/>
      <c r="C177" s="3"/>
      <c r="D177" s="3"/>
      <c r="E177" s="76"/>
      <c r="F177" s="3"/>
      <c r="G177" s="3"/>
      <c r="H177" s="76"/>
    </row>
    <row r="178" spans="1:8" x14ac:dyDescent="0.25">
      <c r="A178" s="2"/>
      <c r="B178" s="2"/>
      <c r="C178" s="3"/>
      <c r="D178" s="3"/>
      <c r="E178" s="76"/>
      <c r="F178" s="3"/>
      <c r="G178" s="3"/>
      <c r="H178" s="76"/>
    </row>
    <row r="179" spans="1:8" x14ac:dyDescent="0.25">
      <c r="A179" s="2"/>
      <c r="B179" s="2"/>
      <c r="C179" s="3"/>
      <c r="D179" s="3"/>
      <c r="E179" s="76"/>
      <c r="F179" s="3"/>
      <c r="G179" s="3"/>
      <c r="H179" s="76"/>
    </row>
    <row r="180" spans="1:8" x14ac:dyDescent="0.25">
      <c r="A180" s="2"/>
      <c r="B180" s="2"/>
      <c r="C180" s="3"/>
      <c r="D180" s="3"/>
      <c r="E180" s="76"/>
      <c r="F180" s="3"/>
      <c r="G180" s="3"/>
      <c r="H180" s="76"/>
    </row>
    <row r="181" spans="1:8" x14ac:dyDescent="0.25">
      <c r="A181" s="2"/>
      <c r="B181" s="2"/>
      <c r="C181" s="3"/>
      <c r="D181" s="3"/>
      <c r="E181" s="76"/>
      <c r="F181" s="3"/>
      <c r="G181" s="3"/>
      <c r="H181" s="76"/>
    </row>
    <row r="182" spans="1:8" x14ac:dyDescent="0.25">
      <c r="A182" s="2"/>
      <c r="B182" s="2"/>
      <c r="C182" s="3"/>
      <c r="D182" s="3"/>
      <c r="E182" s="76"/>
      <c r="F182" s="3"/>
      <c r="G182" s="3"/>
      <c r="H182" s="76"/>
    </row>
    <row r="183" spans="1:8" x14ac:dyDescent="0.25">
      <c r="A183" s="2"/>
      <c r="B183" s="2"/>
      <c r="C183" s="3"/>
      <c r="D183" s="3"/>
      <c r="E183" s="76"/>
      <c r="F183" s="3"/>
      <c r="G183" s="3"/>
      <c r="H183" s="76"/>
    </row>
    <row r="184" spans="1:8" x14ac:dyDescent="0.25">
      <c r="A184" s="2"/>
      <c r="B184" s="2"/>
      <c r="C184" s="3"/>
      <c r="D184" s="3"/>
      <c r="E184" s="76"/>
      <c r="F184" s="3"/>
      <c r="G184" s="3"/>
      <c r="H184" s="76"/>
    </row>
    <row r="185" spans="1:8" x14ac:dyDescent="0.25">
      <c r="A185" s="2"/>
      <c r="B185" s="2"/>
      <c r="C185" s="3"/>
      <c r="D185" s="3"/>
      <c r="E185" s="76"/>
      <c r="F185" s="3"/>
      <c r="G185" s="3"/>
      <c r="H185" s="76"/>
    </row>
    <row r="186" spans="1:8" x14ac:dyDescent="0.25">
      <c r="A186" s="2"/>
      <c r="B186" s="2"/>
      <c r="C186" s="3"/>
      <c r="D186" s="3"/>
      <c r="E186" s="76"/>
      <c r="F186" s="3"/>
      <c r="G186" s="3"/>
      <c r="H186" s="76"/>
    </row>
    <row r="187" spans="1:8" x14ac:dyDescent="0.25">
      <c r="A187" s="2"/>
      <c r="B187" s="2"/>
      <c r="C187" s="3"/>
      <c r="D187" s="3"/>
      <c r="E187" s="76"/>
      <c r="F187" s="3"/>
      <c r="G187" s="3"/>
      <c r="H187" s="76"/>
    </row>
    <row r="188" spans="1:8" x14ac:dyDescent="0.25">
      <c r="A188" s="2"/>
      <c r="B188" s="2"/>
      <c r="C188" s="3"/>
      <c r="D188" s="3"/>
      <c r="E188" s="76"/>
      <c r="F188" s="3"/>
      <c r="G188" s="3"/>
      <c r="H188" s="76"/>
    </row>
    <row r="189" spans="1:8" x14ac:dyDescent="0.25">
      <c r="A189" s="2"/>
      <c r="B189" s="2"/>
      <c r="C189" s="3"/>
      <c r="D189" s="3"/>
      <c r="E189" s="76"/>
      <c r="F189" s="3"/>
      <c r="G189" s="3"/>
      <c r="H189" s="76"/>
    </row>
    <row r="190" spans="1:8" x14ac:dyDescent="0.25">
      <c r="A190" s="2"/>
      <c r="B190" s="2"/>
      <c r="C190" s="3"/>
      <c r="D190" s="3"/>
      <c r="E190" s="76"/>
      <c r="F190" s="3"/>
      <c r="G190" s="3"/>
      <c r="H190" s="76"/>
    </row>
    <row r="191" spans="1:8" x14ac:dyDescent="0.25">
      <c r="A191" s="2"/>
      <c r="B191" s="2"/>
      <c r="C191" s="3"/>
      <c r="D191" s="3"/>
      <c r="E191" s="76"/>
      <c r="F191" s="3"/>
      <c r="G191" s="3"/>
      <c r="H191" s="76"/>
    </row>
    <row r="192" spans="1:8" x14ac:dyDescent="0.25">
      <c r="A192" s="2"/>
      <c r="B192" s="2"/>
      <c r="C192" s="3"/>
      <c r="D192" s="3"/>
      <c r="E192" s="76"/>
      <c r="F192" s="3"/>
      <c r="G192" s="3"/>
      <c r="H192" s="76"/>
    </row>
    <row r="193" spans="1:8" x14ac:dyDescent="0.25">
      <c r="A193" s="2"/>
      <c r="B193" s="2"/>
      <c r="C193" s="3"/>
      <c r="D193" s="3"/>
      <c r="E193" s="76"/>
      <c r="F193" s="3"/>
      <c r="G193" s="3"/>
      <c r="H193" s="76"/>
    </row>
    <row r="194" spans="1:8" x14ac:dyDescent="0.25">
      <c r="A194" s="2"/>
      <c r="B194" s="2"/>
      <c r="C194" s="3"/>
      <c r="D194" s="3"/>
      <c r="E194" s="76"/>
      <c r="F194" s="3"/>
      <c r="G194" s="3"/>
      <c r="H194" s="76"/>
    </row>
    <row r="195" spans="1:8" x14ac:dyDescent="0.25">
      <c r="A195" s="2"/>
      <c r="B195" s="2"/>
      <c r="C195" s="3"/>
      <c r="D195" s="3"/>
      <c r="E195" s="76"/>
      <c r="F195" s="3"/>
      <c r="G195" s="3"/>
      <c r="H195" s="76"/>
    </row>
    <row r="196" spans="1:8" x14ac:dyDescent="0.25">
      <c r="A196" s="2"/>
      <c r="B196" s="2"/>
      <c r="C196" s="3"/>
      <c r="D196" s="3"/>
      <c r="E196" s="76"/>
      <c r="F196" s="3"/>
      <c r="G196" s="3"/>
      <c r="H196" s="76"/>
    </row>
    <row r="197" spans="1:8" x14ac:dyDescent="0.25">
      <c r="A197" s="2"/>
      <c r="B197" s="2"/>
      <c r="C197" s="3"/>
      <c r="D197" s="3"/>
      <c r="E197" s="76"/>
      <c r="F197" s="3"/>
      <c r="G197" s="3"/>
      <c r="H197" s="76"/>
    </row>
    <row r="198" spans="1:8" x14ac:dyDescent="0.25">
      <c r="A198" s="2"/>
      <c r="B198" s="2"/>
      <c r="C198" s="3"/>
      <c r="D198" s="3"/>
      <c r="E198" s="76"/>
      <c r="F198" s="3"/>
      <c r="G198" s="3"/>
      <c r="H198" s="76"/>
    </row>
    <row r="199" spans="1:8" x14ac:dyDescent="0.25">
      <c r="A199" s="2"/>
      <c r="B199" s="2"/>
      <c r="C199" s="3"/>
      <c r="D199" s="3"/>
      <c r="E199" s="76"/>
      <c r="F199" s="3"/>
      <c r="G199" s="3"/>
      <c r="H199" s="76"/>
    </row>
    <row r="200" spans="1:8" x14ac:dyDescent="0.25">
      <c r="A200" s="2"/>
      <c r="B200" s="2"/>
      <c r="C200" s="3"/>
      <c r="D200" s="3"/>
      <c r="E200" s="76"/>
      <c r="F200" s="3"/>
      <c r="G200" s="3"/>
      <c r="H200" s="76"/>
    </row>
    <row r="201" spans="1:8" x14ac:dyDescent="0.25">
      <c r="A201" s="2"/>
      <c r="B201" s="2"/>
      <c r="C201" s="3"/>
      <c r="D201" s="3"/>
      <c r="E201" s="76"/>
      <c r="F201" s="3"/>
      <c r="G201" s="3"/>
      <c r="H201" s="76"/>
    </row>
    <row r="202" spans="1:8" x14ac:dyDescent="0.25">
      <c r="A202" s="2"/>
      <c r="B202" s="2"/>
      <c r="C202" s="3"/>
      <c r="D202" s="3"/>
      <c r="E202" s="76"/>
      <c r="F202" s="3"/>
      <c r="G202" s="3"/>
      <c r="H202" s="76"/>
    </row>
    <row r="203" spans="1:8" x14ac:dyDescent="0.25">
      <c r="A203" s="2"/>
      <c r="B203" s="2"/>
      <c r="C203" s="3"/>
      <c r="D203" s="3"/>
      <c r="E203" s="76"/>
      <c r="F203" s="3"/>
      <c r="G203" s="3"/>
      <c r="H203" s="76"/>
    </row>
    <row r="204" spans="1:8" x14ac:dyDescent="0.25">
      <c r="A204" s="2"/>
      <c r="B204" s="2"/>
      <c r="C204" s="3"/>
      <c r="D204" s="3"/>
      <c r="E204" s="76"/>
      <c r="F204" s="3"/>
      <c r="G204" s="3"/>
      <c r="H204" s="76"/>
    </row>
    <row r="205" spans="1:8" x14ac:dyDescent="0.25">
      <c r="A205" s="2"/>
      <c r="B205" s="2"/>
      <c r="C205" s="3"/>
      <c r="D205" s="3"/>
      <c r="E205" s="76"/>
      <c r="F205" s="3"/>
      <c r="G205" s="3"/>
      <c r="H205" s="76"/>
    </row>
    <row r="206" spans="1:8" x14ac:dyDescent="0.25">
      <c r="A206" s="2"/>
      <c r="B206" s="2"/>
      <c r="C206" s="3"/>
      <c r="D206" s="3"/>
      <c r="E206" s="76"/>
      <c r="F206" s="3"/>
      <c r="G206" s="3"/>
      <c r="H206" s="76"/>
    </row>
    <row r="207" spans="1:8" x14ac:dyDescent="0.25">
      <c r="A207" s="2"/>
      <c r="B207" s="2"/>
      <c r="C207" s="3"/>
      <c r="D207" s="3"/>
      <c r="E207" s="76"/>
      <c r="F207" s="3"/>
      <c r="G207" s="3"/>
      <c r="H207" s="76"/>
    </row>
    <row r="208" spans="1:8" x14ac:dyDescent="0.25">
      <c r="A208" s="2"/>
      <c r="B208" s="2"/>
      <c r="C208" s="3"/>
      <c r="D208" s="3"/>
      <c r="E208" s="76"/>
      <c r="F208" s="3"/>
      <c r="G208" s="3"/>
      <c r="H208" s="76"/>
    </row>
    <row r="209" spans="1:8" x14ac:dyDescent="0.25">
      <c r="A209" s="2"/>
      <c r="B209" s="2"/>
      <c r="C209" s="3"/>
      <c r="D209" s="3"/>
      <c r="E209" s="76"/>
      <c r="F209" s="3"/>
      <c r="G209" s="3"/>
      <c r="H209" s="76"/>
    </row>
    <row r="210" spans="1:8" x14ac:dyDescent="0.25">
      <c r="A210" s="2"/>
      <c r="B210" s="2"/>
      <c r="C210" s="3"/>
      <c r="D210" s="3"/>
      <c r="E210" s="76"/>
      <c r="F210" s="3"/>
      <c r="G210" s="3"/>
      <c r="H210" s="76"/>
    </row>
    <row r="211" spans="1:8" x14ac:dyDescent="0.25">
      <c r="A211" s="2"/>
      <c r="B211" s="2"/>
      <c r="C211" s="3"/>
      <c r="D211" s="3"/>
      <c r="E211" s="76"/>
      <c r="F211" s="3"/>
      <c r="G211" s="3"/>
      <c r="H211" s="76"/>
    </row>
    <row r="212" spans="1:8" x14ac:dyDescent="0.25">
      <c r="A212" s="2"/>
      <c r="B212" s="2"/>
      <c r="C212" s="3"/>
      <c r="D212" s="3"/>
      <c r="E212" s="76"/>
      <c r="F212" s="3"/>
      <c r="G212" s="3"/>
      <c r="H212" s="76"/>
    </row>
    <row r="213" spans="1:8" x14ac:dyDescent="0.25">
      <c r="A213" s="2"/>
      <c r="B213" s="2"/>
      <c r="C213" s="3"/>
      <c r="D213" s="3"/>
      <c r="E213" s="76"/>
      <c r="F213" s="3"/>
      <c r="G213" s="3"/>
      <c r="H213" s="76"/>
    </row>
    <row r="214" spans="1:8" x14ac:dyDescent="0.25">
      <c r="A214" s="2"/>
      <c r="B214" s="2"/>
      <c r="C214" s="3"/>
      <c r="D214" s="3"/>
      <c r="E214" s="76"/>
      <c r="F214" s="3"/>
      <c r="G214" s="3"/>
      <c r="H214" s="76"/>
    </row>
    <row r="215" spans="1:8" x14ac:dyDescent="0.25">
      <c r="A215" s="2"/>
      <c r="B215" s="2"/>
      <c r="C215" s="3"/>
      <c r="D215" s="3"/>
      <c r="E215" s="76"/>
      <c r="F215" s="3"/>
      <c r="G215" s="3"/>
      <c r="H215" s="76"/>
    </row>
    <row r="216" spans="1:8" x14ac:dyDescent="0.25">
      <c r="A216" s="2"/>
      <c r="B216" s="2"/>
      <c r="C216" s="2"/>
      <c r="D216" s="2"/>
      <c r="E216" s="16"/>
      <c r="F216" s="3"/>
      <c r="G216" s="3"/>
      <c r="H216" s="76"/>
    </row>
    <row r="217" spans="1:8" x14ac:dyDescent="0.25">
      <c r="A217" s="2"/>
      <c r="B217" s="2"/>
      <c r="C217" s="2"/>
      <c r="D217" s="2"/>
      <c r="E217" s="16"/>
      <c r="F217" s="3"/>
      <c r="G217" s="3"/>
      <c r="H217" s="76"/>
    </row>
    <row r="218" spans="1:8" x14ac:dyDescent="0.25">
      <c r="A218" s="2"/>
      <c r="B218" s="2"/>
      <c r="C218" s="2"/>
      <c r="D218" s="2"/>
      <c r="E218" s="16"/>
      <c r="F218" s="3"/>
      <c r="G218" s="3"/>
      <c r="H218" s="76"/>
    </row>
    <row r="219" spans="1:8" x14ac:dyDescent="0.25">
      <c r="A219" s="2"/>
      <c r="B219" s="2"/>
      <c r="C219" s="2"/>
      <c r="D219" s="2"/>
      <c r="E219" s="16"/>
      <c r="F219" s="3"/>
      <c r="G219" s="3"/>
      <c r="H219" s="76"/>
    </row>
    <row r="220" spans="1:8" x14ac:dyDescent="0.25">
      <c r="A220" s="2"/>
      <c r="B220" s="2"/>
      <c r="C220" s="2"/>
      <c r="D220" s="2"/>
      <c r="E220" s="16"/>
      <c r="F220" s="3"/>
      <c r="G220" s="3"/>
      <c r="H220" s="76"/>
    </row>
    <row r="221" spans="1:8" x14ac:dyDescent="0.25">
      <c r="A221" s="2"/>
      <c r="B221" s="2"/>
      <c r="C221" s="2"/>
      <c r="D221" s="2"/>
      <c r="E221" s="16"/>
      <c r="F221" s="3"/>
      <c r="G221" s="3"/>
      <c r="H221" s="76"/>
    </row>
    <row r="222" spans="1:8" x14ac:dyDescent="0.25">
      <c r="A222" s="2"/>
      <c r="B222" s="2"/>
      <c r="C222" s="2"/>
      <c r="D222" s="2"/>
      <c r="E222" s="16"/>
      <c r="F222" s="3"/>
      <c r="G222" s="3"/>
      <c r="H222" s="76"/>
    </row>
    <row r="223" spans="1:8" x14ac:dyDescent="0.25">
      <c r="A223" s="2"/>
      <c r="B223" s="2"/>
      <c r="C223" s="2"/>
      <c r="D223" s="2"/>
      <c r="E223" s="16"/>
      <c r="F223" s="3"/>
      <c r="G223" s="3"/>
      <c r="H223" s="76"/>
    </row>
    <row r="224" spans="1:8" x14ac:dyDescent="0.25">
      <c r="A224" s="2"/>
      <c r="B224" s="2"/>
      <c r="C224" s="2"/>
      <c r="D224" s="2"/>
      <c r="E224" s="16"/>
      <c r="F224" s="3"/>
      <c r="G224" s="3"/>
      <c r="H224" s="76"/>
    </row>
    <row r="225" spans="1:8" x14ac:dyDescent="0.25">
      <c r="A225" s="2"/>
      <c r="B225" s="2"/>
      <c r="C225" s="2"/>
      <c r="D225" s="2"/>
      <c r="E225" s="16"/>
      <c r="F225" s="3"/>
      <c r="G225" s="3"/>
      <c r="H225" s="76"/>
    </row>
    <row r="226" spans="1:8" x14ac:dyDescent="0.25">
      <c r="A226" s="2"/>
      <c r="B226" s="2"/>
      <c r="C226" s="2"/>
      <c r="D226" s="2"/>
      <c r="E226" s="16"/>
      <c r="F226" s="3"/>
      <c r="G226" s="3"/>
      <c r="H226" s="76"/>
    </row>
    <row r="227" spans="1:8" x14ac:dyDescent="0.25">
      <c r="A227" s="2"/>
      <c r="B227" s="2"/>
      <c r="C227" s="2"/>
      <c r="D227" s="2"/>
      <c r="E227" s="16"/>
      <c r="F227" s="3"/>
      <c r="G227" s="3"/>
      <c r="H227" s="76"/>
    </row>
    <row r="228" spans="1:8" x14ac:dyDescent="0.25">
      <c r="A228" s="2"/>
      <c r="B228" s="2"/>
      <c r="C228" s="2"/>
      <c r="D228" s="2"/>
      <c r="E228" s="16"/>
      <c r="F228" s="3"/>
      <c r="G228" s="3"/>
      <c r="H228" s="76"/>
    </row>
    <row r="229" spans="1:8" x14ac:dyDescent="0.25">
      <c r="A229" s="2"/>
      <c r="B229" s="2"/>
      <c r="C229" s="2"/>
      <c r="D229" s="2"/>
      <c r="E229" s="16"/>
      <c r="F229" s="3"/>
      <c r="G229" s="3"/>
      <c r="H229" s="76"/>
    </row>
    <row r="230" spans="1:8" x14ac:dyDescent="0.25">
      <c r="A230" s="2"/>
      <c r="B230" s="2"/>
      <c r="C230" s="2"/>
      <c r="D230" s="2"/>
      <c r="E230" s="16"/>
      <c r="F230" s="3"/>
      <c r="G230" s="3"/>
      <c r="H230" s="76"/>
    </row>
    <row r="231" spans="1:8" x14ac:dyDescent="0.25">
      <c r="A231" s="2"/>
      <c r="B231" s="2"/>
      <c r="C231" s="2"/>
      <c r="D231" s="2"/>
      <c r="E231" s="16"/>
      <c r="F231" s="3"/>
      <c r="G231" s="3"/>
      <c r="H231" s="76"/>
    </row>
    <row r="232" spans="1:8" x14ac:dyDescent="0.25">
      <c r="A232" s="2"/>
      <c r="B232" s="2"/>
      <c r="C232" s="2"/>
      <c r="D232" s="2"/>
      <c r="E232" s="16"/>
      <c r="F232" s="3"/>
      <c r="G232" s="3"/>
      <c r="H232" s="76"/>
    </row>
    <row r="233" spans="1:8" x14ac:dyDescent="0.25">
      <c r="A233" s="2"/>
      <c r="B233" s="2"/>
      <c r="C233" s="2"/>
      <c r="D233" s="2"/>
      <c r="E233" s="16"/>
      <c r="F233" s="3"/>
      <c r="G233" s="3"/>
      <c r="H233" s="76"/>
    </row>
    <row r="234" spans="1:8" x14ac:dyDescent="0.25">
      <c r="A234" s="2"/>
      <c r="B234" s="2"/>
      <c r="C234" s="2"/>
      <c r="D234" s="2"/>
      <c r="E234" s="16"/>
      <c r="F234" s="3"/>
      <c r="G234" s="3"/>
      <c r="H234" s="76"/>
    </row>
    <row r="235" spans="1:8" x14ac:dyDescent="0.25">
      <c r="A235" s="2"/>
      <c r="B235" s="2"/>
      <c r="C235" s="2"/>
      <c r="D235" s="2"/>
      <c r="E235" s="16"/>
      <c r="F235" s="3"/>
      <c r="G235" s="3"/>
      <c r="H235" s="76"/>
    </row>
    <row r="236" spans="1:8" x14ac:dyDescent="0.25">
      <c r="A236" s="2"/>
      <c r="B236" s="2"/>
      <c r="C236" s="2"/>
      <c r="D236" s="2"/>
      <c r="E236" s="16"/>
      <c r="F236" s="3"/>
      <c r="G236" s="3"/>
      <c r="H236" s="76"/>
    </row>
    <row r="237" spans="1:8" x14ac:dyDescent="0.25">
      <c r="A237" s="2"/>
      <c r="B237" s="2"/>
      <c r="C237" s="2"/>
      <c r="D237" s="2"/>
      <c r="E237" s="16"/>
      <c r="F237" s="3"/>
      <c r="G237" s="3"/>
      <c r="H237" s="76"/>
    </row>
    <row r="238" spans="1:8" x14ac:dyDescent="0.25">
      <c r="A238" s="2"/>
      <c r="B238" s="2"/>
      <c r="C238" s="2"/>
      <c r="D238" s="2"/>
      <c r="E238" s="16"/>
      <c r="F238" s="3"/>
      <c r="G238" s="3"/>
      <c r="H238" s="76"/>
    </row>
    <row r="239" spans="1:8" x14ac:dyDescent="0.25">
      <c r="A239" s="2"/>
      <c r="B239" s="2"/>
      <c r="C239" s="2"/>
      <c r="D239" s="2"/>
      <c r="E239" s="16"/>
      <c r="F239" s="3"/>
      <c r="G239" s="3"/>
      <c r="H239" s="76"/>
    </row>
    <row r="240" spans="1:8" x14ac:dyDescent="0.25">
      <c r="A240" s="2"/>
      <c r="B240" s="2"/>
      <c r="C240" s="2"/>
      <c r="D240" s="2"/>
      <c r="E240" s="16"/>
      <c r="F240" s="3"/>
      <c r="G240" s="3"/>
      <c r="H240" s="76"/>
    </row>
    <row r="241" spans="1:8" x14ac:dyDescent="0.25">
      <c r="A241" s="2"/>
      <c r="B241" s="2"/>
      <c r="C241" s="2"/>
      <c r="D241" s="2"/>
      <c r="E241" s="16"/>
      <c r="F241" s="3"/>
      <c r="G241" s="3"/>
      <c r="H241" s="76"/>
    </row>
    <row r="242" spans="1:8" x14ac:dyDescent="0.25">
      <c r="A242" s="2"/>
      <c r="B242" s="2"/>
      <c r="C242" s="2"/>
      <c r="D242" s="2"/>
      <c r="E242" s="16"/>
      <c r="F242" s="3"/>
      <c r="G242" s="3"/>
      <c r="H242" s="76"/>
    </row>
    <row r="243" spans="1:8" x14ac:dyDescent="0.25">
      <c r="A243" s="2"/>
      <c r="B243" s="2"/>
      <c r="C243" s="2"/>
      <c r="D243" s="2"/>
      <c r="E243" s="16"/>
      <c r="F243" s="3"/>
      <c r="G243" s="3"/>
      <c r="H243" s="76"/>
    </row>
    <row r="244" spans="1:8" x14ac:dyDescent="0.25">
      <c r="A244" s="2"/>
      <c r="B244" s="2"/>
      <c r="C244" s="2"/>
      <c r="D244" s="2"/>
      <c r="E244" s="16"/>
      <c r="F244" s="3"/>
      <c r="G244" s="3"/>
      <c r="H244" s="76"/>
    </row>
    <row r="245" spans="1:8" x14ac:dyDescent="0.25">
      <c r="A245" s="2"/>
      <c r="B245" s="2"/>
      <c r="C245" s="2"/>
      <c r="D245" s="2"/>
      <c r="E245" s="16"/>
      <c r="F245" s="3"/>
      <c r="G245" s="3"/>
      <c r="H245" s="76"/>
    </row>
    <row r="246" spans="1:8" x14ac:dyDescent="0.25">
      <c r="A246" s="2"/>
      <c r="B246" s="2"/>
      <c r="C246" s="2"/>
      <c r="D246" s="2"/>
      <c r="E246" s="16"/>
      <c r="F246" s="3"/>
      <c r="G246" s="3"/>
      <c r="H246" s="76"/>
    </row>
    <row r="247" spans="1:8" x14ac:dyDescent="0.25">
      <c r="A247" s="2"/>
      <c r="B247" s="2"/>
      <c r="C247" s="2"/>
      <c r="D247" s="2"/>
      <c r="E247" s="16"/>
      <c r="F247" s="3"/>
      <c r="G247" s="3"/>
      <c r="H247" s="76"/>
    </row>
    <row r="248" spans="1:8" x14ac:dyDescent="0.25">
      <c r="A248" s="2"/>
      <c r="B248" s="2"/>
      <c r="C248" s="2"/>
      <c r="D248" s="2"/>
      <c r="E248" s="16"/>
      <c r="F248" s="3"/>
      <c r="G248" s="3"/>
      <c r="H248" s="76"/>
    </row>
    <row r="249" spans="1:8" x14ac:dyDescent="0.25">
      <c r="A249" s="2"/>
      <c r="B249" s="2"/>
      <c r="C249" s="2"/>
      <c r="D249" s="2"/>
      <c r="E249" s="16"/>
      <c r="F249" s="3"/>
      <c r="G249" s="3"/>
      <c r="H249" s="76"/>
    </row>
    <row r="250" spans="1:8" x14ac:dyDescent="0.25">
      <c r="A250" s="2"/>
      <c r="B250" s="2"/>
      <c r="C250" s="2"/>
      <c r="D250" s="2"/>
      <c r="E250" s="16"/>
      <c r="F250" s="3"/>
      <c r="G250" s="3"/>
      <c r="H250" s="76"/>
    </row>
    <row r="251" spans="1:8" x14ac:dyDescent="0.25">
      <c r="A251" s="2"/>
      <c r="B251" s="2"/>
      <c r="C251" s="2"/>
      <c r="D251" s="2"/>
      <c r="E251" s="16"/>
      <c r="F251" s="3"/>
      <c r="G251" s="3"/>
      <c r="H251" s="76"/>
    </row>
    <row r="252" spans="1:8" x14ac:dyDescent="0.25">
      <c r="A252" s="2"/>
      <c r="B252" s="2"/>
      <c r="C252" s="2"/>
      <c r="D252" s="2"/>
      <c r="E252" s="16"/>
      <c r="F252" s="3"/>
      <c r="G252" s="3"/>
      <c r="H252" s="76"/>
    </row>
    <row r="253" spans="1:8" x14ac:dyDescent="0.25">
      <c r="A253" s="2"/>
      <c r="B253" s="2"/>
      <c r="C253" s="2"/>
      <c r="D253" s="2"/>
      <c r="E253" s="16"/>
      <c r="F253" s="3"/>
      <c r="G253" s="3"/>
      <c r="H253" s="76"/>
    </row>
    <row r="254" spans="1:8" x14ac:dyDescent="0.25">
      <c r="A254" s="2"/>
      <c r="B254" s="2"/>
      <c r="C254" s="2"/>
      <c r="D254" s="2"/>
      <c r="E254" s="16"/>
      <c r="F254" s="3"/>
      <c r="G254" s="3"/>
      <c r="H254" s="76"/>
    </row>
    <row r="255" spans="1:8" x14ac:dyDescent="0.25">
      <c r="A255" s="2"/>
      <c r="B255" s="2"/>
      <c r="C255" s="2"/>
      <c r="D255" s="2"/>
      <c r="E255" s="16"/>
      <c r="F255" s="3"/>
      <c r="G255" s="3"/>
      <c r="H255" s="76"/>
    </row>
    <row r="256" spans="1:8" x14ac:dyDescent="0.25">
      <c r="A256" s="2"/>
      <c r="B256" s="2"/>
      <c r="C256" s="2"/>
      <c r="D256" s="2"/>
      <c r="E256" s="16"/>
      <c r="F256" s="3"/>
      <c r="G256" s="3"/>
      <c r="H256" s="76"/>
    </row>
    <row r="257" spans="1:8" x14ac:dyDescent="0.25">
      <c r="A257" s="2"/>
      <c r="B257" s="2"/>
      <c r="C257" s="2"/>
      <c r="D257" s="2"/>
      <c r="E257" s="16"/>
      <c r="F257" s="3"/>
      <c r="G257" s="3"/>
      <c r="H257" s="76"/>
    </row>
    <row r="258" spans="1:8" x14ac:dyDescent="0.25">
      <c r="A258" s="2"/>
      <c r="B258" s="2"/>
      <c r="C258" s="2"/>
      <c r="D258" s="2"/>
      <c r="E258" s="16"/>
      <c r="F258" s="3"/>
      <c r="G258" s="3"/>
      <c r="H258" s="76"/>
    </row>
    <row r="259" spans="1:8" x14ac:dyDescent="0.25">
      <c r="A259" s="2"/>
      <c r="B259" s="2"/>
      <c r="C259" s="2"/>
      <c r="D259" s="2"/>
      <c r="E259" s="16"/>
      <c r="F259" s="3"/>
      <c r="G259" s="3"/>
      <c r="H259" s="76"/>
    </row>
    <row r="260" spans="1:8" x14ac:dyDescent="0.25">
      <c r="A260" s="2"/>
      <c r="B260" s="2"/>
      <c r="C260" s="2"/>
      <c r="D260" s="2"/>
      <c r="E260" s="16"/>
      <c r="F260" s="3"/>
      <c r="G260" s="3"/>
      <c r="H260" s="76"/>
    </row>
    <row r="261" spans="1:8" x14ac:dyDescent="0.25">
      <c r="A261" s="2"/>
      <c r="B261" s="2"/>
      <c r="C261" s="2"/>
      <c r="D261" s="2"/>
      <c r="E261" s="16"/>
      <c r="F261" s="3"/>
      <c r="G261" s="3"/>
      <c r="H261" s="76"/>
    </row>
    <row r="262" spans="1:8" x14ac:dyDescent="0.25">
      <c r="A262" s="2"/>
      <c r="B262" s="2"/>
      <c r="C262" s="2"/>
      <c r="D262" s="2"/>
      <c r="E262" s="16"/>
      <c r="F262" s="3"/>
      <c r="G262" s="3"/>
      <c r="H262" s="76"/>
    </row>
    <row r="263" spans="1:8" x14ac:dyDescent="0.25">
      <c r="A263" s="2"/>
      <c r="B263" s="2"/>
      <c r="C263" s="2"/>
      <c r="D263" s="2"/>
      <c r="E263" s="16"/>
      <c r="F263" s="3"/>
      <c r="G263" s="3"/>
      <c r="H263" s="76"/>
    </row>
    <row r="264" spans="1:8" x14ac:dyDescent="0.25">
      <c r="A264" s="2"/>
      <c r="B264" s="2"/>
      <c r="C264" s="2"/>
      <c r="D264" s="2"/>
      <c r="E264" s="16"/>
      <c r="F264" s="3"/>
      <c r="G264" s="3"/>
      <c r="H264" s="76"/>
    </row>
    <row r="265" spans="1:8" x14ac:dyDescent="0.25">
      <c r="A265" s="2"/>
      <c r="B265" s="2"/>
      <c r="C265" s="2"/>
      <c r="D265" s="2"/>
      <c r="E265" s="16"/>
      <c r="F265" s="3"/>
      <c r="G265" s="3"/>
      <c r="H265" s="76"/>
    </row>
    <row r="266" spans="1:8" x14ac:dyDescent="0.25">
      <c r="A266" s="2"/>
      <c r="B266" s="2"/>
      <c r="C266" s="2"/>
      <c r="D266" s="2"/>
      <c r="E266" s="16"/>
      <c r="F266" s="3"/>
      <c r="G266" s="3"/>
      <c r="H266" s="76"/>
    </row>
    <row r="267" spans="1:8" x14ac:dyDescent="0.25">
      <c r="A267" s="2"/>
      <c r="B267" s="2"/>
      <c r="C267" s="2"/>
      <c r="D267" s="2"/>
      <c r="E267" s="16"/>
      <c r="F267" s="3"/>
      <c r="G267" s="3"/>
      <c r="H267" s="76"/>
    </row>
    <row r="268" spans="1:8" x14ac:dyDescent="0.25">
      <c r="A268" s="2"/>
      <c r="B268" s="2"/>
      <c r="C268" s="2"/>
      <c r="D268" s="2"/>
      <c r="E268" s="16"/>
      <c r="F268" s="3"/>
      <c r="G268" s="3"/>
      <c r="H268" s="76"/>
    </row>
    <row r="269" spans="1:8" x14ac:dyDescent="0.25">
      <c r="A269" s="2"/>
      <c r="B269" s="2"/>
      <c r="C269" s="2"/>
      <c r="D269" s="2"/>
      <c r="E269" s="16"/>
      <c r="F269" s="3"/>
      <c r="G269" s="3"/>
      <c r="H269" s="76"/>
    </row>
    <row r="270" spans="1:8" x14ac:dyDescent="0.25">
      <c r="A270" s="2"/>
      <c r="B270" s="2"/>
      <c r="C270" s="2"/>
      <c r="D270" s="2"/>
      <c r="E270" s="16"/>
      <c r="F270" s="3"/>
      <c r="G270" s="3"/>
      <c r="H270" s="76"/>
    </row>
    <row r="271" spans="1:8" x14ac:dyDescent="0.25">
      <c r="A271" s="2"/>
      <c r="B271" s="2"/>
      <c r="C271" s="2"/>
      <c r="D271" s="2"/>
      <c r="E271" s="16"/>
      <c r="F271" s="3"/>
      <c r="G271" s="3"/>
      <c r="H271" s="76"/>
    </row>
    <row r="272" spans="1:8" x14ac:dyDescent="0.25">
      <c r="A272" s="2"/>
      <c r="B272" s="2"/>
      <c r="C272" s="2"/>
      <c r="D272" s="2"/>
      <c r="E272" s="16"/>
      <c r="F272" s="3"/>
      <c r="G272" s="3"/>
      <c r="H272" s="76"/>
    </row>
    <row r="273" spans="1:8" x14ac:dyDescent="0.25">
      <c r="A273" s="2"/>
      <c r="B273" s="2"/>
      <c r="C273" s="2"/>
      <c r="D273" s="2"/>
      <c r="E273" s="16"/>
      <c r="F273" s="3"/>
      <c r="G273" s="3"/>
      <c r="H273" s="76"/>
    </row>
    <row r="274" spans="1:8" x14ac:dyDescent="0.25">
      <c r="A274" s="2"/>
      <c r="B274" s="2"/>
      <c r="C274" s="2"/>
      <c r="D274" s="2"/>
      <c r="E274" s="16"/>
      <c r="F274" s="3"/>
      <c r="G274" s="3"/>
      <c r="H274" s="76"/>
    </row>
    <row r="275" spans="1:8" x14ac:dyDescent="0.25">
      <c r="A275" s="2"/>
      <c r="B275" s="2"/>
      <c r="C275" s="2"/>
      <c r="D275" s="2"/>
      <c r="E275" s="16"/>
      <c r="F275" s="3"/>
      <c r="G275" s="3"/>
      <c r="H275" s="76"/>
    </row>
    <row r="276" spans="1:8" x14ac:dyDescent="0.25">
      <c r="A276" s="2"/>
      <c r="B276" s="2"/>
      <c r="C276" s="2"/>
      <c r="D276" s="2"/>
      <c r="E276" s="16"/>
      <c r="F276" s="3"/>
      <c r="G276" s="3"/>
      <c r="H276" s="76"/>
    </row>
    <row r="277" spans="1:8" x14ac:dyDescent="0.25">
      <c r="A277" s="2"/>
      <c r="B277" s="2"/>
      <c r="C277" s="2"/>
      <c r="D277" s="2"/>
      <c r="E277" s="16"/>
      <c r="F277" s="3"/>
      <c r="G277" s="3"/>
      <c r="H277" s="76"/>
    </row>
    <row r="278" spans="1:8" x14ac:dyDescent="0.25">
      <c r="A278" s="2"/>
      <c r="B278" s="2"/>
      <c r="C278" s="2"/>
      <c r="D278" s="2"/>
      <c r="E278" s="16"/>
      <c r="F278" s="3"/>
      <c r="G278" s="3"/>
      <c r="H278" s="76"/>
    </row>
    <row r="279" spans="1:8" x14ac:dyDescent="0.25">
      <c r="A279" s="2"/>
      <c r="B279" s="2"/>
      <c r="C279" s="2"/>
      <c r="D279" s="2"/>
      <c r="E279" s="16"/>
      <c r="F279" s="3"/>
      <c r="G279" s="3"/>
      <c r="H279" s="76"/>
    </row>
    <row r="280" spans="1:8" x14ac:dyDescent="0.25">
      <c r="A280" s="2"/>
      <c r="B280" s="2"/>
      <c r="C280" s="2"/>
      <c r="D280" s="2"/>
      <c r="E280" s="16"/>
      <c r="F280" s="3"/>
      <c r="G280" s="3"/>
      <c r="H280" s="76"/>
    </row>
    <row r="281" spans="1:8" x14ac:dyDescent="0.25">
      <c r="A281" s="2"/>
      <c r="B281" s="2"/>
      <c r="C281" s="2"/>
      <c r="D281" s="2"/>
      <c r="E281" s="16"/>
      <c r="F281" s="3"/>
      <c r="G281" s="3"/>
      <c r="H281" s="76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1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79" customWidth="1"/>
    <col min="2" max="2" width="71.140625" style="2" customWidth="1"/>
    <col min="3" max="3" width="7.85546875" style="2" customWidth="1"/>
    <col min="4" max="6" width="13.42578125" style="2" customWidth="1"/>
    <col min="7" max="7" width="12.140625" style="2" customWidth="1"/>
    <col min="8" max="254" width="9.140625" style="2" customWidth="1"/>
  </cols>
  <sheetData>
    <row r="1" spans="1:7" x14ac:dyDescent="0.25">
      <c r="D1" s="4"/>
      <c r="E1" s="4" t="s">
        <v>331</v>
      </c>
    </row>
    <row r="2" spans="1:7" x14ac:dyDescent="0.25">
      <c r="D2" s="5"/>
      <c r="E2" s="5" t="s">
        <v>827</v>
      </c>
    </row>
    <row r="3" spans="1:7" x14ac:dyDescent="0.25">
      <c r="D3" s="4"/>
      <c r="E3" s="4"/>
    </row>
    <row r="4" spans="1:7" ht="24" customHeight="1" x14ac:dyDescent="0.3">
      <c r="B4" s="24" t="s">
        <v>8</v>
      </c>
      <c r="C4" s="80"/>
      <c r="D4" s="80"/>
      <c r="E4" s="80"/>
    </row>
    <row r="5" spans="1:7" ht="18.75" x14ac:dyDescent="0.3">
      <c r="B5" s="24"/>
      <c r="C5" s="81"/>
      <c r="D5" s="81"/>
      <c r="E5" s="81"/>
    </row>
    <row r="6" spans="1:7" ht="31.5" x14ac:dyDescent="0.25">
      <c r="A6" s="79" t="s">
        <v>332</v>
      </c>
      <c r="B6" s="31" t="s">
        <v>333</v>
      </c>
      <c r="C6" s="82"/>
      <c r="D6" s="82"/>
      <c r="E6" s="82"/>
    </row>
    <row r="7" spans="1:7" x14ac:dyDescent="0.25">
      <c r="A7" s="79" t="s">
        <v>334</v>
      </c>
    </row>
    <row r="8" spans="1:7" ht="31.5" x14ac:dyDescent="0.25">
      <c r="B8" s="8" t="s">
        <v>12</v>
      </c>
      <c r="C8" s="37" t="s">
        <v>39</v>
      </c>
      <c r="D8" s="83" t="s">
        <v>10</v>
      </c>
      <c r="E8" s="83" t="s">
        <v>11</v>
      </c>
      <c r="F8" s="84"/>
      <c r="G8" s="84"/>
    </row>
    <row r="9" spans="1:7" x14ac:dyDescent="0.25">
      <c r="A9" s="79" t="s">
        <v>335</v>
      </c>
      <c r="B9" s="85" t="s">
        <v>336</v>
      </c>
      <c r="C9" s="44" t="s">
        <v>215</v>
      </c>
      <c r="D9" s="13">
        <v>50000</v>
      </c>
      <c r="E9" s="13">
        <v>50000</v>
      </c>
      <c r="F9" s="86"/>
    </row>
    <row r="10" spans="1:7" x14ac:dyDescent="0.25">
      <c r="B10" s="85" t="s">
        <v>337</v>
      </c>
      <c r="C10" s="44" t="s">
        <v>215</v>
      </c>
      <c r="D10" s="13"/>
      <c r="E10" s="13"/>
      <c r="F10" s="86"/>
    </row>
    <row r="11" spans="1:7" x14ac:dyDescent="0.25">
      <c r="A11" s="79" t="s">
        <v>338</v>
      </c>
      <c r="B11" s="85" t="s">
        <v>339</v>
      </c>
      <c r="C11" s="44" t="s">
        <v>215</v>
      </c>
      <c r="D11" s="13">
        <v>60000</v>
      </c>
      <c r="E11" s="13">
        <v>60000</v>
      </c>
      <c r="F11" s="86"/>
    </row>
    <row r="12" spans="1:7" x14ac:dyDescent="0.25">
      <c r="A12" s="79" t="s">
        <v>340</v>
      </c>
      <c r="B12" s="85" t="s">
        <v>341</v>
      </c>
      <c r="C12" s="44" t="s">
        <v>215</v>
      </c>
      <c r="D12" s="13">
        <v>2000</v>
      </c>
      <c r="E12" s="13">
        <v>2000</v>
      </c>
      <c r="F12" s="86"/>
    </row>
    <row r="13" spans="1:7" s="91" customFormat="1" x14ac:dyDescent="0.25">
      <c r="A13" s="79"/>
      <c r="B13" s="87" t="s">
        <v>342</v>
      </c>
      <c r="C13" s="88" t="s">
        <v>215</v>
      </c>
      <c r="D13" s="89">
        <f>SUM(D9:D12)</f>
        <v>112000</v>
      </c>
      <c r="E13" s="89">
        <f>SUM(E9:E12)</f>
        <v>112000</v>
      </c>
      <c r="F13" s="90"/>
    </row>
    <row r="14" spans="1:7" x14ac:dyDescent="0.25">
      <c r="B14" s="85" t="s">
        <v>343</v>
      </c>
      <c r="C14" s="55" t="s">
        <v>344</v>
      </c>
      <c r="D14" s="13">
        <f>SUM(D15:D16)</f>
        <v>290000</v>
      </c>
      <c r="E14" s="13">
        <f>SUM(E15:E16)</f>
        <v>290000</v>
      </c>
      <c r="F14" s="86"/>
    </row>
    <row r="15" spans="1:7" ht="31.5" x14ac:dyDescent="0.25">
      <c r="A15" s="79" t="s">
        <v>345</v>
      </c>
      <c r="B15" s="92" t="s">
        <v>346</v>
      </c>
      <c r="C15" s="93" t="s">
        <v>344</v>
      </c>
      <c r="D15" s="94">
        <v>290000</v>
      </c>
      <c r="E15" s="94">
        <v>290000</v>
      </c>
      <c r="F15" s="86"/>
    </row>
    <row r="16" spans="1:7" ht="31.5" x14ac:dyDescent="0.25">
      <c r="B16" s="92" t="s">
        <v>347</v>
      </c>
      <c r="C16" s="93" t="s">
        <v>344</v>
      </c>
      <c r="D16" s="94"/>
      <c r="E16" s="94"/>
      <c r="F16" s="86"/>
    </row>
    <row r="17" spans="1:6" x14ac:dyDescent="0.25">
      <c r="B17" s="95" t="s">
        <v>348</v>
      </c>
      <c r="C17" s="63" t="s">
        <v>349</v>
      </c>
      <c r="D17" s="13">
        <f>SUM(D18:D21)</f>
        <v>25000</v>
      </c>
      <c r="E17" s="13">
        <f>SUM(E18:E21)</f>
        <v>25000</v>
      </c>
      <c r="F17" s="86"/>
    </row>
    <row r="18" spans="1:6" ht="31.5" x14ac:dyDescent="0.25">
      <c r="B18" s="92" t="s">
        <v>350</v>
      </c>
      <c r="C18" s="93" t="s">
        <v>349</v>
      </c>
      <c r="D18" s="94"/>
      <c r="E18" s="94"/>
      <c r="F18" s="86"/>
    </row>
    <row r="19" spans="1:6" ht="31.5" x14ac:dyDescent="0.25">
      <c r="A19" s="79" t="s">
        <v>351</v>
      </c>
      <c r="B19" s="92" t="s">
        <v>352</v>
      </c>
      <c r="C19" s="93" t="s">
        <v>349</v>
      </c>
      <c r="D19" s="94">
        <v>25000</v>
      </c>
      <c r="E19" s="94">
        <v>25000</v>
      </c>
      <c r="F19" s="86"/>
    </row>
    <row r="20" spans="1:6" x14ac:dyDescent="0.25">
      <c r="B20" s="92" t="s">
        <v>353</v>
      </c>
      <c r="C20" s="93" t="s">
        <v>349</v>
      </c>
      <c r="D20" s="13"/>
      <c r="E20" s="13"/>
      <c r="F20" s="86"/>
    </row>
    <row r="21" spans="1:6" x14ac:dyDescent="0.25">
      <c r="B21" s="92" t="s">
        <v>354</v>
      </c>
      <c r="C21" s="93" t="s">
        <v>349</v>
      </c>
      <c r="D21" s="13"/>
      <c r="E21" s="13"/>
      <c r="F21" s="86"/>
    </row>
    <row r="22" spans="1:6" x14ac:dyDescent="0.25">
      <c r="B22" s="95" t="s">
        <v>355</v>
      </c>
      <c r="C22" s="63" t="s">
        <v>356</v>
      </c>
      <c r="D22" s="13">
        <f>SUM(D23:D24)</f>
        <v>800</v>
      </c>
      <c r="E22" s="13">
        <f>SUM(E23:E24)</f>
        <v>800</v>
      </c>
      <c r="F22" s="86"/>
    </row>
    <row r="23" spans="1:6" x14ac:dyDescent="0.25">
      <c r="A23" s="79" t="s">
        <v>357</v>
      </c>
      <c r="B23" s="92" t="s">
        <v>358</v>
      </c>
      <c r="C23" s="93" t="s">
        <v>356</v>
      </c>
      <c r="D23" s="94">
        <v>800</v>
      </c>
      <c r="E23" s="94">
        <v>800</v>
      </c>
      <c r="F23" s="86"/>
    </row>
    <row r="24" spans="1:6" x14ac:dyDescent="0.25">
      <c r="B24" s="92" t="s">
        <v>359</v>
      </c>
      <c r="C24" s="93" t="s">
        <v>356</v>
      </c>
      <c r="D24" s="94"/>
      <c r="E24" s="94"/>
      <c r="F24" s="84"/>
    </row>
    <row r="25" spans="1:6" s="91" customFormat="1" x14ac:dyDescent="0.25">
      <c r="A25" s="79"/>
      <c r="B25" s="87" t="s">
        <v>360</v>
      </c>
      <c r="C25" s="88" t="s">
        <v>217</v>
      </c>
      <c r="D25" s="89">
        <f>+D22+D17+D14</f>
        <v>315800</v>
      </c>
      <c r="E25" s="89">
        <f>+E22+E17+E14</f>
        <v>315800</v>
      </c>
      <c r="F25" s="96"/>
    </row>
    <row r="26" spans="1:6" hidden="1" x14ac:dyDescent="0.25">
      <c r="B26" s="85" t="s">
        <v>361</v>
      </c>
      <c r="C26" s="44" t="s">
        <v>219</v>
      </c>
      <c r="D26" s="13"/>
      <c r="E26" s="13"/>
      <c r="F26" s="84"/>
    </row>
    <row r="27" spans="1:6" hidden="1" x14ac:dyDescent="0.25">
      <c r="B27" s="85" t="s">
        <v>362</v>
      </c>
      <c r="C27" s="44" t="s">
        <v>219</v>
      </c>
      <c r="D27" s="13"/>
      <c r="E27" s="13"/>
      <c r="F27" s="84"/>
    </row>
    <row r="28" spans="1:6" hidden="1" x14ac:dyDescent="0.25">
      <c r="B28" s="85" t="s">
        <v>363</v>
      </c>
      <c r="C28" s="44" t="s">
        <v>219</v>
      </c>
      <c r="D28" s="13"/>
      <c r="E28" s="13"/>
      <c r="F28" s="84"/>
    </row>
    <row r="29" spans="1:6" hidden="1" x14ac:dyDescent="0.25">
      <c r="B29" s="85" t="s">
        <v>364</v>
      </c>
      <c r="C29" s="44" t="s">
        <v>219</v>
      </c>
      <c r="D29" s="13"/>
      <c r="E29" s="13"/>
      <c r="F29" s="84"/>
    </row>
    <row r="30" spans="1:6" hidden="1" x14ac:dyDescent="0.25">
      <c r="B30" s="85" t="s">
        <v>365</v>
      </c>
      <c r="C30" s="44" t="s">
        <v>219</v>
      </c>
      <c r="D30" s="13"/>
      <c r="E30" s="13"/>
      <c r="F30" s="84"/>
    </row>
    <row r="31" spans="1:6" hidden="1" x14ac:dyDescent="0.25">
      <c r="B31" s="85" t="s">
        <v>366</v>
      </c>
      <c r="C31" s="44" t="s">
        <v>219</v>
      </c>
      <c r="D31" s="13"/>
      <c r="E31" s="13"/>
      <c r="F31" s="84"/>
    </row>
    <row r="32" spans="1:6" hidden="1" x14ac:dyDescent="0.25">
      <c r="B32" s="85" t="s">
        <v>367</v>
      </c>
      <c r="C32" s="44" t="s">
        <v>219</v>
      </c>
      <c r="D32" s="13"/>
      <c r="E32" s="13"/>
      <c r="F32" s="84"/>
    </row>
    <row r="33" spans="1:6" hidden="1" x14ac:dyDescent="0.25">
      <c r="B33" s="85" t="s">
        <v>368</v>
      </c>
      <c r="C33" s="44" t="s">
        <v>219</v>
      </c>
      <c r="D33" s="13"/>
      <c r="E33" s="13"/>
      <c r="F33" s="84"/>
    </row>
    <row r="34" spans="1:6" ht="39" customHeight="1" x14ac:dyDescent="0.25">
      <c r="B34" s="85" t="s">
        <v>369</v>
      </c>
      <c r="C34" s="44" t="s">
        <v>219</v>
      </c>
      <c r="D34" s="13">
        <v>500</v>
      </c>
      <c r="E34" s="13">
        <v>500</v>
      </c>
      <c r="F34" s="84"/>
    </row>
    <row r="35" spans="1:6" x14ac:dyDescent="0.25">
      <c r="A35" s="79" t="s">
        <v>370</v>
      </c>
      <c r="B35" s="85" t="s">
        <v>371</v>
      </c>
      <c r="C35" s="44" t="s">
        <v>219</v>
      </c>
      <c r="D35" s="13">
        <v>3500</v>
      </c>
      <c r="E35" s="13">
        <v>3500</v>
      </c>
      <c r="F35" s="84"/>
    </row>
    <row r="36" spans="1:6" s="91" customFormat="1" x14ac:dyDescent="0.25">
      <c r="A36" s="79"/>
      <c r="B36" s="87" t="s">
        <v>372</v>
      </c>
      <c r="C36" s="88" t="s">
        <v>219</v>
      </c>
      <c r="D36" s="89">
        <f>SUM(D26:D35)</f>
        <v>4000</v>
      </c>
      <c r="E36" s="89">
        <f>SUM(E26:E35)</f>
        <v>4000</v>
      </c>
      <c r="F36" s="97"/>
    </row>
    <row r="38" spans="1:6" x14ac:dyDescent="0.25">
      <c r="D38" s="3"/>
      <c r="E38" s="3"/>
    </row>
    <row r="39" spans="1:6" ht="31.5" x14ac:dyDescent="0.25">
      <c r="A39" s="79" t="s">
        <v>332</v>
      </c>
      <c r="B39" s="8" t="s">
        <v>12</v>
      </c>
      <c r="C39" s="37" t="s">
        <v>179</v>
      </c>
      <c r="D39" s="83" t="s">
        <v>10</v>
      </c>
      <c r="E39" s="314" t="s">
        <v>11</v>
      </c>
    </row>
    <row r="40" spans="1:6" x14ac:dyDescent="0.25">
      <c r="A40" s="79" t="s">
        <v>373</v>
      </c>
      <c r="B40" s="98" t="s">
        <v>374</v>
      </c>
      <c r="C40" s="55" t="s">
        <v>181</v>
      </c>
      <c r="D40" s="99">
        <v>136209</v>
      </c>
      <c r="E40" s="99">
        <v>136209</v>
      </c>
      <c r="F40" s="2" t="s">
        <v>375</v>
      </c>
    </row>
    <row r="41" spans="1:6" x14ac:dyDescent="0.25">
      <c r="B41" s="98" t="s">
        <v>376</v>
      </c>
      <c r="C41" s="55" t="s">
        <v>181</v>
      </c>
      <c r="D41" s="99">
        <f>SUM(D42:D45)</f>
        <v>71950</v>
      </c>
      <c r="E41" s="99">
        <f>SUM(E42:E45)</f>
        <v>49602</v>
      </c>
      <c r="F41" s="2" t="s">
        <v>377</v>
      </c>
    </row>
    <row r="42" spans="1:6" ht="31.5" x14ac:dyDescent="0.25">
      <c r="B42" s="100" t="s">
        <v>378</v>
      </c>
      <c r="C42" s="55" t="s">
        <v>181</v>
      </c>
      <c r="D42" s="99">
        <v>19749</v>
      </c>
      <c r="E42" s="99">
        <v>0</v>
      </c>
      <c r="F42" s="2" t="s">
        <v>379</v>
      </c>
    </row>
    <row r="43" spans="1:6" x14ac:dyDescent="0.25">
      <c r="B43" s="100" t="s">
        <v>380</v>
      </c>
      <c r="C43" s="55" t="s">
        <v>181</v>
      </c>
      <c r="D43" s="99">
        <v>27640</v>
      </c>
      <c r="E43" s="99">
        <v>25041</v>
      </c>
      <c r="F43" s="2" t="s">
        <v>381</v>
      </c>
    </row>
    <row r="44" spans="1:6" x14ac:dyDescent="0.25">
      <c r="B44" s="100" t="s">
        <v>382</v>
      </c>
      <c r="C44" s="55" t="s">
        <v>181</v>
      </c>
      <c r="D44" s="99">
        <v>7047</v>
      </c>
      <c r="E44" s="99">
        <v>7047</v>
      </c>
      <c r="F44" s="2" t="s">
        <v>383</v>
      </c>
    </row>
    <row r="45" spans="1:6" x14ac:dyDescent="0.25">
      <c r="B45" s="100" t="s">
        <v>384</v>
      </c>
      <c r="C45" s="55" t="s">
        <v>181</v>
      </c>
      <c r="D45" s="99">
        <v>17514</v>
      </c>
      <c r="E45" s="99">
        <v>17514</v>
      </c>
    </row>
    <row r="46" spans="1:6" x14ac:dyDescent="0.25">
      <c r="B46" s="100" t="s">
        <v>385</v>
      </c>
      <c r="C46" s="55" t="s">
        <v>181</v>
      </c>
      <c r="D46" s="99">
        <v>30354</v>
      </c>
      <c r="E46" s="99">
        <v>0</v>
      </c>
    </row>
    <row r="47" spans="1:6" x14ac:dyDescent="0.25">
      <c r="B47" s="98" t="s">
        <v>386</v>
      </c>
      <c r="C47" s="55" t="s">
        <v>181</v>
      </c>
      <c r="D47" s="99">
        <v>1265</v>
      </c>
      <c r="E47" s="99">
        <v>1265</v>
      </c>
    </row>
    <row r="48" spans="1:6" x14ac:dyDescent="0.25">
      <c r="B48" s="98" t="s">
        <v>387</v>
      </c>
      <c r="C48" s="55" t="s">
        <v>181</v>
      </c>
      <c r="D48" s="99">
        <v>240</v>
      </c>
      <c r="E48" s="99">
        <v>0</v>
      </c>
    </row>
    <row r="49" spans="1:7" x14ac:dyDescent="0.25">
      <c r="B49" s="98" t="s">
        <v>388</v>
      </c>
      <c r="C49" s="55" t="s">
        <v>181</v>
      </c>
      <c r="D49" s="99">
        <v>1337</v>
      </c>
      <c r="E49" s="99">
        <v>1337</v>
      </c>
    </row>
    <row r="50" spans="1:7" x14ac:dyDescent="0.25">
      <c r="B50" s="98" t="s">
        <v>389</v>
      </c>
      <c r="C50" s="55" t="s">
        <v>181</v>
      </c>
      <c r="D50" s="99">
        <v>708</v>
      </c>
      <c r="E50" s="99">
        <v>1341</v>
      </c>
    </row>
    <row r="51" spans="1:7" s="104" customFormat="1" x14ac:dyDescent="0.25">
      <c r="A51" s="79" t="s">
        <v>390</v>
      </c>
      <c r="B51" s="101" t="s">
        <v>391</v>
      </c>
      <c r="C51" s="88" t="s">
        <v>181</v>
      </c>
      <c r="D51" s="102">
        <f>SUM(D40:D50)-D41</f>
        <v>242063</v>
      </c>
      <c r="E51" s="102">
        <f>SUM(E40:E50)-E41</f>
        <v>189754</v>
      </c>
      <c r="F51" s="103">
        <v>189754</v>
      </c>
      <c r="G51" s="103">
        <f>+F51-E51</f>
        <v>0</v>
      </c>
    </row>
    <row r="52" spans="1:7" s="16" customFormat="1" x14ac:dyDescent="0.25">
      <c r="A52" s="79"/>
      <c r="B52" s="105" t="s">
        <v>392</v>
      </c>
      <c r="C52" s="55" t="s">
        <v>183</v>
      </c>
      <c r="D52" s="99">
        <f>78670+39335+1008</f>
        <v>119013</v>
      </c>
      <c r="E52" s="99">
        <f>78670+39335+1008</f>
        <v>119013</v>
      </c>
    </row>
    <row r="53" spans="1:7" s="16" customFormat="1" x14ac:dyDescent="0.25">
      <c r="A53" s="79"/>
      <c r="B53" s="105" t="s">
        <v>393</v>
      </c>
      <c r="C53" s="55" t="s">
        <v>183</v>
      </c>
      <c r="D53" s="99">
        <f>21600+10800</f>
        <v>32400</v>
      </c>
      <c r="E53" s="99">
        <f>21600+10800</f>
        <v>32400</v>
      </c>
    </row>
    <row r="54" spans="1:7" s="16" customFormat="1" x14ac:dyDescent="0.25">
      <c r="A54" s="79"/>
      <c r="B54" s="105" t="s">
        <v>394</v>
      </c>
      <c r="C54" s="55" t="s">
        <v>183</v>
      </c>
      <c r="D54" s="99">
        <f>16122+8061</f>
        <v>24183</v>
      </c>
      <c r="E54" s="99">
        <f>16122+8061</f>
        <v>24183</v>
      </c>
    </row>
    <row r="55" spans="1:7" s="16" customFormat="1" x14ac:dyDescent="0.25">
      <c r="A55" s="79"/>
      <c r="B55" s="105" t="s">
        <v>395</v>
      </c>
      <c r="C55" s="55" t="s">
        <v>183</v>
      </c>
      <c r="D55" s="99">
        <v>0</v>
      </c>
      <c r="E55" s="99">
        <v>0</v>
      </c>
    </row>
    <row r="56" spans="1:7" s="16" customFormat="1" x14ac:dyDescent="0.25">
      <c r="A56" s="79"/>
      <c r="B56" s="105" t="s">
        <v>396</v>
      </c>
      <c r="C56" s="55" t="s">
        <v>183</v>
      </c>
      <c r="D56" s="99">
        <f>1257+1531</f>
        <v>2788</v>
      </c>
      <c r="E56" s="99">
        <f>1257+1531+4204+2051</f>
        <v>9043</v>
      </c>
    </row>
    <row r="57" spans="1:7" s="16" customFormat="1" x14ac:dyDescent="0.25">
      <c r="A57" s="79"/>
      <c r="B57" s="98"/>
      <c r="C57" s="55" t="s">
        <v>183</v>
      </c>
      <c r="D57" s="99"/>
      <c r="E57" s="99"/>
    </row>
    <row r="58" spans="1:7" s="104" customFormat="1" ht="31.5" x14ac:dyDescent="0.25">
      <c r="A58" s="79" t="s">
        <v>397</v>
      </c>
      <c r="B58" s="87" t="s">
        <v>398</v>
      </c>
      <c r="C58" s="88" t="s">
        <v>183</v>
      </c>
      <c r="D58" s="102">
        <f>SUM(D52:D57)</f>
        <v>178384</v>
      </c>
      <c r="E58" s="102">
        <f>SUM(E52:E57)</f>
        <v>184639</v>
      </c>
      <c r="F58" s="103">
        <v>184639</v>
      </c>
      <c r="G58" s="103">
        <f>+F58-E58</f>
        <v>0</v>
      </c>
    </row>
    <row r="59" spans="1:7" s="16" customFormat="1" x14ac:dyDescent="0.25">
      <c r="A59" s="79"/>
      <c r="B59" s="98" t="s">
        <v>399</v>
      </c>
      <c r="C59" s="55" t="s">
        <v>185</v>
      </c>
      <c r="D59" s="99">
        <v>45495</v>
      </c>
      <c r="E59" s="99">
        <v>45495</v>
      </c>
      <c r="F59" s="16" t="s">
        <v>400</v>
      </c>
    </row>
    <row r="60" spans="1:7" s="16" customFormat="1" x14ac:dyDescent="0.25">
      <c r="A60" s="79"/>
      <c r="B60" s="106" t="s">
        <v>401</v>
      </c>
      <c r="C60" s="55" t="s">
        <v>185</v>
      </c>
      <c r="D60" s="99">
        <v>4200</v>
      </c>
      <c r="E60" s="99">
        <v>4200</v>
      </c>
      <c r="F60" s="16" t="s">
        <v>402</v>
      </c>
    </row>
    <row r="61" spans="1:7" s="16" customFormat="1" x14ac:dyDescent="0.25">
      <c r="A61" s="79"/>
      <c r="B61" s="106" t="s">
        <v>403</v>
      </c>
      <c r="C61" s="55" t="s">
        <v>185</v>
      </c>
      <c r="D61" s="99">
        <v>19500</v>
      </c>
      <c r="E61" s="99">
        <v>19500</v>
      </c>
    </row>
    <row r="62" spans="1:7" s="16" customFormat="1" x14ac:dyDescent="0.25">
      <c r="A62" s="79"/>
      <c r="B62" s="98" t="s">
        <v>404</v>
      </c>
      <c r="C62" s="55" t="s">
        <v>185</v>
      </c>
      <c r="D62" s="99">
        <v>7197</v>
      </c>
      <c r="E62" s="99">
        <v>7197</v>
      </c>
      <c r="F62" s="16" t="s">
        <v>402</v>
      </c>
    </row>
    <row r="63" spans="1:7" s="16" customFormat="1" x14ac:dyDescent="0.25">
      <c r="A63" s="79"/>
      <c r="B63" s="98" t="s">
        <v>405</v>
      </c>
      <c r="C63" s="55" t="s">
        <v>185</v>
      </c>
      <c r="D63" s="99">
        <v>4400</v>
      </c>
      <c r="E63" s="99">
        <v>4400</v>
      </c>
      <c r="F63" s="16" t="s">
        <v>402</v>
      </c>
    </row>
    <row r="64" spans="1:7" s="16" customFormat="1" x14ac:dyDescent="0.25">
      <c r="A64" s="79"/>
      <c r="B64" s="98" t="s">
        <v>406</v>
      </c>
      <c r="C64" s="55" t="s">
        <v>185</v>
      </c>
      <c r="D64" s="99">
        <v>3270</v>
      </c>
      <c r="E64" s="99">
        <v>3270</v>
      </c>
      <c r="F64" s="16" t="s">
        <v>402</v>
      </c>
    </row>
    <row r="65" spans="1:7" s="16" customFormat="1" x14ac:dyDescent="0.25">
      <c r="A65" s="79"/>
      <c r="B65" s="98" t="s">
        <v>407</v>
      </c>
      <c r="C65" s="55" t="s">
        <v>185</v>
      </c>
      <c r="D65" s="99">
        <v>3000</v>
      </c>
      <c r="E65" s="99">
        <v>3000</v>
      </c>
    </row>
    <row r="66" spans="1:7" s="16" customFormat="1" x14ac:dyDescent="0.25">
      <c r="A66" s="79"/>
      <c r="B66" s="98" t="s">
        <v>408</v>
      </c>
      <c r="C66" s="55" t="s">
        <v>185</v>
      </c>
      <c r="D66" s="99">
        <f>14823+544+1482</f>
        <v>16849</v>
      </c>
      <c r="E66" s="99">
        <f>14823+544+1482+435+58+431+436</f>
        <v>18209</v>
      </c>
    </row>
    <row r="67" spans="1:7" s="16" customFormat="1" x14ac:dyDescent="0.25">
      <c r="A67" s="79"/>
      <c r="B67" s="98" t="s">
        <v>409</v>
      </c>
      <c r="C67" s="55" t="s">
        <v>185</v>
      </c>
      <c r="D67" s="99">
        <f>2000+6150</f>
        <v>8150</v>
      </c>
      <c r="E67" s="99">
        <f>2000+6150</f>
        <v>8150</v>
      </c>
      <c r="F67" s="16" t="s">
        <v>402</v>
      </c>
    </row>
    <row r="68" spans="1:7" s="16" customFormat="1" x14ac:dyDescent="0.25">
      <c r="A68" s="79"/>
      <c r="B68" s="98" t="s">
        <v>410</v>
      </c>
      <c r="C68" s="55" t="s">
        <v>185</v>
      </c>
      <c r="D68" s="99">
        <v>104242</v>
      </c>
      <c r="E68" s="99">
        <f>104242</f>
        <v>104242</v>
      </c>
      <c r="F68" s="16" t="s">
        <v>402</v>
      </c>
    </row>
    <row r="69" spans="1:7" s="16" customFormat="1" x14ac:dyDescent="0.25">
      <c r="A69" s="79"/>
      <c r="B69" s="98" t="s">
        <v>411</v>
      </c>
      <c r="C69" s="55" t="s">
        <v>185</v>
      </c>
      <c r="D69" s="99">
        <v>61961</v>
      </c>
      <c r="E69" s="99">
        <v>61961</v>
      </c>
      <c r="F69" s="16" t="s">
        <v>402</v>
      </c>
    </row>
    <row r="70" spans="1:7" s="16" customFormat="1" x14ac:dyDescent="0.25">
      <c r="A70" s="79"/>
      <c r="B70" s="98" t="s">
        <v>412</v>
      </c>
      <c r="C70" s="55" t="s">
        <v>185</v>
      </c>
      <c r="D70" s="99">
        <v>64692</v>
      </c>
      <c r="E70" s="99">
        <v>64692</v>
      </c>
    </row>
    <row r="71" spans="1:7" s="16" customFormat="1" x14ac:dyDescent="0.25">
      <c r="A71" s="79"/>
      <c r="B71" s="98" t="s">
        <v>413</v>
      </c>
      <c r="C71" s="55" t="s">
        <v>185</v>
      </c>
      <c r="D71" s="99">
        <v>101565</v>
      </c>
      <c r="E71" s="99">
        <v>101565</v>
      </c>
    </row>
    <row r="72" spans="1:7" s="16" customFormat="1" x14ac:dyDescent="0.25">
      <c r="A72" s="79"/>
      <c r="B72" s="106" t="s">
        <v>414</v>
      </c>
      <c r="C72" s="55" t="s">
        <v>185</v>
      </c>
      <c r="D72" s="99">
        <v>7304</v>
      </c>
      <c r="E72" s="99">
        <v>7304</v>
      </c>
    </row>
    <row r="73" spans="1:7" s="16" customFormat="1" x14ac:dyDescent="0.25">
      <c r="A73" s="79"/>
      <c r="B73" s="107" t="s">
        <v>415</v>
      </c>
      <c r="C73" s="55" t="s">
        <v>185</v>
      </c>
      <c r="D73" s="99"/>
      <c r="E73" s="99">
        <f>33188+3351+3377+3404+9044</f>
        <v>52364</v>
      </c>
    </row>
    <row r="74" spans="1:7" s="91" customFormat="1" ht="31.5" x14ac:dyDescent="0.25">
      <c r="A74" s="79" t="s">
        <v>416</v>
      </c>
      <c r="B74" s="87" t="s">
        <v>417</v>
      </c>
      <c r="C74" s="88" t="s">
        <v>185</v>
      </c>
      <c r="D74" s="102">
        <f>SUM(D59:D73)</f>
        <v>451825</v>
      </c>
      <c r="E74" s="102">
        <f>SUM(E59:E73)</f>
        <v>505549</v>
      </c>
      <c r="F74" s="103">
        <v>505549</v>
      </c>
      <c r="G74" s="115">
        <f>+F74-E74</f>
        <v>0</v>
      </c>
    </row>
    <row r="75" spans="1:7" x14ac:dyDescent="0.25">
      <c r="B75" s="98" t="s">
        <v>418</v>
      </c>
      <c r="C75" s="55" t="s">
        <v>187</v>
      </c>
      <c r="D75" s="99">
        <v>12816</v>
      </c>
      <c r="E75" s="99">
        <v>12816</v>
      </c>
      <c r="F75" s="2" t="s">
        <v>419</v>
      </c>
    </row>
    <row r="76" spans="1:7" x14ac:dyDescent="0.25">
      <c r="B76" s="98" t="s">
        <v>420</v>
      </c>
      <c r="C76" s="55" t="s">
        <v>187</v>
      </c>
      <c r="D76" s="99">
        <f>1729+1867</f>
        <v>3596</v>
      </c>
      <c r="E76" s="99">
        <f>1729+1867-38</f>
        <v>3558</v>
      </c>
    </row>
    <row r="77" spans="1:7" x14ac:dyDescent="0.25">
      <c r="B77" s="98" t="s">
        <v>421</v>
      </c>
      <c r="C77" s="55" t="s">
        <v>187</v>
      </c>
      <c r="D77" s="99">
        <v>0</v>
      </c>
      <c r="E77" s="99">
        <v>1047</v>
      </c>
      <c r="F77" s="2" t="s">
        <v>419</v>
      </c>
    </row>
    <row r="78" spans="1:7" s="91" customFormat="1" ht="29.85" customHeight="1" x14ac:dyDescent="0.25">
      <c r="A78" s="79" t="s">
        <v>422</v>
      </c>
      <c r="B78" s="87" t="s">
        <v>423</v>
      </c>
      <c r="C78" s="88" t="s">
        <v>187</v>
      </c>
      <c r="D78" s="102">
        <f>SUM(D75:D77)</f>
        <v>16412</v>
      </c>
      <c r="E78" s="102">
        <f>SUM(E75:E77)</f>
        <v>17421</v>
      </c>
      <c r="F78" s="103">
        <v>17421</v>
      </c>
      <c r="G78" s="115">
        <f>+F78-E78</f>
        <v>0</v>
      </c>
    </row>
    <row r="79" spans="1:7" hidden="1" x14ac:dyDescent="0.25">
      <c r="B79" s="98"/>
      <c r="C79" s="55"/>
      <c r="D79" s="99"/>
      <c r="E79" s="99"/>
    </row>
    <row r="80" spans="1:7" hidden="1" x14ac:dyDescent="0.25">
      <c r="B80" s="98" t="s">
        <v>424</v>
      </c>
      <c r="C80" s="55" t="s">
        <v>189</v>
      </c>
      <c r="D80" s="99"/>
      <c r="E80" s="99"/>
    </row>
    <row r="81" spans="1:9" x14ac:dyDescent="0.25">
      <c r="B81" s="98" t="s">
        <v>825</v>
      </c>
      <c r="C81" s="55" t="s">
        <v>189</v>
      </c>
      <c r="D81" s="99"/>
      <c r="E81" s="99">
        <f>19386+6462+6462</f>
        <v>32310</v>
      </c>
    </row>
    <row r="82" spans="1:9" x14ac:dyDescent="0.25">
      <c r="B82" s="313" t="s">
        <v>819</v>
      </c>
      <c r="C82" s="55" t="s">
        <v>189</v>
      </c>
      <c r="D82" s="99"/>
      <c r="E82" s="99">
        <f>941+471+471</f>
        <v>1883</v>
      </c>
    </row>
    <row r="83" spans="1:9" x14ac:dyDescent="0.25">
      <c r="B83" s="108" t="s">
        <v>425</v>
      </c>
      <c r="C83" s="55" t="s">
        <v>189</v>
      </c>
      <c r="D83" s="99"/>
      <c r="E83" s="99">
        <v>42885</v>
      </c>
    </row>
    <row r="84" spans="1:9" x14ac:dyDescent="0.25">
      <c r="B84" s="107" t="s">
        <v>426</v>
      </c>
      <c r="C84" s="55" t="s">
        <v>189</v>
      </c>
      <c r="D84" s="99"/>
      <c r="E84" s="99">
        <f>1688+1006+945+1010+979+972+938+927+939+939+215+3</f>
        <v>10561</v>
      </c>
    </row>
    <row r="85" spans="1:9" s="113" customFormat="1" ht="17.25" customHeight="1" x14ac:dyDescent="0.25">
      <c r="A85" s="109"/>
      <c r="B85" s="110" t="s">
        <v>427</v>
      </c>
      <c r="C85" s="111" t="s">
        <v>189</v>
      </c>
      <c r="D85" s="112">
        <v>215137</v>
      </c>
      <c r="E85" s="112">
        <f>10000+13990</f>
        <v>23990</v>
      </c>
      <c r="F85" s="315">
        <v>111629</v>
      </c>
      <c r="G85" s="315">
        <f>+F85-E85</f>
        <v>87639</v>
      </c>
    </row>
    <row r="86" spans="1:9" s="104" customFormat="1" x14ac:dyDescent="0.25">
      <c r="A86" s="79" t="s">
        <v>428</v>
      </c>
      <c r="B86" s="87" t="s">
        <v>429</v>
      </c>
      <c r="C86" s="88" t="s">
        <v>189</v>
      </c>
      <c r="D86" s="102">
        <f>SUM(D79:D85)</f>
        <v>215137</v>
      </c>
      <c r="E86" s="102">
        <f>SUM(E79:E85)</f>
        <v>111629</v>
      </c>
      <c r="F86" s="315">
        <v>111629</v>
      </c>
      <c r="G86" s="315">
        <f>+F86-E86</f>
        <v>0</v>
      </c>
    </row>
    <row r="87" spans="1:9" x14ac:dyDescent="0.25">
      <c r="A87" s="79" t="s">
        <v>430</v>
      </c>
      <c r="B87" s="98"/>
      <c r="C87" s="55" t="s">
        <v>191</v>
      </c>
      <c r="D87" s="99"/>
      <c r="E87" s="99"/>
      <c r="G87" s="316">
        <f>+G86/1.27</f>
        <v>0</v>
      </c>
      <c r="I87" s="2" t="s">
        <v>431</v>
      </c>
    </row>
    <row r="88" spans="1:9" s="104" customFormat="1" x14ac:dyDescent="0.25">
      <c r="A88" s="79"/>
      <c r="B88" s="87" t="s">
        <v>432</v>
      </c>
      <c r="C88" s="88" t="s">
        <v>191</v>
      </c>
      <c r="D88" s="102">
        <f>SUM(D87:D87)</f>
        <v>0</v>
      </c>
      <c r="E88" s="102">
        <f>SUM(E87:E87)</f>
        <v>0</v>
      </c>
      <c r="F88" s="2"/>
      <c r="G88" s="317">
        <f>+G87*0.27</f>
        <v>0</v>
      </c>
    </row>
    <row r="89" spans="1:9" s="91" customFormat="1" x14ac:dyDescent="0.25">
      <c r="A89" s="79"/>
      <c r="B89" s="114" t="s">
        <v>192</v>
      </c>
      <c r="C89" s="114" t="s">
        <v>193</v>
      </c>
      <c r="D89" s="89">
        <f>+D88+D86+D78+D74+D58+D51</f>
        <v>1103821</v>
      </c>
      <c r="E89" s="89">
        <f>+E88+E86+E78+E74+E58+E51</f>
        <v>1008992</v>
      </c>
      <c r="F89" s="115"/>
    </row>
    <row r="90" spans="1:9" x14ac:dyDescent="0.25">
      <c r="D90" s="116"/>
      <c r="E90" s="116"/>
    </row>
    <row r="91" spans="1:9" x14ac:dyDescent="0.25">
      <c r="D91" s="3"/>
      <c r="E91" s="3"/>
    </row>
    <row r="92" spans="1:9" x14ac:dyDescent="0.25">
      <c r="D92" s="117"/>
      <c r="E92" s="117"/>
    </row>
    <row r="93" spans="1:9" x14ac:dyDescent="0.25">
      <c r="D93" s="3"/>
      <c r="E93" s="3"/>
    </row>
    <row r="94" spans="1:9" x14ac:dyDescent="0.25">
      <c r="D94" s="3"/>
      <c r="E94" s="3"/>
    </row>
    <row r="95" spans="1:9" x14ac:dyDescent="0.25">
      <c r="D95" s="3"/>
      <c r="E95" s="3"/>
    </row>
    <row r="96" spans="1:9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  <row r="100" spans="4:5" x14ac:dyDescent="0.25">
      <c r="D100" s="3"/>
      <c r="E100" s="3"/>
    </row>
    <row r="101" spans="4:5" x14ac:dyDescent="0.25">
      <c r="D101" s="3"/>
      <c r="E101" s="3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1"/>
  <sheetViews>
    <sheetView view="pageBreakPreview" topLeftCell="B1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1.7109375" style="79" customWidth="1"/>
    <col min="2" max="2" width="87.5703125" style="2" customWidth="1"/>
    <col min="3" max="3" width="9.140625" style="2" customWidth="1"/>
    <col min="4" max="4" width="11.140625" style="3" customWidth="1"/>
    <col min="5" max="5" width="9.85546875" style="3" customWidth="1"/>
    <col min="6" max="7" width="11.5703125" style="3" customWidth="1"/>
    <col min="8" max="253" width="9.140625" style="2" customWidth="1"/>
  </cols>
  <sheetData>
    <row r="1" spans="1:7" x14ac:dyDescent="0.25">
      <c r="E1" s="4"/>
      <c r="G1" s="4" t="s">
        <v>433</v>
      </c>
    </row>
    <row r="2" spans="1:7" x14ac:dyDescent="0.25">
      <c r="E2" s="5"/>
      <c r="G2" s="5" t="s">
        <v>827</v>
      </c>
    </row>
    <row r="3" spans="1:7" x14ac:dyDescent="0.25">
      <c r="E3" s="4"/>
      <c r="G3" s="4"/>
    </row>
    <row r="4" spans="1:7" ht="27" customHeight="1" x14ac:dyDescent="0.3">
      <c r="B4" s="24" t="s">
        <v>8</v>
      </c>
      <c r="C4" s="26"/>
      <c r="D4" s="26"/>
      <c r="F4" s="26"/>
    </row>
    <row r="5" spans="1:7" x14ac:dyDescent="0.25">
      <c r="B5" s="33"/>
      <c r="C5" s="32"/>
      <c r="D5" s="32"/>
      <c r="F5" s="32"/>
    </row>
    <row r="6" spans="1:7" ht="12.75" customHeight="1" x14ac:dyDescent="0.25">
      <c r="B6" s="319" t="s">
        <v>434</v>
      </c>
      <c r="C6" s="319"/>
    </row>
    <row r="7" spans="1:7" ht="15.75" customHeight="1" x14ac:dyDescent="0.25">
      <c r="B7" s="31"/>
      <c r="C7" s="32"/>
      <c r="D7" s="34"/>
      <c r="F7" s="34"/>
    </row>
    <row r="8" spans="1:7" ht="39.200000000000003" customHeight="1" x14ac:dyDescent="0.25">
      <c r="D8" s="320" t="s">
        <v>435</v>
      </c>
      <c r="E8" s="320"/>
      <c r="F8" s="320" t="s">
        <v>11</v>
      </c>
      <c r="G8" s="320"/>
    </row>
    <row r="9" spans="1:7" ht="47.25" x14ac:dyDescent="0.25">
      <c r="B9" s="8" t="s">
        <v>12</v>
      </c>
      <c r="C9" s="37" t="s">
        <v>39</v>
      </c>
      <c r="D9" s="40" t="s">
        <v>436</v>
      </c>
      <c r="E9" s="40" t="s">
        <v>437</v>
      </c>
      <c r="F9" s="40" t="s">
        <v>436</v>
      </c>
      <c r="G9" s="40" t="s">
        <v>437</v>
      </c>
    </row>
    <row r="10" spans="1:7" hidden="1" x14ac:dyDescent="0.25">
      <c r="B10" s="57"/>
      <c r="C10" s="55"/>
      <c r="D10" s="13"/>
      <c r="E10" s="13"/>
      <c r="F10" s="13"/>
      <c r="G10" s="13"/>
    </row>
    <row r="11" spans="1:7" hidden="1" x14ac:dyDescent="0.25">
      <c r="B11" s="57"/>
      <c r="C11" s="55"/>
      <c r="D11" s="13"/>
      <c r="E11" s="13"/>
      <c r="F11" s="13"/>
      <c r="G11" s="13"/>
    </row>
    <row r="12" spans="1:7" s="91" customFormat="1" ht="31.5" hidden="1" x14ac:dyDescent="0.25">
      <c r="A12" s="79" t="s">
        <v>332</v>
      </c>
      <c r="B12" s="87" t="s">
        <v>438</v>
      </c>
      <c r="C12" s="88" t="s">
        <v>199</v>
      </c>
      <c r="D12" s="89">
        <f>SUM(D10:D11)</f>
        <v>0</v>
      </c>
      <c r="E12" s="89">
        <f>SUM(E10:E11)</f>
        <v>0</v>
      </c>
      <c r="F12" s="89">
        <f>SUM(F10:F11)</f>
        <v>0</v>
      </c>
      <c r="G12" s="89">
        <f>SUM(G10:G11)</f>
        <v>0</v>
      </c>
    </row>
    <row r="13" spans="1:7" hidden="1" x14ac:dyDescent="0.25">
      <c r="A13" s="79" t="s">
        <v>439</v>
      </c>
      <c r="B13" s="57"/>
      <c r="C13" s="55"/>
      <c r="D13" s="13"/>
      <c r="E13" s="13"/>
      <c r="F13" s="13"/>
      <c r="G13" s="13"/>
    </row>
    <row r="14" spans="1:7" hidden="1" x14ac:dyDescent="0.25">
      <c r="B14" s="57"/>
      <c r="C14" s="55"/>
      <c r="D14" s="13"/>
      <c r="E14" s="13"/>
      <c r="F14" s="13"/>
      <c r="G14" s="13"/>
    </row>
    <row r="15" spans="1:7" s="91" customFormat="1" ht="31.5" hidden="1" x14ac:dyDescent="0.25">
      <c r="A15" s="79"/>
      <c r="B15" s="87" t="s">
        <v>440</v>
      </c>
      <c r="C15" s="88" t="s">
        <v>201</v>
      </c>
      <c r="D15" s="89">
        <f>SUM(D13:D14)</f>
        <v>0</v>
      </c>
      <c r="E15" s="89">
        <f>SUM(E13:E14)</f>
        <v>0</v>
      </c>
      <c r="F15" s="89">
        <f>SUM(F13:F14)</f>
        <v>0</v>
      </c>
      <c r="G15" s="89">
        <f>SUM(G13:G14)</f>
        <v>0</v>
      </c>
    </row>
    <row r="16" spans="1:7" x14ac:dyDescent="0.25">
      <c r="B16" s="47"/>
      <c r="C16" s="56"/>
      <c r="D16" s="14"/>
      <c r="E16" s="13"/>
      <c r="F16" s="14"/>
      <c r="G16" s="13"/>
    </row>
    <row r="17" spans="1:8" x14ac:dyDescent="0.25">
      <c r="B17" s="119" t="s">
        <v>441</v>
      </c>
      <c r="C17" s="111" t="s">
        <v>442</v>
      </c>
      <c r="D17" s="14"/>
      <c r="E17" s="13">
        <v>67375</v>
      </c>
      <c r="F17" s="14"/>
      <c r="G17" s="13">
        <v>67375</v>
      </c>
      <c r="H17" s="2" t="s">
        <v>443</v>
      </c>
    </row>
    <row r="18" spans="1:8" x14ac:dyDescent="0.25">
      <c r="B18" s="119" t="s">
        <v>444</v>
      </c>
      <c r="C18" s="111" t="s">
        <v>442</v>
      </c>
      <c r="D18" s="13">
        <v>9000</v>
      </c>
      <c r="E18" s="13"/>
      <c r="F18" s="13">
        <v>9000</v>
      </c>
      <c r="G18" s="13"/>
    </row>
    <row r="19" spans="1:8" x14ac:dyDescent="0.25">
      <c r="B19" s="120" t="s">
        <v>445</v>
      </c>
      <c r="C19" s="111" t="s">
        <v>442</v>
      </c>
      <c r="D19" s="13">
        <v>6287</v>
      </c>
      <c r="E19" s="13"/>
      <c r="F19" s="13">
        <v>0</v>
      </c>
      <c r="G19" s="13"/>
    </row>
    <row r="20" spans="1:8" x14ac:dyDescent="0.25">
      <c r="B20" s="120" t="s">
        <v>446</v>
      </c>
      <c r="C20" s="111" t="s">
        <v>442</v>
      </c>
      <c r="D20" s="13"/>
      <c r="E20" s="13">
        <v>250000</v>
      </c>
      <c r="F20" s="13"/>
      <c r="G20" s="13">
        <v>0</v>
      </c>
    </row>
    <row r="21" spans="1:8" x14ac:dyDescent="0.25">
      <c r="B21" s="120" t="s">
        <v>447</v>
      </c>
      <c r="C21" s="111" t="s">
        <v>442</v>
      </c>
      <c r="D21" s="13">
        <v>5770</v>
      </c>
      <c r="E21" s="13"/>
      <c r="F21" s="13">
        <v>5770</v>
      </c>
      <c r="G21" s="13"/>
    </row>
    <row r="22" spans="1:8" x14ac:dyDescent="0.25">
      <c r="A22" s="79">
        <v>1</v>
      </c>
      <c r="B22" s="119" t="s">
        <v>448</v>
      </c>
      <c r="C22" s="111" t="s">
        <v>442</v>
      </c>
      <c r="D22" s="13">
        <v>0</v>
      </c>
      <c r="E22" s="13">
        <v>500000</v>
      </c>
      <c r="F22" s="13">
        <v>0</v>
      </c>
      <c r="G22" s="13">
        <v>0</v>
      </c>
      <c r="H22" s="121"/>
    </row>
    <row r="23" spans="1:8" s="91" customFormat="1" x14ac:dyDescent="0.25">
      <c r="A23" s="79" t="s">
        <v>449</v>
      </c>
      <c r="B23" s="122" t="s">
        <v>450</v>
      </c>
      <c r="C23" s="123" t="s">
        <v>442</v>
      </c>
      <c r="D23" s="124">
        <f>SUM(D16:D22)</f>
        <v>21057</v>
      </c>
      <c r="E23" s="124">
        <f>SUM(E16:E22)</f>
        <v>817375</v>
      </c>
      <c r="F23" s="124">
        <f>SUM(F16:F22)</f>
        <v>14770</v>
      </c>
      <c r="G23" s="124">
        <f>SUM(G16:G22)</f>
        <v>67375</v>
      </c>
      <c r="H23" s="125"/>
    </row>
    <row r="24" spans="1:8" x14ac:dyDescent="0.25">
      <c r="B24" s="126"/>
      <c r="C24" s="56"/>
      <c r="D24" s="127"/>
      <c r="E24" s="127"/>
      <c r="F24" s="127"/>
      <c r="G24" s="127"/>
      <c r="H24" s="121"/>
    </row>
    <row r="25" spans="1:8" x14ac:dyDescent="0.25">
      <c r="A25" s="79">
        <v>5</v>
      </c>
      <c r="B25" s="128" t="s">
        <v>451</v>
      </c>
      <c r="C25" s="111" t="s">
        <v>452</v>
      </c>
      <c r="D25" s="13">
        <v>5259</v>
      </c>
      <c r="E25" s="13"/>
      <c r="F25" s="13">
        <v>5259</v>
      </c>
      <c r="G25" s="13"/>
      <c r="H25" s="16" t="s">
        <v>402</v>
      </c>
    </row>
    <row r="26" spans="1:8" x14ac:dyDescent="0.25">
      <c r="A26" s="79">
        <v>3</v>
      </c>
      <c r="B26" s="128" t="s">
        <v>453</v>
      </c>
      <c r="C26" s="111" t="s">
        <v>452</v>
      </c>
      <c r="D26" s="13">
        <v>2960</v>
      </c>
      <c r="E26" s="13"/>
      <c r="F26" s="13">
        <v>2960</v>
      </c>
      <c r="G26" s="13"/>
      <c r="H26" s="16" t="s">
        <v>402</v>
      </c>
    </row>
    <row r="27" spans="1:8" s="91" customFormat="1" x14ac:dyDescent="0.25">
      <c r="A27" s="79" t="s">
        <v>454</v>
      </c>
      <c r="B27" s="122" t="s">
        <v>455</v>
      </c>
      <c r="C27" s="123" t="s">
        <v>452</v>
      </c>
      <c r="D27" s="124">
        <f>SUM(D25:D26)</f>
        <v>8219</v>
      </c>
      <c r="E27" s="124">
        <f>SUM(E25:E26)</f>
        <v>0</v>
      </c>
      <c r="F27" s="124">
        <f>SUM(F25:F26)</f>
        <v>8219</v>
      </c>
      <c r="G27" s="124">
        <f>SUM(G25:G26)</f>
        <v>0</v>
      </c>
      <c r="H27" s="104"/>
    </row>
    <row r="28" spans="1:8" s="91" customFormat="1" x14ac:dyDescent="0.25">
      <c r="A28" s="79"/>
      <c r="B28" s="129" t="s">
        <v>456</v>
      </c>
      <c r="C28" s="130" t="s">
        <v>203</v>
      </c>
      <c r="D28" s="131">
        <f>+D27+D23</f>
        <v>29276</v>
      </c>
      <c r="E28" s="131">
        <f>+E27+E23</f>
        <v>817375</v>
      </c>
      <c r="F28" s="131">
        <f>+F27+F23</f>
        <v>22989</v>
      </c>
      <c r="G28" s="131">
        <f>+G27+G23</f>
        <v>67375</v>
      </c>
    </row>
    <row r="29" spans="1:8" ht="13.5" customHeight="1" x14ac:dyDescent="0.25">
      <c r="B29" s="132"/>
      <c r="C29" s="133"/>
      <c r="D29" s="134"/>
      <c r="E29" s="134"/>
      <c r="F29" s="134"/>
      <c r="G29" s="134"/>
    </row>
    <row r="30" spans="1:8" x14ac:dyDescent="0.25">
      <c r="A30" s="79" t="s">
        <v>457</v>
      </c>
      <c r="B30" s="120"/>
      <c r="C30" s="55" t="s">
        <v>458</v>
      </c>
      <c r="D30" s="94"/>
      <c r="E30" s="135"/>
      <c r="F30" s="94"/>
      <c r="G30" s="135"/>
    </row>
    <row r="31" spans="1:8" s="91" customFormat="1" x14ac:dyDescent="0.25">
      <c r="A31" s="79"/>
      <c r="B31" s="129" t="s">
        <v>459</v>
      </c>
      <c r="C31" s="130" t="s">
        <v>458</v>
      </c>
      <c r="D31" s="131">
        <f>SUM(D29:D30)</f>
        <v>0</v>
      </c>
      <c r="E31" s="131">
        <f>SUM(E29:E30)</f>
        <v>0</v>
      </c>
      <c r="F31" s="131">
        <f>SUM(F29:F30)</f>
        <v>0</v>
      </c>
      <c r="G31" s="131">
        <f>SUM(G29:G30)</f>
        <v>0</v>
      </c>
    </row>
    <row r="32" spans="1:8" ht="13.5" hidden="1" customHeight="1" x14ac:dyDescent="0.25">
      <c r="B32" s="132"/>
      <c r="C32" s="133"/>
      <c r="D32" s="134"/>
      <c r="E32" s="134"/>
      <c r="F32" s="134"/>
      <c r="G32" s="134"/>
    </row>
    <row r="33" spans="1:8" hidden="1" x14ac:dyDescent="0.25">
      <c r="B33" s="57"/>
      <c r="C33" s="55"/>
      <c r="D33" s="13"/>
      <c r="E33" s="13"/>
      <c r="F33" s="13"/>
      <c r="G33" s="13"/>
    </row>
    <row r="34" spans="1:8" s="91" customFormat="1" ht="31.5" hidden="1" x14ac:dyDescent="0.25">
      <c r="A34" s="79"/>
      <c r="B34" s="87" t="s">
        <v>460</v>
      </c>
      <c r="C34" s="88" t="s">
        <v>461</v>
      </c>
      <c r="D34" s="89">
        <f>SUM(D32:D33)</f>
        <v>0</v>
      </c>
      <c r="E34" s="89">
        <f>SUM(E32:E33)</f>
        <v>0</v>
      </c>
      <c r="F34" s="89">
        <f>SUM(F32:F33)</f>
        <v>0</v>
      </c>
      <c r="G34" s="89">
        <f>SUM(G32:G33)</f>
        <v>0</v>
      </c>
    </row>
    <row r="35" spans="1:8" hidden="1" x14ac:dyDescent="0.25">
      <c r="B35" s="57"/>
      <c r="C35" s="55"/>
      <c r="D35" s="13"/>
      <c r="E35" s="13"/>
      <c r="F35" s="13"/>
      <c r="G35" s="13"/>
    </row>
    <row r="36" spans="1:8" hidden="1" x14ac:dyDescent="0.25">
      <c r="B36" s="57"/>
      <c r="C36" s="55"/>
      <c r="D36" s="13"/>
      <c r="E36" s="13"/>
      <c r="F36" s="13"/>
      <c r="G36" s="13"/>
    </row>
    <row r="37" spans="1:8" s="91" customFormat="1" ht="31.5" hidden="1" x14ac:dyDescent="0.25">
      <c r="A37" s="79"/>
      <c r="B37" s="87" t="s">
        <v>462</v>
      </c>
      <c r="C37" s="88" t="s">
        <v>463</v>
      </c>
      <c r="D37" s="89">
        <f>SUM(D35:D36)</f>
        <v>0</v>
      </c>
      <c r="E37" s="89">
        <f>SUM(E35:E36)</f>
        <v>0</v>
      </c>
      <c r="F37" s="89">
        <f>SUM(F35:F36)</f>
        <v>0</v>
      </c>
      <c r="G37" s="89">
        <f>SUM(G35:G36)</f>
        <v>0</v>
      </c>
    </row>
    <row r="38" spans="1:8" x14ac:dyDescent="0.25">
      <c r="A38" s="79" t="s">
        <v>332</v>
      </c>
      <c r="B38" s="47"/>
      <c r="C38" s="56"/>
      <c r="D38" s="13"/>
      <c r="E38" s="13"/>
      <c r="F38" s="13"/>
      <c r="G38" s="13"/>
    </row>
    <row r="39" spans="1:8" x14ac:dyDescent="0.25">
      <c r="B39" s="119" t="s">
        <v>826</v>
      </c>
      <c r="C39" s="55" t="s">
        <v>465</v>
      </c>
      <c r="D39" s="13"/>
      <c r="E39" s="13"/>
      <c r="F39" s="13">
        <v>908</v>
      </c>
      <c r="G39" s="13"/>
      <c r="H39" s="3" t="s">
        <v>443</v>
      </c>
    </row>
    <row r="40" spans="1:8" x14ac:dyDescent="0.25">
      <c r="B40" s="119" t="s">
        <v>464</v>
      </c>
      <c r="C40" s="55" t="s">
        <v>465</v>
      </c>
      <c r="D40" s="13">
        <v>30000</v>
      </c>
      <c r="E40" s="13"/>
      <c r="F40" s="13">
        <v>30000</v>
      </c>
      <c r="G40" s="13"/>
      <c r="H40" s="3" t="s">
        <v>443</v>
      </c>
    </row>
    <row r="41" spans="1:8" x14ac:dyDescent="0.25">
      <c r="B41" s="120" t="s">
        <v>466</v>
      </c>
      <c r="C41" s="55" t="s">
        <v>465</v>
      </c>
      <c r="D41" s="134">
        <v>30874</v>
      </c>
      <c r="E41" s="13"/>
      <c r="F41" s="134">
        <v>0</v>
      </c>
      <c r="G41" s="13"/>
    </row>
    <row r="42" spans="1:8" x14ac:dyDescent="0.25">
      <c r="B42" s="120" t="s">
        <v>822</v>
      </c>
      <c r="C42" s="55" t="s">
        <v>465</v>
      </c>
      <c r="D42" s="134"/>
      <c r="E42" s="13"/>
      <c r="F42" s="134">
        <v>1000</v>
      </c>
      <c r="G42" s="13"/>
    </row>
    <row r="43" spans="1:8" x14ac:dyDescent="0.25">
      <c r="B43" s="120" t="s">
        <v>467</v>
      </c>
      <c r="C43" s="55" t="s">
        <v>465</v>
      </c>
      <c r="D43" s="13">
        <v>18482</v>
      </c>
      <c r="E43" s="13"/>
      <c r="F43" s="13">
        <v>0</v>
      </c>
      <c r="G43" s="13"/>
    </row>
    <row r="44" spans="1:8" x14ac:dyDescent="0.25">
      <c r="B44" s="120" t="s">
        <v>468</v>
      </c>
      <c r="C44" s="55" t="s">
        <v>465</v>
      </c>
      <c r="D44" s="94">
        <v>94089</v>
      </c>
      <c r="E44" s="13"/>
      <c r="F44" s="94">
        <v>0</v>
      </c>
      <c r="G44" s="13"/>
    </row>
    <row r="45" spans="1:8" s="91" customFormat="1" x14ac:dyDescent="0.25">
      <c r="A45" s="79" t="s">
        <v>469</v>
      </c>
      <c r="B45" s="122" t="s">
        <v>470</v>
      </c>
      <c r="C45" s="123" t="s">
        <v>465</v>
      </c>
      <c r="D45" s="124">
        <f>SUM(D38:D44)</f>
        <v>173445</v>
      </c>
      <c r="E45" s="124">
        <f>SUM(E38:E44)</f>
        <v>0</v>
      </c>
      <c r="F45" s="124">
        <f>SUM(F38:F44)</f>
        <v>31908</v>
      </c>
      <c r="G45" s="124">
        <f>SUM(G38:G44)</f>
        <v>0</v>
      </c>
    </row>
    <row r="46" spans="1:8" x14ac:dyDescent="0.25">
      <c r="B46" s="47"/>
      <c r="C46" s="56"/>
      <c r="D46" s="13"/>
      <c r="E46" s="13"/>
      <c r="F46" s="13"/>
      <c r="G46" s="13"/>
    </row>
    <row r="47" spans="1:8" s="113" customFormat="1" x14ac:dyDescent="0.25">
      <c r="A47" s="109">
        <v>1</v>
      </c>
      <c r="B47" s="119" t="s">
        <v>471</v>
      </c>
      <c r="C47" s="55" t="s">
        <v>472</v>
      </c>
      <c r="D47" s="136">
        <v>143578</v>
      </c>
      <c r="E47" s="13"/>
      <c r="F47" s="136">
        <v>143578</v>
      </c>
      <c r="G47" s="13"/>
      <c r="H47" s="113" t="s">
        <v>473</v>
      </c>
    </row>
    <row r="48" spans="1:8" s="113" customFormat="1" x14ac:dyDescent="0.25">
      <c r="A48" s="109"/>
      <c r="B48" s="120" t="s">
        <v>474</v>
      </c>
      <c r="C48" s="55" t="s">
        <v>472</v>
      </c>
      <c r="D48" s="136">
        <v>495427</v>
      </c>
      <c r="E48" s="13"/>
      <c r="F48" s="136">
        <v>0</v>
      </c>
      <c r="G48" s="13"/>
    </row>
    <row r="49" spans="1:11" s="113" customFormat="1" x14ac:dyDescent="0.25">
      <c r="A49" s="109">
        <v>12</v>
      </c>
      <c r="B49" s="120" t="s">
        <v>475</v>
      </c>
      <c r="C49" s="55" t="s">
        <v>472</v>
      </c>
      <c r="D49" s="13">
        <v>209520</v>
      </c>
      <c r="E49" s="13"/>
      <c r="F49" s="13">
        <v>209520</v>
      </c>
      <c r="G49" s="13"/>
      <c r="H49" s="113" t="s">
        <v>443</v>
      </c>
    </row>
    <row r="50" spans="1:11" s="113" customFormat="1" x14ac:dyDescent="0.25">
      <c r="A50" s="109"/>
      <c r="B50" s="119" t="s">
        <v>476</v>
      </c>
      <c r="C50" s="55" t="s">
        <v>472</v>
      </c>
      <c r="D50" s="13">
        <v>83371</v>
      </c>
      <c r="E50" s="13"/>
      <c r="F50" s="13">
        <v>83371</v>
      </c>
      <c r="G50" s="13"/>
      <c r="H50" s="113" t="s">
        <v>473</v>
      </c>
    </row>
    <row r="51" spans="1:11" s="113" customFormat="1" x14ac:dyDescent="0.25">
      <c r="A51" s="109">
        <v>11</v>
      </c>
      <c r="B51" s="120" t="s">
        <v>477</v>
      </c>
      <c r="C51" s="55" t="s">
        <v>472</v>
      </c>
      <c r="D51" s="13"/>
      <c r="E51" s="13">
        <v>144623</v>
      </c>
      <c r="F51" s="13"/>
      <c r="G51" s="13">
        <v>0</v>
      </c>
      <c r="H51" s="113" t="s">
        <v>473</v>
      </c>
    </row>
    <row r="52" spans="1:11" s="113" customFormat="1" x14ac:dyDescent="0.25">
      <c r="A52" s="109"/>
      <c r="B52" s="120" t="s">
        <v>478</v>
      </c>
      <c r="C52" s="55" t="s">
        <v>472</v>
      </c>
      <c r="D52" s="13">
        <f>308745-46311</f>
        <v>262434</v>
      </c>
      <c r="E52" s="13"/>
      <c r="F52" s="13">
        <v>0</v>
      </c>
      <c r="G52" s="13"/>
      <c r="H52" s="113" t="s">
        <v>473</v>
      </c>
    </row>
    <row r="53" spans="1:11" s="113" customFormat="1" x14ac:dyDescent="0.25">
      <c r="A53" s="109">
        <v>10</v>
      </c>
      <c r="B53" s="120" t="s">
        <v>479</v>
      </c>
      <c r="C53" s="55" t="s">
        <v>472</v>
      </c>
      <c r="D53" s="13">
        <f>184822-27723</f>
        <v>157099</v>
      </c>
      <c r="E53" s="13"/>
      <c r="F53" s="13">
        <v>0</v>
      </c>
      <c r="G53" s="13"/>
      <c r="H53" s="113" t="s">
        <v>473</v>
      </c>
    </row>
    <row r="54" spans="1:11" s="113" customFormat="1" x14ac:dyDescent="0.25">
      <c r="A54" s="109">
        <v>13</v>
      </c>
      <c r="B54" s="119" t="s">
        <v>480</v>
      </c>
      <c r="C54" s="55" t="s">
        <v>472</v>
      </c>
      <c r="D54" s="13">
        <v>169234</v>
      </c>
      <c r="E54" s="13"/>
      <c r="F54" s="13">
        <v>169234</v>
      </c>
      <c r="G54" s="13"/>
      <c r="H54" s="113" t="s">
        <v>473</v>
      </c>
    </row>
    <row r="55" spans="1:11" s="113" customFormat="1" x14ac:dyDescent="0.25">
      <c r="A55" s="109"/>
      <c r="B55" s="120" t="s">
        <v>481</v>
      </c>
      <c r="C55" s="55" t="s">
        <v>472</v>
      </c>
      <c r="D55" s="13">
        <v>190121</v>
      </c>
      <c r="E55" s="13"/>
      <c r="F55" s="13">
        <v>0</v>
      </c>
      <c r="G55" s="13"/>
      <c r="H55" s="113" t="s">
        <v>473</v>
      </c>
    </row>
    <row r="56" spans="1:11" s="113" customFormat="1" x14ac:dyDescent="0.25">
      <c r="A56" s="109">
        <v>14</v>
      </c>
      <c r="B56" s="120" t="s">
        <v>482</v>
      </c>
      <c r="C56" s="55" t="s">
        <v>472</v>
      </c>
      <c r="D56" s="13">
        <v>190125</v>
      </c>
      <c r="E56" s="13"/>
      <c r="F56" s="13">
        <v>0</v>
      </c>
      <c r="G56" s="13"/>
      <c r="H56" s="113" t="s">
        <v>473</v>
      </c>
    </row>
    <row r="57" spans="1:11" s="113" customFormat="1" x14ac:dyDescent="0.25">
      <c r="A57" s="109"/>
      <c r="B57" s="120" t="s">
        <v>483</v>
      </c>
      <c r="C57" s="55" t="s">
        <v>472</v>
      </c>
      <c r="D57" s="13">
        <v>173000</v>
      </c>
      <c r="E57" s="13"/>
      <c r="F57" s="13">
        <v>0</v>
      </c>
      <c r="G57" s="13"/>
    </row>
    <row r="58" spans="1:11" s="113" customFormat="1" x14ac:dyDescent="0.25">
      <c r="A58" s="109">
        <v>15</v>
      </c>
      <c r="B58" s="120" t="s">
        <v>484</v>
      </c>
      <c r="C58" s="55" t="s">
        <v>472</v>
      </c>
      <c r="D58" s="13">
        <f>940894-94089</f>
        <v>846805</v>
      </c>
      <c r="E58" s="13"/>
      <c r="F58" s="13">
        <v>0</v>
      </c>
      <c r="G58" s="13"/>
    </row>
    <row r="59" spans="1:11" s="91" customFormat="1" x14ac:dyDescent="0.25">
      <c r="A59" s="79" t="s">
        <v>485</v>
      </c>
      <c r="B59" s="122" t="s">
        <v>450</v>
      </c>
      <c r="C59" s="123" t="s">
        <v>472</v>
      </c>
      <c r="D59" s="124">
        <f>SUM(D46:D58)</f>
        <v>2920714</v>
      </c>
      <c r="E59" s="124">
        <f>SUM(E46:E58)</f>
        <v>144623</v>
      </c>
      <c r="F59" s="124">
        <f>SUM(F46:F58)</f>
        <v>605703</v>
      </c>
      <c r="G59" s="124">
        <f>SUM(G46:G58)</f>
        <v>0</v>
      </c>
      <c r="K59" s="120"/>
    </row>
    <row r="60" spans="1:11" s="91" customFormat="1" x14ac:dyDescent="0.25">
      <c r="A60" s="79"/>
      <c r="B60" s="87" t="s">
        <v>486</v>
      </c>
      <c r="C60" s="88" t="s">
        <v>487</v>
      </c>
      <c r="D60" s="89">
        <f>+D59+D45</f>
        <v>3094159</v>
      </c>
      <c r="E60" s="89">
        <f>+E59+E45</f>
        <v>144623</v>
      </c>
      <c r="F60" s="89">
        <f>+F59+F45</f>
        <v>637611</v>
      </c>
      <c r="G60" s="89">
        <f>+G59+G45</f>
        <v>0</v>
      </c>
    </row>
    <row r="61" spans="1:11" s="91" customFormat="1" x14ac:dyDescent="0.25">
      <c r="A61" s="79"/>
      <c r="B61" s="129" t="s">
        <v>488</v>
      </c>
      <c r="C61" s="130" t="s">
        <v>207</v>
      </c>
      <c r="D61" s="131">
        <f>+D60+D37+D34+D31</f>
        <v>3094159</v>
      </c>
      <c r="E61" s="131">
        <f>+E60+E37+E34+E31</f>
        <v>144623</v>
      </c>
      <c r="F61" s="131">
        <f>+F60+F37+F34+F31</f>
        <v>637611</v>
      </c>
      <c r="G61" s="131">
        <f>+G60+G37+G34+G31</f>
        <v>0</v>
      </c>
      <c r="H61" s="137"/>
    </row>
    <row r="62" spans="1:11" x14ac:dyDescent="0.25">
      <c r="B62" s="132"/>
      <c r="C62" s="138"/>
      <c r="D62" s="134"/>
      <c r="E62" s="134"/>
      <c r="F62" s="134"/>
      <c r="G62" s="134"/>
    </row>
    <row r="63" spans="1:11" hidden="1" x14ac:dyDescent="0.25">
      <c r="B63" s="57"/>
      <c r="C63" s="44"/>
      <c r="D63" s="13"/>
      <c r="E63" s="13"/>
      <c r="F63" s="13"/>
      <c r="G63" s="13"/>
    </row>
    <row r="64" spans="1:11" s="91" customFormat="1" ht="19.5" hidden="1" customHeight="1" x14ac:dyDescent="0.25">
      <c r="A64" s="79"/>
      <c r="B64" s="87" t="s">
        <v>489</v>
      </c>
      <c r="C64" s="88" t="s">
        <v>490</v>
      </c>
      <c r="D64" s="89">
        <f>SUM(D62:D63)</f>
        <v>0</v>
      </c>
      <c r="E64" s="89">
        <f>SUM(E62:E63)</f>
        <v>0</v>
      </c>
      <c r="F64" s="89">
        <f>SUM(F62:F63)</f>
        <v>0</v>
      </c>
      <c r="G64" s="89">
        <f>SUM(G62:G63)</f>
        <v>0</v>
      </c>
    </row>
    <row r="65" spans="1:7" hidden="1" x14ac:dyDescent="0.25">
      <c r="B65" s="57"/>
      <c r="C65" s="44"/>
      <c r="D65" s="13"/>
      <c r="E65" s="13"/>
      <c r="F65" s="13"/>
      <c r="G65" s="13"/>
    </row>
    <row r="66" spans="1:7" hidden="1" x14ac:dyDescent="0.25">
      <c r="B66" s="57"/>
      <c r="C66" s="44"/>
      <c r="D66" s="13"/>
      <c r="E66" s="13"/>
      <c r="F66" s="13"/>
      <c r="G66" s="13"/>
    </row>
    <row r="67" spans="1:7" s="91" customFormat="1" ht="31.5" hidden="1" x14ac:dyDescent="0.25">
      <c r="A67" s="79"/>
      <c r="B67" s="87" t="s">
        <v>491</v>
      </c>
      <c r="C67" s="88" t="s">
        <v>492</v>
      </c>
      <c r="D67" s="89">
        <f>SUM(D65:D66)</f>
        <v>0</v>
      </c>
      <c r="E67" s="89">
        <f>SUM(E65:E66)</f>
        <v>0</v>
      </c>
      <c r="F67" s="89">
        <f>SUM(F65:F66)</f>
        <v>0</v>
      </c>
      <c r="G67" s="89">
        <f>SUM(G65:G66)</f>
        <v>0</v>
      </c>
    </row>
    <row r="68" spans="1:7" hidden="1" x14ac:dyDescent="0.25">
      <c r="B68" s="57"/>
      <c r="C68" s="44"/>
      <c r="D68" s="13"/>
      <c r="E68" s="13"/>
      <c r="F68" s="13"/>
      <c r="G68" s="13"/>
    </row>
    <row r="69" spans="1:7" hidden="1" x14ac:dyDescent="0.25">
      <c r="B69" s="57"/>
      <c r="C69" s="44"/>
      <c r="D69" s="13"/>
      <c r="E69" s="13"/>
      <c r="F69" s="13"/>
      <c r="G69" s="13"/>
    </row>
    <row r="70" spans="1:7" s="91" customFormat="1" ht="31.5" hidden="1" x14ac:dyDescent="0.25">
      <c r="A70" s="79"/>
      <c r="B70" s="87" t="s">
        <v>493</v>
      </c>
      <c r="C70" s="88" t="s">
        <v>263</v>
      </c>
      <c r="D70" s="89">
        <f>SUM(D68:D69)</f>
        <v>0</v>
      </c>
      <c r="E70" s="89">
        <f>SUM(E68:E69)</f>
        <v>0</v>
      </c>
      <c r="F70" s="89">
        <f>SUM(F68:F69)</f>
        <v>0</v>
      </c>
      <c r="G70" s="89">
        <f>SUM(G68:G69)</f>
        <v>0</v>
      </c>
    </row>
    <row r="71" spans="1:7" hidden="1" x14ac:dyDescent="0.25">
      <c r="B71" s="57"/>
      <c r="C71" s="44"/>
      <c r="D71" s="13"/>
      <c r="E71" s="13"/>
      <c r="F71" s="13"/>
      <c r="G71" s="13"/>
    </row>
    <row r="72" spans="1:7" hidden="1" x14ac:dyDescent="0.25">
      <c r="B72" s="57"/>
      <c r="C72" s="44"/>
      <c r="D72" s="13"/>
      <c r="E72" s="13"/>
      <c r="F72" s="13"/>
      <c r="G72" s="13"/>
    </row>
    <row r="73" spans="1:7" s="91" customFormat="1" ht="31.5" hidden="1" x14ac:dyDescent="0.25">
      <c r="A73" s="79"/>
      <c r="B73" s="87" t="s">
        <v>494</v>
      </c>
      <c r="C73" s="88" t="s">
        <v>265</v>
      </c>
      <c r="D73" s="89">
        <f>SUM(D71:D72)</f>
        <v>0</v>
      </c>
      <c r="E73" s="89">
        <f>SUM(E71:E72)</f>
        <v>0</v>
      </c>
      <c r="F73" s="89">
        <f>SUM(F71:F72)</f>
        <v>0</v>
      </c>
      <c r="G73" s="89">
        <f>SUM(G71:G72)</f>
        <v>0</v>
      </c>
    </row>
    <row r="74" spans="1:7" x14ac:dyDescent="0.25">
      <c r="A74" s="79" t="s">
        <v>495</v>
      </c>
      <c r="B74" s="139"/>
      <c r="C74" s="140" t="s">
        <v>295</v>
      </c>
      <c r="D74" s="141"/>
      <c r="E74" s="142"/>
      <c r="F74" s="141"/>
      <c r="G74" s="142"/>
    </row>
    <row r="75" spans="1:7" s="91" customFormat="1" x14ac:dyDescent="0.25">
      <c r="A75" s="79"/>
      <c r="B75" s="143" t="s">
        <v>496</v>
      </c>
      <c r="C75" s="143" t="s">
        <v>295</v>
      </c>
      <c r="D75" s="144">
        <f>SUM(D74:D74)</f>
        <v>0</v>
      </c>
      <c r="E75" s="144">
        <f>SUM(E74:E74)</f>
        <v>0</v>
      </c>
      <c r="F75" s="144">
        <f>SUM(F74:F74)</f>
        <v>0</v>
      </c>
      <c r="G75" s="144">
        <f>SUM(G74:G74)</f>
        <v>0</v>
      </c>
    </row>
    <row r="76" spans="1:7" x14ac:dyDescent="0.25">
      <c r="B76" s="15"/>
      <c r="C76" s="37"/>
      <c r="D76" s="40"/>
      <c r="E76" s="40"/>
      <c r="F76" s="40"/>
      <c r="G76" s="40"/>
    </row>
    <row r="77" spans="1:7" x14ac:dyDescent="0.25">
      <c r="B77" s="15"/>
      <c r="C77" s="145" t="s">
        <v>247</v>
      </c>
      <c r="D77" s="40"/>
      <c r="E77" s="40"/>
      <c r="F77" s="40"/>
      <c r="G77" s="40"/>
    </row>
    <row r="78" spans="1:7" s="104" customFormat="1" x14ac:dyDescent="0.25">
      <c r="A78" s="79" t="s">
        <v>332</v>
      </c>
      <c r="B78" s="146" t="s">
        <v>497</v>
      </c>
      <c r="C78" s="88" t="s">
        <v>247</v>
      </c>
      <c r="D78" s="89">
        <f>SUM(D76:D77)</f>
        <v>0</v>
      </c>
      <c r="E78" s="89">
        <f>SUM(E76:E77)</f>
        <v>0</v>
      </c>
      <c r="F78" s="89">
        <f>SUM(F76:F77)</f>
        <v>0</v>
      </c>
      <c r="G78" s="89">
        <f>SUM(G76:G77)</f>
        <v>0</v>
      </c>
    </row>
    <row r="79" spans="1:7" x14ac:dyDescent="0.25">
      <c r="A79" s="79" t="s">
        <v>498</v>
      </c>
      <c r="B79" s="128"/>
      <c r="C79" s="55"/>
      <c r="D79" s="13"/>
      <c r="E79" s="13"/>
      <c r="F79" s="13"/>
      <c r="G79" s="13"/>
    </row>
    <row r="80" spans="1:7" x14ac:dyDescent="0.25">
      <c r="A80" s="79" t="s">
        <v>499</v>
      </c>
      <c r="B80" s="128" t="s">
        <v>500</v>
      </c>
      <c r="C80" s="111" t="s">
        <v>249</v>
      </c>
      <c r="D80" s="13"/>
      <c r="E80" s="13">
        <v>5000</v>
      </c>
      <c r="F80" s="13"/>
      <c r="G80" s="13">
        <v>160</v>
      </c>
    </row>
    <row r="81" spans="1:7" x14ac:dyDescent="0.25">
      <c r="A81" s="79" t="s">
        <v>501</v>
      </c>
      <c r="B81" s="128" t="s">
        <v>502</v>
      </c>
      <c r="C81" s="111" t="s">
        <v>249</v>
      </c>
      <c r="D81" s="13"/>
      <c r="E81" s="13">
        <v>0</v>
      </c>
      <c r="F81" s="13"/>
      <c r="G81" s="13">
        <v>0</v>
      </c>
    </row>
    <row r="82" spans="1:7" x14ac:dyDescent="0.25">
      <c r="A82" s="79" t="s">
        <v>503</v>
      </c>
      <c r="B82" s="128" t="s">
        <v>504</v>
      </c>
      <c r="C82" s="111" t="s">
        <v>249</v>
      </c>
      <c r="D82" s="147"/>
      <c r="E82" s="147">
        <v>20000</v>
      </c>
      <c r="F82" s="147"/>
      <c r="G82" s="147">
        <v>2800</v>
      </c>
    </row>
    <row r="83" spans="1:7" x14ac:dyDescent="0.25">
      <c r="A83" s="79" t="s">
        <v>505</v>
      </c>
      <c r="B83" s="128" t="s">
        <v>506</v>
      </c>
      <c r="C83" s="111" t="s">
        <v>249</v>
      </c>
      <c r="D83" s="147"/>
      <c r="E83" s="147">
        <v>5000</v>
      </c>
      <c r="F83" s="147"/>
      <c r="G83" s="147">
        <v>300</v>
      </c>
    </row>
    <row r="84" spans="1:7" s="104" customFormat="1" x14ac:dyDescent="0.25">
      <c r="A84" s="148"/>
      <c r="B84" s="146" t="s">
        <v>507</v>
      </c>
      <c r="C84" s="88" t="s">
        <v>249</v>
      </c>
      <c r="D84" s="89">
        <f>SUM(D79:D83)</f>
        <v>0</v>
      </c>
      <c r="E84" s="89">
        <f>SUM(E79:E83)</f>
        <v>30000</v>
      </c>
      <c r="F84" s="89">
        <f>SUM(F79:F83)</f>
        <v>0</v>
      </c>
      <c r="G84" s="89">
        <f>SUM(G79:G83)</f>
        <v>3260</v>
      </c>
    </row>
    <row r="85" spans="1:7" x14ac:dyDescent="0.25">
      <c r="B85" s="57"/>
      <c r="C85" s="55"/>
      <c r="D85" s="13"/>
      <c r="E85" s="13"/>
      <c r="F85" s="13"/>
      <c r="G85" s="13"/>
    </row>
    <row r="86" spans="1:7" x14ac:dyDescent="0.25">
      <c r="A86" s="79" t="s">
        <v>508</v>
      </c>
      <c r="B86" s="119"/>
      <c r="C86" s="111" t="s">
        <v>251</v>
      </c>
      <c r="D86" s="13"/>
      <c r="E86" s="13"/>
      <c r="F86" s="13"/>
      <c r="G86" s="13"/>
    </row>
    <row r="87" spans="1:7" s="104" customFormat="1" x14ac:dyDescent="0.25">
      <c r="A87" s="148"/>
      <c r="B87" s="146" t="s">
        <v>509</v>
      </c>
      <c r="C87" s="88" t="s">
        <v>251</v>
      </c>
      <c r="D87" s="89">
        <f>SUM(D85:D86)</f>
        <v>0</v>
      </c>
      <c r="E87" s="89">
        <f>SUM(E85:E86)</f>
        <v>0</v>
      </c>
      <c r="F87" s="89">
        <f>SUM(F85:F86)</f>
        <v>0</v>
      </c>
      <c r="G87" s="89">
        <f>SUM(G85:G86)</f>
        <v>0</v>
      </c>
    </row>
    <row r="88" spans="1:7" hidden="1" x14ac:dyDescent="0.25">
      <c r="B88" s="57"/>
      <c r="C88" s="55"/>
      <c r="D88" s="13"/>
      <c r="E88" s="13"/>
      <c r="F88" s="13"/>
      <c r="G88" s="13"/>
    </row>
    <row r="89" spans="1:7" hidden="1" x14ac:dyDescent="0.25">
      <c r="B89" s="57"/>
      <c r="C89" s="55"/>
      <c r="D89" s="13"/>
      <c r="E89" s="13"/>
      <c r="F89" s="13"/>
      <c r="G89" s="13"/>
    </row>
    <row r="90" spans="1:7" s="104" customFormat="1" hidden="1" x14ac:dyDescent="0.25">
      <c r="A90" s="148"/>
      <c r="B90" s="146" t="s">
        <v>510</v>
      </c>
      <c r="C90" s="88" t="s">
        <v>253</v>
      </c>
      <c r="D90" s="89">
        <f>SUM(D88:D89)</f>
        <v>0</v>
      </c>
      <c r="E90" s="89">
        <f>SUM(E88:E89)</f>
        <v>0</v>
      </c>
      <c r="F90" s="89">
        <f>SUM(F88:F89)</f>
        <v>0</v>
      </c>
      <c r="G90" s="89">
        <f>SUM(G88:G89)</f>
        <v>0</v>
      </c>
    </row>
    <row r="91" spans="1:7" hidden="1" x14ac:dyDescent="0.25">
      <c r="B91" s="57"/>
      <c r="C91" s="55"/>
      <c r="D91" s="13"/>
      <c r="E91" s="13"/>
      <c r="F91" s="13"/>
      <c r="G91" s="13"/>
    </row>
    <row r="92" spans="1:7" hidden="1" x14ac:dyDescent="0.25">
      <c r="B92" s="57"/>
      <c r="C92" s="55"/>
      <c r="D92" s="13"/>
      <c r="E92" s="13"/>
      <c r="F92" s="13"/>
      <c r="G92" s="13"/>
    </row>
    <row r="93" spans="1:7" s="104" customFormat="1" hidden="1" x14ac:dyDescent="0.25">
      <c r="A93" s="148"/>
      <c r="B93" s="146" t="s">
        <v>511</v>
      </c>
      <c r="C93" s="88" t="s">
        <v>255</v>
      </c>
      <c r="D93" s="89">
        <f>SUM(D91:D92)</f>
        <v>0</v>
      </c>
      <c r="E93" s="89">
        <f>SUM(E91:E92)</f>
        <v>0</v>
      </c>
      <c r="F93" s="89">
        <f>SUM(F91:F92)</f>
        <v>0</v>
      </c>
      <c r="G93" s="89">
        <f>SUM(G91:G92)</f>
        <v>0</v>
      </c>
    </row>
    <row r="94" spans="1:7" s="91" customFormat="1" x14ac:dyDescent="0.25">
      <c r="A94" s="79"/>
      <c r="B94" s="87" t="s">
        <v>512</v>
      </c>
      <c r="C94" s="88" t="s">
        <v>257</v>
      </c>
      <c r="D94" s="89">
        <f>+D93+D90+D87+D84+D78</f>
        <v>0</v>
      </c>
      <c r="E94" s="89">
        <f>+E93+E90+E87+E84+E78</f>
        <v>30000</v>
      </c>
      <c r="F94" s="89">
        <f>+F93+F90+F87+F84+F78</f>
        <v>0</v>
      </c>
      <c r="G94" s="89">
        <f>+G93+G90+G87+G84+G78</f>
        <v>3260</v>
      </c>
    </row>
    <row r="97" spans="4:4" x14ac:dyDescent="0.25">
      <c r="D97" s="3">
        <f>+D61+E61+D28+E28-D25-D26-D40</f>
        <v>4047214</v>
      </c>
    </row>
    <row r="98" spans="4:4" x14ac:dyDescent="0.25">
      <c r="D98" s="3">
        <v>3639890</v>
      </c>
    </row>
    <row r="99" spans="4:4" x14ac:dyDescent="0.25">
      <c r="D99" s="3">
        <f>+D98-D97</f>
        <v>-407324</v>
      </c>
    </row>
    <row r="100" spans="4:4" x14ac:dyDescent="0.25">
      <c r="D100" s="3">
        <v>24678</v>
      </c>
    </row>
    <row r="101" spans="4:4" x14ac:dyDescent="0.25">
      <c r="D101" s="3">
        <f>+D100-D99</f>
        <v>432002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9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79" customWidth="1"/>
    <col min="2" max="2" width="75.42578125" style="2" customWidth="1"/>
    <col min="3" max="3" width="8.28515625" style="2" customWidth="1"/>
    <col min="4" max="5" width="12.5703125" style="3" customWidth="1"/>
    <col min="6" max="7" width="11.5703125" style="3" customWidth="1"/>
    <col min="8" max="8" width="13" style="3" customWidth="1"/>
    <col min="9" max="9" width="10.85546875" style="3" customWidth="1"/>
    <col min="10" max="10" width="10.85546875" style="2" customWidth="1"/>
    <col min="11" max="253" width="9.140625" style="2" customWidth="1"/>
  </cols>
  <sheetData>
    <row r="1" spans="1:10" x14ac:dyDescent="0.25">
      <c r="E1" s="4"/>
      <c r="G1" s="5" t="s">
        <v>815</v>
      </c>
    </row>
    <row r="2" spans="1:10" x14ac:dyDescent="0.25">
      <c r="E2" s="5"/>
      <c r="G2" s="5" t="s">
        <v>827</v>
      </c>
    </row>
    <row r="3" spans="1:10" x14ac:dyDescent="0.25">
      <c r="E3" s="5"/>
      <c r="G3" s="5"/>
    </row>
    <row r="4" spans="1:10" ht="21.75" customHeight="1" x14ac:dyDescent="0.3">
      <c r="B4" s="24" t="s">
        <v>8</v>
      </c>
      <c r="C4" s="26"/>
      <c r="D4" s="26"/>
      <c r="E4" s="26"/>
      <c r="F4" s="29"/>
      <c r="G4" s="29"/>
    </row>
    <row r="5" spans="1:10" ht="18.75" x14ac:dyDescent="0.3">
      <c r="B5" s="24"/>
      <c r="C5" s="26"/>
      <c r="D5" s="26"/>
      <c r="E5" s="26"/>
      <c r="F5" s="29"/>
      <c r="G5" s="29"/>
    </row>
    <row r="6" spans="1:10" x14ac:dyDescent="0.25">
      <c r="B6" s="118" t="s">
        <v>513</v>
      </c>
      <c r="C6" s="149"/>
      <c r="D6" s="149"/>
      <c r="E6" s="149"/>
      <c r="F6" s="150"/>
      <c r="G6" s="150"/>
    </row>
    <row r="7" spans="1:10" ht="15.75" customHeight="1" x14ac:dyDescent="0.25">
      <c r="B7" s="69"/>
      <c r="C7" s="69"/>
      <c r="D7" s="320" t="s">
        <v>10</v>
      </c>
      <c r="E7" s="320"/>
      <c r="F7" s="321" t="s">
        <v>11</v>
      </c>
      <c r="G7" s="321"/>
    </row>
    <row r="8" spans="1:10" ht="47.25" x14ac:dyDescent="0.25">
      <c r="A8" s="79" t="s">
        <v>332</v>
      </c>
      <c r="B8" s="8" t="s">
        <v>12</v>
      </c>
      <c r="C8" s="37" t="s">
        <v>39</v>
      </c>
      <c r="D8" s="40" t="s">
        <v>436</v>
      </c>
      <c r="E8" s="40" t="s">
        <v>437</v>
      </c>
      <c r="F8" s="40" t="s">
        <v>436</v>
      </c>
      <c r="G8" s="40" t="s">
        <v>437</v>
      </c>
    </row>
    <row r="9" spans="1:10" x14ac:dyDescent="0.25">
      <c r="A9" s="79" t="s">
        <v>439</v>
      </c>
      <c r="B9" s="119" t="s">
        <v>514</v>
      </c>
      <c r="C9" s="12" t="s">
        <v>94</v>
      </c>
      <c r="D9" s="13"/>
      <c r="E9" s="13">
        <f>ROUND((52*3+80*3)/1.27,0)</f>
        <v>312</v>
      </c>
      <c r="F9" s="13"/>
      <c r="G9" s="13">
        <f>ROUND((52*3+80*3)/1.27,0)</f>
        <v>312</v>
      </c>
      <c r="H9" s="3" t="s">
        <v>443</v>
      </c>
      <c r="I9" s="3" t="s">
        <v>515</v>
      </c>
      <c r="J9" s="2">
        <f>+E9+E16+E24+E32+E39+E41</f>
        <v>4900</v>
      </c>
    </row>
    <row r="10" spans="1:10" x14ac:dyDescent="0.25">
      <c r="A10" s="79" t="s">
        <v>516</v>
      </c>
      <c r="B10" s="119" t="s">
        <v>517</v>
      </c>
      <c r="C10" s="12" t="s">
        <v>94</v>
      </c>
      <c r="D10" s="13">
        <f>ROUND((53*5+80*5)/1.27,0)</f>
        <v>524</v>
      </c>
      <c r="E10" s="13"/>
      <c r="F10" s="13">
        <f>ROUND((53*5+80*5)/1.27,0)</f>
        <v>524</v>
      </c>
      <c r="G10" s="13"/>
      <c r="J10" s="2">
        <v>4900</v>
      </c>
    </row>
    <row r="11" spans="1:10" s="104" customFormat="1" x14ac:dyDescent="0.25">
      <c r="A11" s="79" t="s">
        <v>332</v>
      </c>
      <c r="B11" s="146" t="s">
        <v>518</v>
      </c>
      <c r="C11" s="88" t="s">
        <v>94</v>
      </c>
      <c r="D11" s="89">
        <f>SUM(D9:D10)</f>
        <v>524</v>
      </c>
      <c r="E11" s="89">
        <f>SUM(E9:E10)</f>
        <v>312</v>
      </c>
      <c r="F11" s="89">
        <f>SUM(F9:F10)</f>
        <v>524</v>
      </c>
      <c r="G11" s="89">
        <f>SUM(G9:G10)</f>
        <v>312</v>
      </c>
      <c r="H11" s="103"/>
      <c r="I11" s="151" t="s">
        <v>519</v>
      </c>
      <c r="J11" s="151">
        <f>+D10+D17+D33+D34</f>
        <v>2160</v>
      </c>
    </row>
    <row r="12" spans="1:10" x14ac:dyDescent="0.25">
      <c r="A12" s="79" t="s">
        <v>498</v>
      </c>
      <c r="B12" s="57"/>
      <c r="C12" s="55"/>
      <c r="D12" s="13"/>
      <c r="E12" s="13"/>
      <c r="F12" s="13"/>
      <c r="G12" s="13"/>
      <c r="J12" s="2">
        <v>2160</v>
      </c>
    </row>
    <row r="13" spans="1:10" x14ac:dyDescent="0.25">
      <c r="A13" s="79" t="s">
        <v>520</v>
      </c>
      <c r="B13" s="152" t="s">
        <v>816</v>
      </c>
      <c r="C13" s="55" t="s">
        <v>96</v>
      </c>
      <c r="D13" s="94">
        <v>0</v>
      </c>
      <c r="E13" s="13"/>
      <c r="F13" s="94">
        <v>0</v>
      </c>
      <c r="G13" s="13">
        <v>36250</v>
      </c>
      <c r="J13" s="2">
        <f>+J12-J11</f>
        <v>0</v>
      </c>
    </row>
    <row r="14" spans="1:10" s="104" customFormat="1" x14ac:dyDescent="0.25">
      <c r="A14" s="148"/>
      <c r="B14" s="146" t="s">
        <v>521</v>
      </c>
      <c r="C14" s="88" t="s">
        <v>96</v>
      </c>
      <c r="D14" s="89">
        <f>SUM(D12:D13)</f>
        <v>0</v>
      </c>
      <c r="E14" s="89">
        <f>SUM(E12:E13)</f>
        <v>0</v>
      </c>
      <c r="F14" s="89">
        <f>SUM(F12:F13)</f>
        <v>0</v>
      </c>
      <c r="G14" s="89">
        <f>SUM(G12:G13)</f>
        <v>36250</v>
      </c>
      <c r="H14" s="103"/>
      <c r="I14" s="103"/>
    </row>
    <row r="15" spans="1:10" x14ac:dyDescent="0.25">
      <c r="B15" s="57"/>
      <c r="C15" s="55"/>
      <c r="D15" s="13"/>
      <c r="E15" s="13"/>
      <c r="F15" s="13"/>
      <c r="G15" s="13"/>
    </row>
    <row r="16" spans="1:10" x14ac:dyDescent="0.25">
      <c r="B16" s="119" t="s">
        <v>522</v>
      </c>
      <c r="C16" s="55" t="s">
        <v>98</v>
      </c>
      <c r="D16" s="13"/>
      <c r="E16" s="13">
        <f>ROUND((396*2+355+49*2)/1.27,0)</f>
        <v>980</v>
      </c>
      <c r="F16" s="13"/>
      <c r="G16" s="13">
        <f>ROUND((396*2+355+49*2)/1.27,0)</f>
        <v>980</v>
      </c>
      <c r="H16" s="3" t="s">
        <v>443</v>
      </c>
    </row>
    <row r="17" spans="1:9" x14ac:dyDescent="0.25">
      <c r="B17" s="119" t="s">
        <v>523</v>
      </c>
      <c r="C17" s="55" t="s">
        <v>98</v>
      </c>
      <c r="D17" s="13">
        <f>ROUND((148*5+53*5+20*25)/1.27,0)</f>
        <v>1185</v>
      </c>
      <c r="E17" s="13"/>
      <c r="F17" s="13">
        <f>ROUND((148*5+53*5+20*25)/1.27,0)</f>
        <v>1185</v>
      </c>
      <c r="G17" s="13"/>
    </row>
    <row r="18" spans="1:9" x14ac:dyDescent="0.25">
      <c r="B18" s="119" t="s">
        <v>524</v>
      </c>
      <c r="C18" s="55" t="s">
        <v>98</v>
      </c>
      <c r="D18" s="13">
        <f>ROUND((839)/1.27,0)</f>
        <v>661</v>
      </c>
      <c r="E18" s="13"/>
      <c r="F18" s="13">
        <f>ROUND((839)/1.27,0)</f>
        <v>661</v>
      </c>
      <c r="G18" s="13"/>
      <c r="H18" s="3" t="s">
        <v>443</v>
      </c>
    </row>
    <row r="19" spans="1:9" s="104" customFormat="1" x14ac:dyDescent="0.25">
      <c r="A19" s="79" t="s">
        <v>332</v>
      </c>
      <c r="B19" s="87" t="s">
        <v>525</v>
      </c>
      <c r="C19" s="88" t="s">
        <v>98</v>
      </c>
      <c r="D19" s="89">
        <f>SUM(D15:D18)</f>
        <v>1846</v>
      </c>
      <c r="E19" s="89">
        <f>SUM(E15:E18)</f>
        <v>980</v>
      </c>
      <c r="F19" s="89">
        <f>SUM(F15:F18)</f>
        <v>1846</v>
      </c>
      <c r="G19" s="89">
        <f>SUM(G15:G18)</f>
        <v>980</v>
      </c>
      <c r="H19" s="103"/>
      <c r="I19" s="103"/>
    </row>
    <row r="20" spans="1:9" x14ac:dyDescent="0.25">
      <c r="A20" s="79" t="s">
        <v>439</v>
      </c>
      <c r="B20" s="44"/>
      <c r="C20" s="55"/>
      <c r="D20" s="13"/>
      <c r="E20" s="13"/>
      <c r="F20" s="13"/>
      <c r="G20" s="13"/>
    </row>
    <row r="21" spans="1:9" ht="16.5" customHeight="1" x14ac:dyDescent="0.25">
      <c r="A21" s="79" t="s">
        <v>526</v>
      </c>
      <c r="B21" s="120" t="s">
        <v>527</v>
      </c>
      <c r="C21" s="55" t="s">
        <v>100</v>
      </c>
      <c r="D21" s="13"/>
      <c r="E21" s="13">
        <f>ROUND((136070)/1.27,0)</f>
        <v>107142</v>
      </c>
      <c r="F21" s="13"/>
      <c r="G21" s="13">
        <v>0</v>
      </c>
      <c r="H21" s="3" t="s">
        <v>473</v>
      </c>
    </row>
    <row r="22" spans="1:9" ht="16.5" customHeight="1" x14ac:dyDescent="0.25">
      <c r="B22" s="120" t="s">
        <v>528</v>
      </c>
      <c r="C22" s="55" t="s">
        <v>100</v>
      </c>
      <c r="D22" s="13">
        <f>4356+2754+1273+134+172</f>
        <v>8689</v>
      </c>
      <c r="E22" s="13"/>
      <c r="F22" s="13">
        <v>0</v>
      </c>
      <c r="G22" s="13"/>
      <c r="H22" s="3" t="s">
        <v>473</v>
      </c>
    </row>
    <row r="23" spans="1:9" ht="16.5" customHeight="1" x14ac:dyDescent="0.25">
      <c r="B23" s="119" t="s">
        <v>529</v>
      </c>
      <c r="C23" s="55" t="s">
        <v>100</v>
      </c>
      <c r="D23" s="13"/>
      <c r="E23" s="13">
        <f>ROUND((8250)/1.27,0)</f>
        <v>6496</v>
      </c>
      <c r="F23" s="13"/>
      <c r="G23" s="13">
        <f>ROUND((8250)/1.27,0)</f>
        <v>6496</v>
      </c>
    </row>
    <row r="24" spans="1:9" ht="16.5" customHeight="1" x14ac:dyDescent="0.25">
      <c r="B24" s="119" t="s">
        <v>530</v>
      </c>
      <c r="C24" s="55" t="s">
        <v>100</v>
      </c>
      <c r="D24" s="13"/>
      <c r="E24" s="13">
        <f>790+1776</f>
        <v>2566</v>
      </c>
      <c r="F24" s="13"/>
      <c r="G24" s="13">
        <f>790+1776</f>
        <v>2566</v>
      </c>
      <c r="H24" s="3" t="s">
        <v>443</v>
      </c>
    </row>
    <row r="25" spans="1:9" x14ac:dyDescent="0.25">
      <c r="B25" s="120" t="s">
        <v>531</v>
      </c>
      <c r="C25" s="55" t="s">
        <v>100</v>
      </c>
      <c r="D25" s="13">
        <v>682</v>
      </c>
      <c r="E25" s="13"/>
      <c r="F25" s="13">
        <v>0</v>
      </c>
      <c r="G25" s="13"/>
      <c r="H25" s="3" t="s">
        <v>443</v>
      </c>
    </row>
    <row r="26" spans="1:9" s="104" customFormat="1" x14ac:dyDescent="0.25">
      <c r="A26" s="148"/>
      <c r="B26" s="146" t="s">
        <v>532</v>
      </c>
      <c r="C26" s="88" t="s">
        <v>100</v>
      </c>
      <c r="D26" s="89">
        <f>SUM(D20:D25)</f>
        <v>9371</v>
      </c>
      <c r="E26" s="89">
        <f>SUM(E20:E25)</f>
        <v>116204</v>
      </c>
      <c r="F26" s="89">
        <f>SUM(F20:F25)</f>
        <v>0</v>
      </c>
      <c r="G26" s="89">
        <f>SUM(G20:G25)</f>
        <v>9062</v>
      </c>
      <c r="H26" s="103"/>
      <c r="I26" s="103"/>
    </row>
    <row r="27" spans="1:9" x14ac:dyDescent="0.25">
      <c r="B27" s="57"/>
      <c r="C27" s="55"/>
      <c r="D27" s="13"/>
      <c r="E27" s="13"/>
      <c r="F27" s="13"/>
      <c r="G27" s="13"/>
    </row>
    <row r="28" spans="1:9" s="104" customFormat="1" x14ac:dyDescent="0.25">
      <c r="A28" s="148"/>
      <c r="B28" s="146" t="s">
        <v>533</v>
      </c>
      <c r="C28" s="88" t="s">
        <v>102</v>
      </c>
      <c r="D28" s="89">
        <f>SUM(D27:D27)</f>
        <v>0</v>
      </c>
      <c r="E28" s="89">
        <f>SUM(E27:E27)</f>
        <v>0</v>
      </c>
      <c r="F28" s="89">
        <f>SUM(F27:F27)</f>
        <v>0</v>
      </c>
      <c r="G28" s="89">
        <f>SUM(G27:G27)</f>
        <v>0</v>
      </c>
      <c r="H28" s="103"/>
      <c r="I28" s="103"/>
    </row>
    <row r="29" spans="1:9" x14ac:dyDescent="0.25">
      <c r="B29" s="57"/>
      <c r="C29" s="55"/>
      <c r="D29" s="13"/>
      <c r="E29" s="13"/>
      <c r="F29" s="13"/>
      <c r="G29" s="13"/>
    </row>
    <row r="30" spans="1:9" s="104" customFormat="1" x14ac:dyDescent="0.25">
      <c r="A30" s="148"/>
      <c r="B30" s="87" t="s">
        <v>534</v>
      </c>
      <c r="C30" s="88" t="s">
        <v>104</v>
      </c>
      <c r="D30" s="89">
        <f>SUM(D29:D29)</f>
        <v>0</v>
      </c>
      <c r="E30" s="89">
        <f>SUM(E29:E29)</f>
        <v>0</v>
      </c>
      <c r="F30" s="89">
        <f>SUM(F29:F29)</f>
        <v>0</v>
      </c>
      <c r="G30" s="89">
        <f>SUM(G29:G29)</f>
        <v>0</v>
      </c>
      <c r="H30" s="103"/>
      <c r="I30" s="103"/>
    </row>
    <row r="31" spans="1:9" x14ac:dyDescent="0.25">
      <c r="B31" s="44"/>
      <c r="C31" s="55"/>
      <c r="D31" s="13"/>
      <c r="E31" s="13"/>
      <c r="F31" s="13"/>
      <c r="G31" s="13"/>
    </row>
    <row r="32" spans="1:9" ht="31.5" x14ac:dyDescent="0.25">
      <c r="B32" s="119" t="s">
        <v>535</v>
      </c>
      <c r="C32" s="55" t="s">
        <v>106</v>
      </c>
      <c r="D32" s="13"/>
      <c r="E32" s="13">
        <f>3*52+3*80-E9</f>
        <v>84</v>
      </c>
      <c r="F32" s="13"/>
      <c r="G32" s="13">
        <f>3*52+3*80-G9</f>
        <v>84</v>
      </c>
      <c r="H32" s="3" t="s">
        <v>443</v>
      </c>
    </row>
    <row r="33" spans="1:9" x14ac:dyDescent="0.25">
      <c r="B33" s="119" t="s">
        <v>536</v>
      </c>
      <c r="C33" s="55" t="s">
        <v>106</v>
      </c>
      <c r="D33" s="13">
        <f>(53*5+80*5)-D10</f>
        <v>141</v>
      </c>
      <c r="E33" s="13"/>
      <c r="F33" s="13">
        <f>(53*5+80*5)-F10</f>
        <v>141</v>
      </c>
      <c r="G33" s="13"/>
    </row>
    <row r="34" spans="1:9" x14ac:dyDescent="0.25">
      <c r="B34" s="119" t="s">
        <v>537</v>
      </c>
      <c r="C34" s="55" t="s">
        <v>106</v>
      </c>
      <c r="D34" s="13">
        <f>(146*5+53*5+20*25)-D17</f>
        <v>310</v>
      </c>
      <c r="E34" s="13"/>
      <c r="F34" s="13">
        <f>(146*5+53*5+20*25)-F17</f>
        <v>310</v>
      </c>
      <c r="G34" s="13"/>
    </row>
    <row r="35" spans="1:9" x14ac:dyDescent="0.25">
      <c r="A35" s="79">
        <v>11</v>
      </c>
      <c r="B35" s="119" t="s">
        <v>538</v>
      </c>
      <c r="C35" s="55" t="s">
        <v>106</v>
      </c>
      <c r="D35" s="13">
        <f>839-D18</f>
        <v>178</v>
      </c>
      <c r="E35" s="13"/>
      <c r="F35" s="13">
        <f>839-F18</f>
        <v>178</v>
      </c>
      <c r="G35" s="13"/>
      <c r="H35" s="3" t="s">
        <v>443</v>
      </c>
    </row>
    <row r="36" spans="1:9" ht="31.5" x14ac:dyDescent="0.25">
      <c r="A36" s="79">
        <v>10</v>
      </c>
      <c r="B36" s="120" t="s">
        <v>539</v>
      </c>
      <c r="C36" s="55" t="s">
        <v>106</v>
      </c>
      <c r="D36" s="13"/>
      <c r="E36" s="13">
        <f>136070-E21</f>
        <v>28928</v>
      </c>
      <c r="F36" s="13"/>
      <c r="G36" s="13">
        <v>0</v>
      </c>
      <c r="H36" s="3" t="s">
        <v>473</v>
      </c>
    </row>
    <row r="37" spans="1:9" x14ac:dyDescent="0.25">
      <c r="B37" s="120" t="s">
        <v>540</v>
      </c>
      <c r="C37" s="55" t="s">
        <v>106</v>
      </c>
      <c r="D37" s="13">
        <v>2347</v>
      </c>
      <c r="E37" s="13"/>
      <c r="F37" s="13">
        <v>0</v>
      </c>
      <c r="G37" s="13"/>
      <c r="H37" s="3" t="s">
        <v>473</v>
      </c>
    </row>
    <row r="38" spans="1:9" x14ac:dyDescent="0.25">
      <c r="B38" s="120" t="s">
        <v>541</v>
      </c>
      <c r="C38" s="55" t="s">
        <v>106</v>
      </c>
      <c r="D38" s="13">
        <v>184</v>
      </c>
      <c r="E38" s="13"/>
      <c r="F38" s="13">
        <v>0</v>
      </c>
      <c r="G38" s="13"/>
      <c r="H38" s="3" t="s">
        <v>443</v>
      </c>
    </row>
    <row r="39" spans="1:9" x14ac:dyDescent="0.25">
      <c r="B39" s="119" t="s">
        <v>542</v>
      </c>
      <c r="C39" s="55" t="s">
        <v>106</v>
      </c>
      <c r="D39" s="13"/>
      <c r="E39" s="13">
        <f>+ROUND(E24*0.27,0)</f>
        <v>693</v>
      </c>
      <c r="F39" s="13"/>
      <c r="G39" s="13">
        <f>+ROUND(G24*0.27,0)</f>
        <v>693</v>
      </c>
      <c r="H39" s="3" t="s">
        <v>443</v>
      </c>
    </row>
    <row r="40" spans="1:9" x14ac:dyDescent="0.25">
      <c r="B40" s="119" t="s">
        <v>543</v>
      </c>
      <c r="C40" s="55" t="s">
        <v>106</v>
      </c>
      <c r="D40" s="13"/>
      <c r="E40" s="13">
        <f>8250-E23</f>
        <v>1754</v>
      </c>
      <c r="F40" s="13"/>
      <c r="G40" s="13">
        <f>8250-G23</f>
        <v>1754</v>
      </c>
    </row>
    <row r="41" spans="1:9" x14ac:dyDescent="0.25">
      <c r="B41" s="119" t="s">
        <v>544</v>
      </c>
      <c r="C41" s="55" t="s">
        <v>106</v>
      </c>
      <c r="D41" s="13"/>
      <c r="E41" s="13">
        <f>+(396*2+355+49*2)-E16</f>
        <v>265</v>
      </c>
      <c r="F41" s="13"/>
      <c r="G41" s="13">
        <f>+(396*2+355+49*2)-G16</f>
        <v>265</v>
      </c>
      <c r="H41" s="3" t="s">
        <v>443</v>
      </c>
    </row>
    <row r="42" spans="1:9" s="104" customFormat="1" x14ac:dyDescent="0.25">
      <c r="A42" s="148" t="s">
        <v>545</v>
      </c>
      <c r="B42" s="87" t="s">
        <v>546</v>
      </c>
      <c r="C42" s="88" t="s">
        <v>106</v>
      </c>
      <c r="D42" s="89">
        <f>SUM(D31:D41)</f>
        <v>3160</v>
      </c>
      <c r="E42" s="89">
        <f>SUM(E31:E41)</f>
        <v>31724</v>
      </c>
      <c r="F42" s="89">
        <f>SUM(F31:F41)</f>
        <v>629</v>
      </c>
      <c r="G42" s="89">
        <f>SUM(G31:G41)</f>
        <v>2796</v>
      </c>
      <c r="H42" s="103"/>
      <c r="I42" s="103"/>
    </row>
    <row r="43" spans="1:9" s="91" customFormat="1" x14ac:dyDescent="0.25">
      <c r="A43" s="79" t="s">
        <v>332</v>
      </c>
      <c r="B43" s="146" t="s">
        <v>547</v>
      </c>
      <c r="C43" s="88" t="s">
        <v>108</v>
      </c>
      <c r="D43" s="89">
        <f>+D42+D30+D28+D26+D19+D14+D11</f>
        <v>14901</v>
      </c>
      <c r="E43" s="89">
        <f>+E42+E30+E28+E26+E19+E14+E11</f>
        <v>149220</v>
      </c>
      <c r="F43" s="89">
        <f>+F42+F30+F28+F26+F19+F14+F11</f>
        <v>2999</v>
      </c>
      <c r="G43" s="89">
        <f>+G42+G30+G28+G26+G19+G14+G11</f>
        <v>49400</v>
      </c>
      <c r="H43" s="115"/>
      <c r="I43" s="115"/>
    </row>
    <row r="44" spans="1:9" s="79" customFormat="1" x14ac:dyDescent="0.25">
      <c r="A44" s="79" t="s">
        <v>498</v>
      </c>
      <c r="B44" s="119"/>
      <c r="C44" s="56"/>
      <c r="D44" s="136"/>
      <c r="E44" s="136"/>
      <c r="F44" s="136"/>
      <c r="G44" s="136"/>
      <c r="H44" s="153"/>
      <c r="I44" s="153"/>
    </row>
    <row r="45" spans="1:9" s="79" customFormat="1" x14ac:dyDescent="0.25">
      <c r="A45" s="79" t="s">
        <v>548</v>
      </c>
      <c r="B45" s="119" t="s">
        <v>480</v>
      </c>
      <c r="C45" s="55" t="s">
        <v>110</v>
      </c>
      <c r="D45" s="13">
        <f>ROUND((168218)/1.27,0)</f>
        <v>132455</v>
      </c>
      <c r="E45" s="136"/>
      <c r="F45" s="13">
        <f>58588+898</f>
        <v>59486</v>
      </c>
      <c r="G45" s="136"/>
      <c r="H45" s="153" t="s">
        <v>473</v>
      </c>
      <c r="I45" s="153"/>
    </row>
    <row r="46" spans="1:9" s="79" customFormat="1" x14ac:dyDescent="0.25">
      <c r="B46" s="119" t="s">
        <v>464</v>
      </c>
      <c r="C46" s="55" t="s">
        <v>110</v>
      </c>
      <c r="D46" s="13">
        <v>27791</v>
      </c>
      <c r="E46" s="136"/>
      <c r="F46" s="13">
        <f>27791+3705</f>
        <v>31496</v>
      </c>
      <c r="G46" s="136"/>
      <c r="H46" s="3" t="s">
        <v>443</v>
      </c>
      <c r="I46" s="153"/>
    </row>
    <row r="47" spans="1:9" s="79" customFormat="1" ht="31.5" x14ac:dyDescent="0.25">
      <c r="B47" s="119" t="s">
        <v>476</v>
      </c>
      <c r="C47" s="55" t="s">
        <v>110</v>
      </c>
      <c r="D47" s="136">
        <f>ROUND((81275)/1.27,0)</f>
        <v>63996</v>
      </c>
      <c r="E47" s="136"/>
      <c r="F47" s="136">
        <f>ROUND((81275)/1.27,0)</f>
        <v>63996</v>
      </c>
      <c r="G47" s="136"/>
      <c r="H47" s="153" t="s">
        <v>473</v>
      </c>
      <c r="I47" s="153"/>
    </row>
    <row r="48" spans="1:9" s="79" customFormat="1" x14ac:dyDescent="0.25">
      <c r="A48" s="79" t="s">
        <v>549</v>
      </c>
      <c r="B48" s="119" t="s">
        <v>471</v>
      </c>
      <c r="C48" s="55" t="s">
        <v>110</v>
      </c>
      <c r="D48" s="136">
        <f>ROUND((138323)/1.27,0)</f>
        <v>108916</v>
      </c>
      <c r="E48" s="136"/>
      <c r="F48" s="136">
        <f>ROUND((138323)/1.27,0)</f>
        <v>108916</v>
      </c>
      <c r="G48" s="136"/>
      <c r="H48" s="153" t="s">
        <v>443</v>
      </c>
      <c r="I48" s="153"/>
    </row>
    <row r="49" spans="1:9" ht="18" customHeight="1" x14ac:dyDescent="0.25">
      <c r="A49" s="79" t="s">
        <v>550</v>
      </c>
      <c r="B49" s="120" t="s">
        <v>474</v>
      </c>
      <c r="C49" s="55" t="s">
        <v>110</v>
      </c>
      <c r="D49" s="13">
        <f>ROUND((470662)/1.27,0)</f>
        <v>370600</v>
      </c>
      <c r="E49" s="13"/>
      <c r="F49" s="13">
        <v>0</v>
      </c>
      <c r="G49" s="13"/>
      <c r="H49" s="3" t="s">
        <v>473</v>
      </c>
    </row>
    <row r="50" spans="1:9" x14ac:dyDescent="0.25">
      <c r="A50" s="79" t="s">
        <v>551</v>
      </c>
      <c r="B50" s="120" t="s">
        <v>481</v>
      </c>
      <c r="C50" s="55" t="s">
        <v>110</v>
      </c>
      <c r="D50" s="13">
        <f>ROUND((183676)/1.27,0)</f>
        <v>144627</v>
      </c>
      <c r="E50" s="13"/>
      <c r="F50" s="13">
        <v>0</v>
      </c>
      <c r="G50" s="13"/>
      <c r="H50" s="3" t="s">
        <v>473</v>
      </c>
    </row>
    <row r="51" spans="1:9" x14ac:dyDescent="0.25">
      <c r="B51" s="120" t="s">
        <v>482</v>
      </c>
      <c r="C51" s="55" t="s">
        <v>110</v>
      </c>
      <c r="D51" s="13">
        <f>ROUND((183680)/1.27,0)</f>
        <v>144630</v>
      </c>
      <c r="E51" s="13"/>
      <c r="F51" s="13">
        <v>0</v>
      </c>
      <c r="G51" s="13"/>
      <c r="H51" s="3" t="s">
        <v>473</v>
      </c>
    </row>
    <row r="52" spans="1:9" x14ac:dyDescent="0.25">
      <c r="A52" s="79" t="s">
        <v>552</v>
      </c>
      <c r="B52" s="120" t="s">
        <v>478</v>
      </c>
      <c r="C52" s="55" t="s">
        <v>110</v>
      </c>
      <c r="D52" s="13">
        <f>ROUND((277869)/1.27,0)</f>
        <v>218794</v>
      </c>
      <c r="E52" s="13"/>
      <c r="F52" s="13">
        <v>0</v>
      </c>
      <c r="G52" s="13"/>
      <c r="H52" s="3" t="s">
        <v>473</v>
      </c>
    </row>
    <row r="53" spans="1:9" x14ac:dyDescent="0.25">
      <c r="B53" s="120" t="s">
        <v>479</v>
      </c>
      <c r="C53" s="55" t="s">
        <v>110</v>
      </c>
      <c r="D53" s="13">
        <f>ROUND((149995)/1.27,0)</f>
        <v>118106</v>
      </c>
      <c r="E53" s="13"/>
      <c r="F53" s="13">
        <v>0</v>
      </c>
      <c r="G53" s="13"/>
      <c r="H53" s="3" t="s">
        <v>473</v>
      </c>
    </row>
    <row r="54" spans="1:9" x14ac:dyDescent="0.25">
      <c r="A54" s="79" t="s">
        <v>553</v>
      </c>
      <c r="B54" s="120" t="s">
        <v>475</v>
      </c>
      <c r="C54" s="55" t="s">
        <v>110</v>
      </c>
      <c r="D54" s="136">
        <f>ROUND((204059)/1.27,0)</f>
        <v>160676</v>
      </c>
      <c r="E54" s="13"/>
      <c r="F54" s="136">
        <f>ROUND((204059)/1.27,0)</f>
        <v>160676</v>
      </c>
      <c r="G54" s="13"/>
      <c r="H54" s="3" t="s">
        <v>473</v>
      </c>
    </row>
    <row r="55" spans="1:9" x14ac:dyDescent="0.25">
      <c r="B55" s="120" t="s">
        <v>821</v>
      </c>
      <c r="C55" s="55" t="s">
        <v>110</v>
      </c>
      <c r="D55" s="136"/>
      <c r="E55" s="13"/>
      <c r="F55" s="136">
        <v>154</v>
      </c>
      <c r="G55" s="13"/>
    </row>
    <row r="56" spans="1:9" x14ac:dyDescent="0.25">
      <c r="B56" s="120" t="s">
        <v>823</v>
      </c>
      <c r="C56" s="55" t="s">
        <v>110</v>
      </c>
      <c r="D56" s="136"/>
      <c r="E56" s="13"/>
      <c r="F56" s="136">
        <v>787</v>
      </c>
      <c r="G56" s="13"/>
    </row>
    <row r="57" spans="1:9" x14ac:dyDescent="0.25">
      <c r="B57" s="120" t="s">
        <v>484</v>
      </c>
      <c r="C57" s="55" t="s">
        <v>110</v>
      </c>
      <c r="D57" s="136">
        <f>ROUND((935637)/1.27,0)</f>
        <v>736722</v>
      </c>
      <c r="E57" s="13"/>
      <c r="F57" s="136">
        <v>0</v>
      </c>
      <c r="G57" s="13"/>
    </row>
    <row r="58" spans="1:9" x14ac:dyDescent="0.25">
      <c r="B58" s="120" t="s">
        <v>483</v>
      </c>
      <c r="C58" s="55" t="s">
        <v>110</v>
      </c>
      <c r="D58" s="136">
        <f>ROUND((173000)/1.27,0)</f>
        <v>136220</v>
      </c>
      <c r="E58" s="13"/>
      <c r="F58" s="136">
        <v>0</v>
      </c>
      <c r="G58" s="13"/>
    </row>
    <row r="59" spans="1:9" ht="18" customHeight="1" x14ac:dyDescent="0.25">
      <c r="B59" s="119" t="s">
        <v>554</v>
      </c>
      <c r="C59" s="55" t="s">
        <v>110</v>
      </c>
      <c r="D59" s="13">
        <v>4200</v>
      </c>
      <c r="E59" s="13"/>
      <c r="F59" s="13">
        <v>0</v>
      </c>
      <c r="G59" s="13"/>
      <c r="H59" s="3" t="s">
        <v>473</v>
      </c>
    </row>
    <row r="60" spans="1:9" s="104" customFormat="1" x14ac:dyDescent="0.25">
      <c r="A60" s="148"/>
      <c r="B60" s="146" t="s">
        <v>555</v>
      </c>
      <c r="C60" s="88" t="s">
        <v>110</v>
      </c>
      <c r="D60" s="89">
        <f>SUM(D44:D59)</f>
        <v>2367733</v>
      </c>
      <c r="E60" s="89">
        <f>SUM(E44:E59)</f>
        <v>0</v>
      </c>
      <c r="F60" s="89">
        <f>SUM(F44:F59)</f>
        <v>425511</v>
      </c>
      <c r="G60" s="89">
        <f>SUM(G44:G59)</f>
        <v>0</v>
      </c>
      <c r="H60" s="103"/>
      <c r="I60" s="103"/>
    </row>
    <row r="61" spans="1:9" x14ac:dyDescent="0.25">
      <c r="B61" s="57"/>
      <c r="C61" s="55"/>
      <c r="D61" s="13"/>
      <c r="E61" s="13"/>
      <c r="F61" s="13"/>
      <c r="G61" s="13"/>
    </row>
    <row r="62" spans="1:9" s="104" customFormat="1" x14ac:dyDescent="0.25">
      <c r="A62" s="148"/>
      <c r="B62" s="146" t="s">
        <v>556</v>
      </c>
      <c r="C62" s="88" t="s">
        <v>112</v>
      </c>
      <c r="D62" s="89">
        <f>SUM(D61:D61)</f>
        <v>0</v>
      </c>
      <c r="E62" s="89">
        <f>SUM(E61:E61)</f>
        <v>0</v>
      </c>
      <c r="F62" s="89">
        <f>SUM(F61:F61)</f>
        <v>0</v>
      </c>
      <c r="G62" s="89">
        <f>SUM(G61:G61)</f>
        <v>0</v>
      </c>
      <c r="H62" s="103"/>
      <c r="I62" s="103"/>
    </row>
    <row r="63" spans="1:9" x14ac:dyDescent="0.25">
      <c r="B63" s="57"/>
      <c r="C63" s="55"/>
      <c r="D63" s="13"/>
      <c r="E63" s="13"/>
      <c r="F63" s="13"/>
      <c r="G63" s="13"/>
    </row>
    <row r="64" spans="1:9" x14ac:dyDescent="0.25">
      <c r="A64" s="79" t="s">
        <v>557</v>
      </c>
      <c r="B64" s="120" t="s">
        <v>817</v>
      </c>
      <c r="C64" s="55" t="s">
        <v>114</v>
      </c>
      <c r="D64" s="13"/>
      <c r="E64" s="94"/>
      <c r="F64" s="13">
        <v>500</v>
      </c>
      <c r="G64" s="94"/>
    </row>
    <row r="65" spans="1:9" s="104" customFormat="1" x14ac:dyDescent="0.25">
      <c r="A65" s="148"/>
      <c r="B65" s="146" t="s">
        <v>558</v>
      </c>
      <c r="C65" s="88" t="s">
        <v>114</v>
      </c>
      <c r="D65" s="89">
        <f>SUM(D63:D64)</f>
        <v>0</v>
      </c>
      <c r="E65" s="89">
        <f>SUM(E63:E64)</f>
        <v>0</v>
      </c>
      <c r="F65" s="89">
        <f>SUM(F63:F64)</f>
        <v>500</v>
      </c>
      <c r="G65" s="89">
        <f>SUM(G63:G64)</f>
        <v>0</v>
      </c>
      <c r="H65" s="103"/>
      <c r="I65" s="103"/>
    </row>
    <row r="66" spans="1:9" x14ac:dyDescent="0.25">
      <c r="B66" s="57"/>
      <c r="C66" s="55"/>
      <c r="D66" s="13"/>
      <c r="E66" s="13"/>
      <c r="F66" s="13"/>
      <c r="G66" s="13"/>
    </row>
    <row r="67" spans="1:9" x14ac:dyDescent="0.25">
      <c r="A67" s="79" t="s">
        <v>559</v>
      </c>
      <c r="B67" s="119" t="s">
        <v>560</v>
      </c>
      <c r="C67" s="55" t="s">
        <v>116</v>
      </c>
      <c r="D67" s="13">
        <f>168218-D45</f>
        <v>35763</v>
      </c>
      <c r="E67" s="13"/>
      <c r="F67" s="13">
        <v>15818</v>
      </c>
      <c r="G67" s="13"/>
      <c r="H67" s="3" t="s">
        <v>473</v>
      </c>
    </row>
    <row r="68" spans="1:9" ht="31.5" x14ac:dyDescent="0.25">
      <c r="B68" s="119" t="s">
        <v>561</v>
      </c>
      <c r="C68" s="55" t="s">
        <v>116</v>
      </c>
      <c r="D68" s="13">
        <v>7505</v>
      </c>
      <c r="E68" s="13"/>
      <c r="F68" s="13">
        <f>7505+1000</f>
        <v>8505</v>
      </c>
      <c r="G68" s="13"/>
      <c r="H68" s="3" t="s">
        <v>443</v>
      </c>
    </row>
    <row r="69" spans="1:9" ht="31.5" x14ac:dyDescent="0.25">
      <c r="B69" s="119" t="s">
        <v>562</v>
      </c>
      <c r="C69" s="55" t="s">
        <v>116</v>
      </c>
      <c r="D69" s="13">
        <f>81275-D47</f>
        <v>17279</v>
      </c>
      <c r="E69" s="13"/>
      <c r="F69" s="13">
        <f>81275-F47</f>
        <v>17279</v>
      </c>
      <c r="G69" s="13"/>
      <c r="H69" s="3" t="s">
        <v>473</v>
      </c>
    </row>
    <row r="70" spans="1:9" x14ac:dyDescent="0.25">
      <c r="A70" s="79" t="s">
        <v>563</v>
      </c>
      <c r="B70" s="119" t="s">
        <v>564</v>
      </c>
      <c r="C70" s="55" t="s">
        <v>116</v>
      </c>
      <c r="D70" s="13">
        <f>138323-D48</f>
        <v>29407</v>
      </c>
      <c r="E70" s="94"/>
      <c r="F70" s="13">
        <f>138323-F48</f>
        <v>29407</v>
      </c>
      <c r="G70" s="94"/>
      <c r="H70" s="3" t="s">
        <v>473</v>
      </c>
    </row>
    <row r="71" spans="1:9" x14ac:dyDescent="0.25">
      <c r="A71" s="79" t="s">
        <v>565</v>
      </c>
      <c r="B71" s="120" t="s">
        <v>566</v>
      </c>
      <c r="C71" s="55" t="s">
        <v>116</v>
      </c>
      <c r="D71" s="13">
        <f>204059-D54</f>
        <v>43383</v>
      </c>
      <c r="E71" s="94"/>
      <c r="F71" s="13">
        <f>204059-F54</f>
        <v>43383</v>
      </c>
      <c r="G71" s="94"/>
      <c r="H71" s="3" t="s">
        <v>473</v>
      </c>
    </row>
    <row r="72" spans="1:9" x14ac:dyDescent="0.25">
      <c r="A72" s="79" t="s">
        <v>567</v>
      </c>
      <c r="B72" s="120" t="s">
        <v>568</v>
      </c>
      <c r="C72" s="55" t="s">
        <v>116</v>
      </c>
      <c r="D72" s="13">
        <f>470662-D49</f>
        <v>100062</v>
      </c>
      <c r="E72" s="13"/>
      <c r="F72" s="13">
        <v>0</v>
      </c>
      <c r="G72" s="13"/>
      <c r="H72" s="3" t="s">
        <v>473</v>
      </c>
    </row>
    <row r="73" spans="1:9" x14ac:dyDescent="0.25">
      <c r="A73" s="79" t="s">
        <v>569</v>
      </c>
      <c r="B73" s="120" t="s">
        <v>570</v>
      </c>
      <c r="C73" s="55" t="s">
        <v>116</v>
      </c>
      <c r="D73" s="13">
        <f>183676-D50</f>
        <v>39049</v>
      </c>
      <c r="E73" s="94" t="s">
        <v>431</v>
      </c>
      <c r="F73" s="13">
        <v>0</v>
      </c>
      <c r="G73" s="94" t="s">
        <v>431</v>
      </c>
      <c r="H73" s="3" t="s">
        <v>473</v>
      </c>
    </row>
    <row r="74" spans="1:9" x14ac:dyDescent="0.25">
      <c r="B74" s="120" t="s">
        <v>571</v>
      </c>
      <c r="C74" s="55" t="s">
        <v>116</v>
      </c>
      <c r="D74" s="13">
        <f>183680-D51</f>
        <v>39050</v>
      </c>
      <c r="E74" s="94"/>
      <c r="F74" s="13">
        <v>0</v>
      </c>
      <c r="G74" s="94"/>
      <c r="H74" s="3" t="s">
        <v>473</v>
      </c>
    </row>
    <row r="75" spans="1:9" x14ac:dyDescent="0.25">
      <c r="A75" s="79" t="s">
        <v>572</v>
      </c>
      <c r="B75" s="120" t="s">
        <v>573</v>
      </c>
      <c r="C75" s="55" t="s">
        <v>116</v>
      </c>
      <c r="D75" s="13">
        <f>277869-D52</f>
        <v>59075</v>
      </c>
      <c r="E75" s="13"/>
      <c r="F75" s="13">
        <v>0</v>
      </c>
      <c r="G75" s="13"/>
      <c r="H75" s="3" t="s">
        <v>473</v>
      </c>
    </row>
    <row r="76" spans="1:9" x14ac:dyDescent="0.25">
      <c r="B76" s="120" t="s">
        <v>574</v>
      </c>
      <c r="C76" s="55" t="s">
        <v>116</v>
      </c>
      <c r="D76" s="13">
        <f>149995-D53</f>
        <v>31889</v>
      </c>
      <c r="E76" s="13"/>
      <c r="F76" s="13">
        <v>0</v>
      </c>
      <c r="G76" s="13"/>
      <c r="H76" s="3" t="s">
        <v>473</v>
      </c>
    </row>
    <row r="77" spans="1:9" x14ac:dyDescent="0.25">
      <c r="B77" s="120" t="s">
        <v>575</v>
      </c>
      <c r="C77" s="55" t="s">
        <v>116</v>
      </c>
      <c r="D77" s="13">
        <f>935637-D57</f>
        <v>198915</v>
      </c>
      <c r="E77" s="13"/>
      <c r="F77" s="13">
        <v>0</v>
      </c>
      <c r="G77" s="13"/>
    </row>
    <row r="78" spans="1:9" x14ac:dyDescent="0.25">
      <c r="B78" s="120" t="s">
        <v>820</v>
      </c>
      <c r="C78" s="55" t="s">
        <v>116</v>
      </c>
      <c r="D78" s="13"/>
      <c r="E78" s="13"/>
      <c r="F78" s="13">
        <v>41</v>
      </c>
      <c r="G78" s="13"/>
    </row>
    <row r="79" spans="1:9" x14ac:dyDescent="0.25">
      <c r="B79" s="120" t="s">
        <v>824</v>
      </c>
      <c r="C79" s="55" t="s">
        <v>116</v>
      </c>
      <c r="D79" s="13"/>
      <c r="E79" s="13"/>
      <c r="F79" s="13">
        <v>213</v>
      </c>
      <c r="G79" s="13"/>
    </row>
    <row r="80" spans="1:9" ht="31.5" x14ac:dyDescent="0.25">
      <c r="B80" s="120" t="s">
        <v>576</v>
      </c>
      <c r="C80" s="55" t="s">
        <v>116</v>
      </c>
      <c r="D80" s="13">
        <f>173000-D58</f>
        <v>36780</v>
      </c>
      <c r="E80" s="13"/>
      <c r="F80" s="13">
        <v>0</v>
      </c>
      <c r="G80" s="13"/>
    </row>
    <row r="81" spans="1:9" x14ac:dyDescent="0.25">
      <c r="B81" s="119" t="s">
        <v>577</v>
      </c>
      <c r="C81" s="55" t="s">
        <v>116</v>
      </c>
      <c r="D81" s="13">
        <v>1134</v>
      </c>
      <c r="E81" s="94"/>
      <c r="F81" s="13">
        <v>0</v>
      </c>
      <c r="G81" s="94"/>
      <c r="H81" s="3" t="s">
        <v>473</v>
      </c>
    </row>
    <row r="82" spans="1:9" s="104" customFormat="1" x14ac:dyDescent="0.25">
      <c r="A82" s="79" t="s">
        <v>578</v>
      </c>
      <c r="B82" s="146" t="s">
        <v>579</v>
      </c>
      <c r="C82" s="88" t="s">
        <v>116</v>
      </c>
      <c r="D82" s="124">
        <f>SUM(D66:D81)</f>
        <v>639291</v>
      </c>
      <c r="E82" s="124">
        <f>SUM(E66:E81)</f>
        <v>0</v>
      </c>
      <c r="F82" s="124">
        <f>SUM(F66:F81)</f>
        <v>114646</v>
      </c>
      <c r="G82" s="124">
        <f>SUM(G66:G81)</f>
        <v>0</v>
      </c>
      <c r="H82" s="103"/>
      <c r="I82" s="103"/>
    </row>
    <row r="83" spans="1:9" s="91" customFormat="1" x14ac:dyDescent="0.25">
      <c r="A83" s="79"/>
      <c r="B83" s="146" t="s">
        <v>580</v>
      </c>
      <c r="C83" s="88" t="s">
        <v>118</v>
      </c>
      <c r="D83" s="89">
        <f>+D82+D65+D62+D60</f>
        <v>3007024</v>
      </c>
      <c r="E83" s="89">
        <f>+E82+E65+E62+E60</f>
        <v>0</v>
      </c>
      <c r="F83" s="89">
        <f>+F82+F65+F62+F60</f>
        <v>540657</v>
      </c>
      <c r="G83" s="89">
        <f>+G82+G65+G62+G60</f>
        <v>0</v>
      </c>
      <c r="H83" s="115"/>
      <c r="I83" s="115"/>
    </row>
    <row r="84" spans="1:9" s="91" customFormat="1" x14ac:dyDescent="0.25">
      <c r="A84" s="79"/>
      <c r="B84" s="154" t="s">
        <v>581</v>
      </c>
      <c r="C84" s="154" t="s">
        <v>582</v>
      </c>
      <c r="D84" s="124">
        <f>+D83+D43</f>
        <v>3021925</v>
      </c>
      <c r="E84" s="124">
        <f>+E83+E43</f>
        <v>149220</v>
      </c>
      <c r="F84" s="124">
        <f>+F83+F43</f>
        <v>543656</v>
      </c>
      <c r="G84" s="124">
        <f>+G83+G43</f>
        <v>49400</v>
      </c>
      <c r="H84" s="115"/>
      <c r="I84" s="115"/>
    </row>
    <row r="85" spans="1:9" x14ac:dyDescent="0.25">
      <c r="B85" s="155"/>
      <c r="C85" s="155"/>
      <c r="D85" s="127"/>
      <c r="E85" s="127"/>
      <c r="F85" s="127"/>
      <c r="G85" s="127"/>
    </row>
    <row r="86" spans="1:9" x14ac:dyDescent="0.25">
      <c r="B86" s="155"/>
      <c r="C86" s="155"/>
      <c r="D86" s="127"/>
      <c r="E86" s="127"/>
      <c r="F86" s="127"/>
      <c r="G86" s="127"/>
    </row>
    <row r="89" spans="1:9" x14ac:dyDescent="0.25">
      <c r="D89" s="3">
        <f>+D77+D76+D75+D74+D73+D72+D71+D70+D69+D67+D57+D54+D53+D52+D51+D50+D49+D48+D47+D45+E41+E40+E39+E36+E32+E24+E23+E21+E16+E9</f>
        <v>2942614</v>
      </c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1" manualBreakCount="1"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="80" zoomScaleSheetLayoutView="80" workbookViewId="0">
      <selection activeCell="I2" sqref="I2"/>
    </sheetView>
  </sheetViews>
  <sheetFormatPr defaultRowHeight="15" x14ac:dyDescent="0.25"/>
  <cols>
    <col min="1" max="1" width="10.5703125" style="156" customWidth="1"/>
    <col min="2" max="2" width="61.140625" style="157" customWidth="1"/>
    <col min="3" max="3" width="7.42578125" style="157" customWidth="1"/>
    <col min="4" max="6" width="9.85546875" style="157" customWidth="1"/>
    <col min="7" max="7" width="10.5703125" style="157" customWidth="1"/>
    <col min="8" max="8" width="10.42578125" style="157" customWidth="1"/>
    <col min="9" max="9" width="9.140625" style="157" customWidth="1"/>
    <col min="10" max="16384" width="9.140625" style="157"/>
  </cols>
  <sheetData>
    <row r="1" spans="1:9" ht="15.75" x14ac:dyDescent="0.25">
      <c r="F1" s="4"/>
      <c r="I1" s="4" t="s">
        <v>583</v>
      </c>
    </row>
    <row r="2" spans="1:9" ht="15.75" x14ac:dyDescent="0.25">
      <c r="F2" s="5"/>
      <c r="I2" s="5" t="s">
        <v>827</v>
      </c>
    </row>
    <row r="3" spans="1:9" x14ac:dyDescent="0.25">
      <c r="F3" s="158"/>
      <c r="I3" s="158"/>
    </row>
    <row r="4" spans="1:9" x14ac:dyDescent="0.25">
      <c r="F4" s="158"/>
      <c r="I4" s="158"/>
    </row>
    <row r="5" spans="1:9" ht="24" customHeight="1" x14ac:dyDescent="0.3">
      <c r="B5" s="322" t="s">
        <v>8</v>
      </c>
      <c r="C5" s="322"/>
    </row>
    <row r="6" spans="1:9" ht="18.75" x14ac:dyDescent="0.3">
      <c r="B6" s="24"/>
      <c r="C6" s="159"/>
      <c r="D6" s="159"/>
      <c r="E6" s="159"/>
      <c r="F6" s="159"/>
      <c r="G6" s="159"/>
      <c r="H6" s="159"/>
      <c r="I6" s="159"/>
    </row>
    <row r="7" spans="1:9" ht="16.5" customHeight="1" x14ac:dyDescent="0.35">
      <c r="B7" s="7" t="s">
        <v>584</v>
      </c>
      <c r="C7" s="160"/>
      <c r="D7" s="160"/>
      <c r="E7" s="160"/>
      <c r="F7" s="160"/>
      <c r="G7" s="160"/>
      <c r="H7" s="160"/>
      <c r="I7" s="160"/>
    </row>
    <row r="8" spans="1:9" ht="19.5" x14ac:dyDescent="0.35">
      <c r="B8" s="161"/>
    </row>
    <row r="9" spans="1:9" ht="15.75" customHeight="1" x14ac:dyDescent="0.25">
      <c r="D9" s="320" t="s">
        <v>10</v>
      </c>
      <c r="E9" s="320"/>
      <c r="F9" s="320"/>
      <c r="G9" s="320" t="s">
        <v>11</v>
      </c>
      <c r="H9" s="320"/>
      <c r="I9" s="320"/>
    </row>
    <row r="10" spans="1:9" s="11" customFormat="1" ht="52.5" customHeight="1" x14ac:dyDescent="0.25">
      <c r="A10" s="79" t="s">
        <v>332</v>
      </c>
      <c r="B10" s="162" t="s">
        <v>585</v>
      </c>
      <c r="C10" s="37" t="s">
        <v>39</v>
      </c>
      <c r="D10" s="163" t="s">
        <v>13</v>
      </c>
      <c r="E10" s="163" t="s">
        <v>14</v>
      </c>
      <c r="F10" s="164" t="s">
        <v>586</v>
      </c>
      <c r="G10" s="163" t="s">
        <v>13</v>
      </c>
      <c r="H10" s="163" t="s">
        <v>14</v>
      </c>
      <c r="I10" s="164" t="s">
        <v>586</v>
      </c>
    </row>
    <row r="11" spans="1:9" ht="15.75" x14ac:dyDescent="0.25">
      <c r="A11" s="79" t="s">
        <v>439</v>
      </c>
      <c r="B11" s="165"/>
      <c r="C11" s="166"/>
      <c r="D11" s="167"/>
      <c r="E11" s="167"/>
      <c r="F11" s="168"/>
      <c r="G11" s="167"/>
      <c r="H11" s="167"/>
      <c r="I11" s="168"/>
    </row>
    <row r="12" spans="1:9" ht="15.75" x14ac:dyDescent="0.25">
      <c r="A12" s="156" t="s">
        <v>587</v>
      </c>
      <c r="B12" s="105" t="s">
        <v>588</v>
      </c>
      <c r="C12" s="56"/>
      <c r="D12" s="13">
        <f>40000</f>
        <v>40000</v>
      </c>
      <c r="E12" s="13">
        <v>0</v>
      </c>
      <c r="F12" s="14">
        <f>SUM(D12:E12)</f>
        <v>40000</v>
      </c>
      <c r="G12" s="13">
        <f>40000-5100-34475+65</f>
        <v>490</v>
      </c>
      <c r="H12" s="13">
        <v>0</v>
      </c>
      <c r="I12" s="14">
        <f>SUM(G12:H12)</f>
        <v>490</v>
      </c>
    </row>
    <row r="13" spans="1:9" ht="15.75" x14ac:dyDescent="0.25">
      <c r="B13" s="105" t="s">
        <v>589</v>
      </c>
      <c r="C13" s="12"/>
      <c r="D13" s="13">
        <v>0</v>
      </c>
      <c r="E13" s="13">
        <v>0</v>
      </c>
      <c r="F13" s="14">
        <f>SUM(D13:E13)</f>
        <v>0</v>
      </c>
      <c r="G13" s="13">
        <v>0</v>
      </c>
      <c r="H13" s="13">
        <v>0</v>
      </c>
      <c r="I13" s="14">
        <f>SUM(G13:H13)</f>
        <v>0</v>
      </c>
    </row>
    <row r="14" spans="1:9" s="169" customFormat="1" ht="15.75" x14ac:dyDescent="0.25">
      <c r="A14" s="156"/>
      <c r="B14" s="146" t="s">
        <v>590</v>
      </c>
      <c r="C14" s="88" t="s">
        <v>87</v>
      </c>
      <c r="D14" s="89">
        <f>+D12+D13</f>
        <v>40000</v>
      </c>
      <c r="E14" s="89">
        <f>+E12+E13</f>
        <v>0</v>
      </c>
      <c r="F14" s="89">
        <f>SUM(D14:E14)</f>
        <v>40000</v>
      </c>
      <c r="G14" s="89">
        <f>+G12+G13</f>
        <v>490</v>
      </c>
      <c r="H14" s="89">
        <f>+H12+H13</f>
        <v>0</v>
      </c>
      <c r="I14" s="89">
        <f>SUM(G14:H14)</f>
        <v>490</v>
      </c>
    </row>
    <row r="15" spans="1:9" ht="15.75" x14ac:dyDescent="0.25">
      <c r="B15" s="12"/>
      <c r="C15" s="12"/>
      <c r="D15" s="13"/>
      <c r="E15" s="13"/>
      <c r="F15" s="14"/>
      <c r="G15" s="13"/>
      <c r="H15" s="13"/>
      <c r="I15" s="14"/>
    </row>
    <row r="16" spans="1:9" ht="15.75" x14ac:dyDescent="0.25">
      <c r="A16" s="156" t="s">
        <v>591</v>
      </c>
      <c r="B16" s="170" t="s">
        <v>592</v>
      </c>
      <c r="C16" s="56"/>
      <c r="D16" s="13">
        <v>100</v>
      </c>
      <c r="E16" s="13"/>
      <c r="F16" s="14">
        <f>SUM(D16:E16)</f>
        <v>100</v>
      </c>
      <c r="G16" s="13">
        <v>0</v>
      </c>
      <c r="H16" s="13"/>
      <c r="I16" s="14">
        <f>SUM(G16:H16)</f>
        <v>0</v>
      </c>
    </row>
    <row r="17" spans="1:9" ht="15.75" x14ac:dyDescent="0.25">
      <c r="A17" s="156" t="s">
        <v>593</v>
      </c>
      <c r="B17" s="170" t="s">
        <v>594</v>
      </c>
      <c r="C17" s="56"/>
      <c r="D17" s="13">
        <v>100</v>
      </c>
      <c r="E17" s="13"/>
      <c r="F17" s="14">
        <f>SUM(D17:E17)</f>
        <v>100</v>
      </c>
      <c r="G17" s="13">
        <v>0</v>
      </c>
      <c r="H17" s="13"/>
      <c r="I17" s="14">
        <f>SUM(G17:H17)</f>
        <v>0</v>
      </c>
    </row>
    <row r="18" spans="1:9" ht="15.75" x14ac:dyDescent="0.25">
      <c r="A18" s="156" t="s">
        <v>595</v>
      </c>
      <c r="B18" s="170" t="s">
        <v>596</v>
      </c>
      <c r="C18" s="56"/>
      <c r="D18" s="13">
        <v>100</v>
      </c>
      <c r="E18" s="13"/>
      <c r="F18" s="14">
        <f>SUM(D18:E18)</f>
        <v>100</v>
      </c>
      <c r="G18" s="13">
        <v>0</v>
      </c>
      <c r="H18" s="13"/>
      <c r="I18" s="14">
        <f>SUM(G18:H18)</f>
        <v>0</v>
      </c>
    </row>
    <row r="19" spans="1:9" ht="15.75" x14ac:dyDescent="0.25">
      <c r="A19" s="156" t="s">
        <v>597</v>
      </c>
      <c r="B19" s="170" t="s">
        <v>598</v>
      </c>
      <c r="C19" s="12"/>
      <c r="D19" s="13">
        <v>4000</v>
      </c>
      <c r="E19" s="13"/>
      <c r="F19" s="14">
        <f>SUM(D19:E19)</f>
        <v>4000</v>
      </c>
      <c r="G19" s="13">
        <f>4000-477-1223-610-130-38-144-100</f>
        <v>1278</v>
      </c>
      <c r="H19" s="13"/>
      <c r="I19" s="14">
        <f>SUM(G19:H19)</f>
        <v>1278</v>
      </c>
    </row>
    <row r="20" spans="1:9" s="169" customFormat="1" ht="15.75" x14ac:dyDescent="0.25">
      <c r="A20" s="156"/>
      <c r="B20" s="171" t="s">
        <v>599</v>
      </c>
      <c r="C20" s="123" t="s">
        <v>87</v>
      </c>
      <c r="D20" s="124">
        <f t="shared" ref="D20:I20" si="0">SUM(D16:D19)</f>
        <v>4300</v>
      </c>
      <c r="E20" s="124">
        <f t="shared" si="0"/>
        <v>0</v>
      </c>
      <c r="F20" s="124">
        <f t="shared" si="0"/>
        <v>4300</v>
      </c>
      <c r="G20" s="124">
        <f t="shared" si="0"/>
        <v>1278</v>
      </c>
      <c r="H20" s="124">
        <f t="shared" si="0"/>
        <v>0</v>
      </c>
      <c r="I20" s="124">
        <f t="shared" si="0"/>
        <v>1278</v>
      </c>
    </row>
    <row r="21" spans="1:9" ht="15.75" x14ac:dyDescent="0.25">
      <c r="B21" s="98"/>
      <c r="C21" s="12"/>
      <c r="D21" s="13"/>
      <c r="E21" s="13"/>
      <c r="F21" s="14"/>
      <c r="G21" s="13"/>
      <c r="H21" s="13"/>
      <c r="I21" s="14"/>
    </row>
    <row r="22" spans="1:9" ht="15.75" x14ac:dyDescent="0.25">
      <c r="B22" s="12"/>
      <c r="C22" s="12"/>
      <c r="D22" s="13">
        <v>0</v>
      </c>
      <c r="E22" s="13">
        <v>0</v>
      </c>
      <c r="F22" s="14"/>
      <c r="G22" s="13">
        <v>0</v>
      </c>
      <c r="H22" s="13">
        <v>0</v>
      </c>
      <c r="I22" s="14"/>
    </row>
    <row r="23" spans="1:9" s="169" customFormat="1" ht="15.75" x14ac:dyDescent="0.25">
      <c r="A23" s="156"/>
      <c r="B23" s="171" t="s">
        <v>600</v>
      </c>
      <c r="C23" s="123" t="s">
        <v>87</v>
      </c>
      <c r="D23" s="124">
        <f>SUM(D22)</f>
        <v>0</v>
      </c>
      <c r="E23" s="124">
        <f>SUM(E22)</f>
        <v>0</v>
      </c>
      <c r="F23" s="124">
        <f>SUM(D23:E23)</f>
        <v>0</v>
      </c>
      <c r="G23" s="124">
        <f>SUM(G22)</f>
        <v>0</v>
      </c>
      <c r="H23" s="124">
        <f>SUM(H22)</f>
        <v>0</v>
      </c>
      <c r="I23" s="124">
        <f>SUM(G23:H23)</f>
        <v>0</v>
      </c>
    </row>
    <row r="24" spans="1:9" s="169" customFormat="1" ht="15.75" x14ac:dyDescent="0.25">
      <c r="A24" s="156"/>
      <c r="B24" s="146" t="s">
        <v>601</v>
      </c>
      <c r="C24" s="123" t="s">
        <v>87</v>
      </c>
      <c r="D24" s="89">
        <f>+D20+D23</f>
        <v>4300</v>
      </c>
      <c r="E24" s="89">
        <f>+E20+E23</f>
        <v>0</v>
      </c>
      <c r="F24" s="89">
        <f>SUM(D24:E24)</f>
        <v>4300</v>
      </c>
      <c r="G24" s="89">
        <f>+G20+G23</f>
        <v>1278</v>
      </c>
      <c r="H24" s="89">
        <f>+H20+H23</f>
        <v>0</v>
      </c>
      <c r="I24" s="89">
        <f>SUM(G24:H24)</f>
        <v>1278</v>
      </c>
    </row>
    <row r="25" spans="1:9" ht="15.75" x14ac:dyDescent="0.25">
      <c r="B25" s="12"/>
      <c r="C25" s="12"/>
      <c r="D25" s="12"/>
      <c r="E25" s="12"/>
      <c r="F25" s="12"/>
      <c r="G25" s="12"/>
      <c r="H25" s="12"/>
      <c r="I25" s="12"/>
    </row>
    <row r="26" spans="1:9" s="174" customFormat="1" ht="15.75" x14ac:dyDescent="0.25">
      <c r="A26" s="156" t="s">
        <v>602</v>
      </c>
      <c r="B26" s="172" t="s">
        <v>603</v>
      </c>
      <c r="C26" s="88" t="s">
        <v>87</v>
      </c>
      <c r="D26" s="173">
        <f t="shared" ref="D26:I26" si="1">+D24+D14</f>
        <v>44300</v>
      </c>
      <c r="E26" s="173">
        <f t="shared" si="1"/>
        <v>0</v>
      </c>
      <c r="F26" s="173">
        <f t="shared" si="1"/>
        <v>44300</v>
      </c>
      <c r="G26" s="173">
        <f t="shared" si="1"/>
        <v>1768</v>
      </c>
      <c r="H26" s="173">
        <f t="shared" si="1"/>
        <v>0</v>
      </c>
      <c r="I26" s="173">
        <f t="shared" si="1"/>
        <v>1768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F94" activePane="bottomRight" state="frozen"/>
      <selection pane="topRight" activeCell="D1" sqref="D1"/>
      <selection pane="bottomLeft" activeCell="A7" sqref="A7"/>
      <selection pane="bottomRight" activeCell="H2" sqref="H2"/>
    </sheetView>
  </sheetViews>
  <sheetFormatPr defaultColWidth="11.5703125" defaultRowHeight="15" x14ac:dyDescent="0.25"/>
  <cols>
    <col min="1" max="1" width="9.140625" style="175" customWidth="1"/>
    <col min="2" max="2" width="54" style="175" customWidth="1"/>
    <col min="3" max="3" width="8.5703125" style="175" customWidth="1"/>
    <col min="4" max="4" width="13.28515625" style="175" customWidth="1"/>
    <col min="5" max="5" width="13.85546875" style="175" customWidth="1"/>
    <col min="6" max="6" width="13.7109375" style="175" customWidth="1"/>
    <col min="7" max="9" width="11.5703125" style="175" customWidth="1"/>
    <col min="10" max="10" width="17.140625" style="175" customWidth="1"/>
    <col min="11" max="11" width="11.5703125" style="175" customWidth="1"/>
    <col min="12" max="12" width="12.140625" style="175" customWidth="1"/>
    <col min="13" max="13" width="11.5703125" style="175" customWidth="1"/>
    <col min="14" max="14" width="13.85546875" style="175" customWidth="1"/>
    <col min="15" max="15" width="11.5703125" style="175" customWidth="1"/>
    <col min="16" max="16" width="14.140625" style="175" customWidth="1"/>
    <col min="17" max="17" width="11.5703125" style="175" customWidth="1"/>
    <col min="18" max="18" width="14.28515625" style="175" customWidth="1"/>
    <col min="19" max="19" width="11.5703125" style="175" customWidth="1"/>
    <col min="20" max="20" width="13" style="175" customWidth="1"/>
    <col min="21" max="21" width="11.5703125" style="175" customWidth="1"/>
    <col min="22" max="22" width="15" style="175" customWidth="1"/>
    <col min="23" max="23" width="11.5703125" style="175" customWidth="1"/>
    <col min="24" max="24" width="15.5703125" style="175" customWidth="1"/>
    <col min="25" max="25" width="11.5703125" style="175" customWidth="1"/>
    <col min="26" max="26" width="14.85546875" style="175" customWidth="1"/>
    <col min="27" max="27" width="11.5703125" style="175" customWidth="1"/>
    <col min="28" max="28" width="15.140625" style="175" customWidth="1"/>
    <col min="29" max="29" width="11.5703125" style="175" customWidth="1"/>
    <col min="30" max="30" width="13.5703125" style="175" customWidth="1"/>
    <col min="31" max="31" width="11.5703125" style="175" customWidth="1"/>
    <col min="32" max="32" width="13.140625" style="175" customWidth="1"/>
    <col min="33" max="33" width="11.5703125" style="175" customWidth="1"/>
    <col min="34" max="34" width="15.5703125" style="175" customWidth="1"/>
    <col min="35" max="35" width="11.5703125" style="175" customWidth="1"/>
    <col min="36" max="36" width="13.5703125" style="175" customWidth="1"/>
    <col min="37" max="37" width="11.5703125" style="175" customWidth="1"/>
    <col min="38" max="38" width="12.5703125" style="175" customWidth="1"/>
    <col min="39" max="39" width="11.5703125" style="175" customWidth="1"/>
    <col min="40" max="40" width="15.5703125" style="175" customWidth="1"/>
    <col min="41" max="41" width="11.5703125" style="175" customWidth="1"/>
    <col min="42" max="42" width="13" style="175" customWidth="1"/>
    <col min="43" max="43" width="11.5703125" style="175" customWidth="1"/>
    <col min="44" max="44" width="13.140625" style="175" customWidth="1"/>
    <col min="45" max="45" width="11.5703125" style="175" customWidth="1"/>
    <col min="46" max="46" width="9.5703125" style="175" customWidth="1"/>
    <col min="47" max="47" width="11.5703125" style="175" customWidth="1"/>
    <col min="48" max="48" width="9.85546875" style="175" customWidth="1"/>
    <col min="49" max="49" width="11.5703125" style="175" customWidth="1"/>
    <col min="50" max="50" width="9.28515625" style="175" customWidth="1"/>
    <col min="51" max="51" width="11.5703125" style="175" customWidth="1"/>
    <col min="52" max="52" width="10.140625" style="175" customWidth="1"/>
    <col min="53" max="53" width="11.5703125" style="175" customWidth="1"/>
    <col min="54" max="230" width="9.140625" style="175" customWidth="1"/>
  </cols>
  <sheetData>
    <row r="1" spans="2:54" s="176" customFormat="1" ht="15.75" x14ac:dyDescent="0.25">
      <c r="H1" s="177" t="s">
        <v>604</v>
      </c>
      <c r="I1" s="177"/>
      <c r="N1" s="178" t="str">
        <f>+H1</f>
        <v>7.melléklet</v>
      </c>
      <c r="O1" s="178"/>
      <c r="P1" s="178"/>
      <c r="Q1" s="178"/>
      <c r="T1" s="176" t="str">
        <f>+H1</f>
        <v>7.melléklet</v>
      </c>
      <c r="U1" s="178"/>
      <c r="X1" s="178"/>
      <c r="Y1" s="178"/>
      <c r="Z1" s="178" t="str">
        <f>+T1</f>
        <v>7.melléklet</v>
      </c>
      <c r="AA1" s="178"/>
      <c r="AF1" s="176" t="str">
        <f>+Z1</f>
        <v>7.melléklet</v>
      </c>
      <c r="AG1" s="178"/>
      <c r="AL1" s="178" t="str">
        <f>+AF1</f>
        <v>7.melléklet</v>
      </c>
      <c r="AM1" s="178"/>
      <c r="AN1" s="178"/>
      <c r="AO1" s="178"/>
      <c r="AR1" s="178" t="str">
        <f>+AL1</f>
        <v>7.melléklet</v>
      </c>
      <c r="AS1" s="178"/>
      <c r="AZ1" s="176" t="str">
        <f>+AR1</f>
        <v>7.melléklet</v>
      </c>
      <c r="BA1" s="178"/>
    </row>
    <row r="2" spans="2:54" ht="15.75" x14ac:dyDescent="0.25">
      <c r="H2" s="5" t="s">
        <v>827</v>
      </c>
      <c r="I2" s="5"/>
      <c r="N2" s="178" t="str">
        <f>+H2</f>
        <v>a 1/2018.(III.14.) önkormányzati rendelethez</v>
      </c>
      <c r="O2" s="5"/>
      <c r="P2" s="5"/>
      <c r="Q2" s="5"/>
      <c r="T2" s="177" t="str">
        <f>+H2</f>
        <v>a 1/2018.(III.14.) önkormányzati rendelethez</v>
      </c>
      <c r="U2" s="5"/>
      <c r="X2" s="5"/>
      <c r="Y2" s="5"/>
      <c r="Z2" s="178" t="str">
        <f>+T2</f>
        <v>a 1/2018.(III.14.) önkormányzati rendelethez</v>
      </c>
      <c r="AA2" s="5"/>
      <c r="AF2" s="177" t="str">
        <f>+Z2</f>
        <v>a 1/2018.(III.14.) önkormányzati rendelethez</v>
      </c>
      <c r="AG2" s="5"/>
      <c r="AH2" s="179"/>
      <c r="AI2" s="179"/>
      <c r="AJ2" s="179"/>
      <c r="AK2" s="179"/>
      <c r="AL2" s="178" t="str">
        <f>+AF2</f>
        <v>a 1/2018.(III.14.) önkormányzati rendelethez</v>
      </c>
      <c r="AM2" s="5"/>
      <c r="AN2" s="5"/>
      <c r="AO2" s="5"/>
      <c r="AR2" s="178" t="str">
        <f>+AL2</f>
        <v>a 1/2018.(III.14.) önkormányzati rendelethez</v>
      </c>
      <c r="AS2" s="5"/>
      <c r="AZ2" s="177" t="str">
        <f>+AR2</f>
        <v>a 1/2018.(III.14.) önkormányzati rendelethez</v>
      </c>
      <c r="BA2" s="5"/>
    </row>
    <row r="3" spans="2:54" ht="18.75" x14ac:dyDescent="0.3">
      <c r="B3" s="24" t="s">
        <v>605</v>
      </c>
      <c r="J3" s="180"/>
      <c r="K3" s="180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BB3" s="181"/>
    </row>
    <row r="4" spans="2:54" s="182" customFormat="1" ht="19.5" x14ac:dyDescent="0.2">
      <c r="B4" s="183" t="s">
        <v>606</v>
      </c>
      <c r="J4" s="323" t="s">
        <v>607</v>
      </c>
      <c r="K4" s="323"/>
      <c r="L4" s="323"/>
      <c r="M4" s="323"/>
      <c r="N4" s="323"/>
      <c r="O4" s="323"/>
      <c r="P4" s="323" t="s">
        <v>607</v>
      </c>
      <c r="Q4" s="323"/>
      <c r="R4" s="323"/>
      <c r="S4" s="323"/>
      <c r="T4" s="323"/>
      <c r="U4" s="323"/>
      <c r="V4" s="323" t="s">
        <v>607</v>
      </c>
      <c r="W4" s="323"/>
      <c r="X4" s="323"/>
      <c r="Y4" s="323"/>
      <c r="Z4" s="323"/>
      <c r="AA4" s="323"/>
      <c r="AB4" s="323" t="s">
        <v>607</v>
      </c>
      <c r="AC4" s="323"/>
      <c r="AD4" s="323"/>
      <c r="AE4" s="323"/>
      <c r="AF4" s="323"/>
      <c r="AG4" s="323"/>
      <c r="AH4" s="324" t="s">
        <v>607</v>
      </c>
      <c r="AI4" s="324"/>
      <c r="AJ4" s="324"/>
      <c r="AK4" s="324"/>
      <c r="AL4" s="323" t="s">
        <v>608</v>
      </c>
      <c r="AM4" s="323"/>
      <c r="AN4" s="323" t="s">
        <v>608</v>
      </c>
      <c r="AO4" s="323"/>
      <c r="AP4" s="323"/>
      <c r="AQ4" s="323"/>
      <c r="AR4" s="323"/>
      <c r="AS4" s="323"/>
      <c r="AT4" s="327" t="s">
        <v>609</v>
      </c>
      <c r="AU4" s="327"/>
      <c r="AV4" s="327"/>
      <c r="AW4" s="327"/>
      <c r="AX4" s="327"/>
      <c r="AY4" s="327"/>
      <c r="AZ4" s="327"/>
      <c r="BA4" s="327"/>
      <c r="BB4" s="181"/>
    </row>
    <row r="5" spans="2:54" s="185" customFormat="1" ht="26.25" customHeight="1" x14ac:dyDescent="0.25">
      <c r="D5" s="326" t="s">
        <v>10</v>
      </c>
      <c r="E5" s="326"/>
      <c r="F5" s="326"/>
      <c r="G5" s="326" t="s">
        <v>11</v>
      </c>
      <c r="H5" s="326"/>
      <c r="I5" s="326"/>
      <c r="J5" s="186" t="s">
        <v>610</v>
      </c>
      <c r="K5" s="186" t="s">
        <v>611</v>
      </c>
      <c r="L5" s="186" t="s">
        <v>610</v>
      </c>
      <c r="M5" s="186" t="s">
        <v>611</v>
      </c>
      <c r="N5" s="186" t="s">
        <v>610</v>
      </c>
      <c r="O5" s="186" t="s">
        <v>611</v>
      </c>
      <c r="P5" s="186" t="s">
        <v>610</v>
      </c>
      <c r="Q5" s="186" t="s">
        <v>611</v>
      </c>
      <c r="R5" s="186" t="s">
        <v>610</v>
      </c>
      <c r="S5" s="186" t="s">
        <v>611</v>
      </c>
      <c r="T5" s="186" t="s">
        <v>610</v>
      </c>
      <c r="U5" s="186" t="s">
        <v>611</v>
      </c>
      <c r="V5" s="186" t="s">
        <v>610</v>
      </c>
      <c r="W5" s="186" t="s">
        <v>611</v>
      </c>
      <c r="X5" s="186" t="s">
        <v>610</v>
      </c>
      <c r="Y5" s="186" t="s">
        <v>611</v>
      </c>
      <c r="Z5" s="186" t="s">
        <v>610</v>
      </c>
      <c r="AA5" s="186" t="s">
        <v>611</v>
      </c>
      <c r="AB5" s="186" t="s">
        <v>610</v>
      </c>
      <c r="AC5" s="186" t="s">
        <v>611</v>
      </c>
      <c r="AD5" s="186" t="s">
        <v>610</v>
      </c>
      <c r="AE5" s="186" t="s">
        <v>611</v>
      </c>
      <c r="AF5" s="186" t="s">
        <v>610</v>
      </c>
      <c r="AG5" s="186" t="s">
        <v>611</v>
      </c>
      <c r="AH5" s="186" t="s">
        <v>610</v>
      </c>
      <c r="AI5" s="186" t="s">
        <v>611</v>
      </c>
      <c r="AJ5" s="186" t="s">
        <v>610</v>
      </c>
      <c r="AK5" s="186" t="s">
        <v>611</v>
      </c>
      <c r="AL5" s="186" t="s">
        <v>610</v>
      </c>
      <c r="AM5" s="186" t="s">
        <v>611</v>
      </c>
      <c r="AN5" s="186" t="s">
        <v>610</v>
      </c>
      <c r="AO5" s="186" t="s">
        <v>611</v>
      </c>
      <c r="AP5" s="186" t="s">
        <v>610</v>
      </c>
      <c r="AQ5" s="186" t="s">
        <v>611</v>
      </c>
      <c r="AR5" s="186" t="s">
        <v>610</v>
      </c>
      <c r="AS5" s="186" t="s">
        <v>611</v>
      </c>
      <c r="AT5" s="186" t="s">
        <v>610</v>
      </c>
      <c r="AU5" s="186" t="s">
        <v>611</v>
      </c>
      <c r="AV5" s="186" t="s">
        <v>610</v>
      </c>
      <c r="AW5" s="186" t="s">
        <v>611</v>
      </c>
      <c r="AX5" s="186" t="s">
        <v>610</v>
      </c>
      <c r="AY5" s="186" t="s">
        <v>611</v>
      </c>
      <c r="AZ5" s="186" t="s">
        <v>610</v>
      </c>
      <c r="BA5" s="186" t="s">
        <v>611</v>
      </c>
      <c r="BB5" s="187"/>
    </row>
    <row r="6" spans="2:54" s="185" customFormat="1" ht="94.15" customHeight="1" x14ac:dyDescent="0.25">
      <c r="B6" s="165" t="s">
        <v>12</v>
      </c>
      <c r="C6" s="166" t="s">
        <v>39</v>
      </c>
      <c r="D6" s="188" t="s">
        <v>612</v>
      </c>
      <c r="E6" s="188" t="s">
        <v>613</v>
      </c>
      <c r="F6" s="166" t="s">
        <v>614</v>
      </c>
      <c r="G6" s="188" t="s">
        <v>612</v>
      </c>
      <c r="H6" s="188" t="s">
        <v>613</v>
      </c>
      <c r="I6" s="166" t="s">
        <v>614</v>
      </c>
      <c r="J6" s="325" t="s">
        <v>615</v>
      </c>
      <c r="K6" s="325"/>
      <c r="L6" s="325" t="s">
        <v>616</v>
      </c>
      <c r="M6" s="325"/>
      <c r="N6" s="325" t="s">
        <v>617</v>
      </c>
      <c r="O6" s="325"/>
      <c r="P6" s="325" t="s">
        <v>618</v>
      </c>
      <c r="Q6" s="325"/>
      <c r="R6" s="325" t="s">
        <v>619</v>
      </c>
      <c r="S6" s="325"/>
      <c r="T6" s="325" t="s">
        <v>620</v>
      </c>
      <c r="U6" s="325"/>
      <c r="V6" s="325" t="s">
        <v>621</v>
      </c>
      <c r="W6" s="325"/>
      <c r="X6" s="325" t="s">
        <v>622</v>
      </c>
      <c r="Y6" s="325"/>
      <c r="Z6" s="325" t="s">
        <v>623</v>
      </c>
      <c r="AA6" s="325"/>
      <c r="AB6" s="325" t="s">
        <v>624</v>
      </c>
      <c r="AC6" s="325"/>
      <c r="AD6" s="325" t="s">
        <v>625</v>
      </c>
      <c r="AE6" s="325"/>
      <c r="AF6" s="325" t="s">
        <v>626</v>
      </c>
      <c r="AG6" s="325"/>
      <c r="AH6" s="325" t="s">
        <v>627</v>
      </c>
      <c r="AI6" s="325"/>
      <c r="AJ6" s="325" t="s">
        <v>628</v>
      </c>
      <c r="AK6" s="325"/>
      <c r="AL6" s="325" t="s">
        <v>629</v>
      </c>
      <c r="AM6" s="325"/>
      <c r="AN6" s="325" t="s">
        <v>630</v>
      </c>
      <c r="AO6" s="325"/>
      <c r="AP6" s="325" t="s">
        <v>631</v>
      </c>
      <c r="AQ6" s="325"/>
      <c r="AR6" s="325" t="s">
        <v>632</v>
      </c>
      <c r="AS6" s="325"/>
      <c r="AT6" s="325" t="s">
        <v>633</v>
      </c>
      <c r="AU6" s="325"/>
      <c r="AV6" s="325" t="s">
        <v>634</v>
      </c>
      <c r="AW6" s="325"/>
      <c r="AX6" s="325" t="s">
        <v>635</v>
      </c>
      <c r="AY6" s="325"/>
      <c r="AZ6" s="325" t="s">
        <v>636</v>
      </c>
      <c r="BA6" s="325"/>
    </row>
    <row r="7" spans="2:54" x14ac:dyDescent="0.25">
      <c r="B7" s="189" t="s">
        <v>40</v>
      </c>
      <c r="C7" s="190" t="s">
        <v>41</v>
      </c>
      <c r="D7" s="191">
        <f>+J7+L7+N7+P7+R7+T7+V7+X7+Z7+AB7+AD7+AF7+AH7+AJ7</f>
        <v>0</v>
      </c>
      <c r="E7" s="192">
        <f>+AL7+AN7+AP7+AR7+AV7+AX7+AZ7+AT7</f>
        <v>328409</v>
      </c>
      <c r="F7" s="193">
        <f>+D7+E7</f>
        <v>328409</v>
      </c>
      <c r="G7" s="191">
        <f>+K7+M7+O7+Q7+S7+U7+W7+Y7+AA7+AC7+AE7+AG7+AI7+AK7</f>
        <v>0</v>
      </c>
      <c r="H7" s="192">
        <f>+BA7+AY7+AW7+AU7+AS7+AQ7+AO7+AM7</f>
        <v>5848</v>
      </c>
      <c r="I7" s="193">
        <f>+G7+H7</f>
        <v>5848</v>
      </c>
      <c r="J7" s="191"/>
      <c r="K7" s="191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>
        <v>328409</v>
      </c>
      <c r="AQ7" s="194">
        <v>5848</v>
      </c>
      <c r="AR7" s="194"/>
      <c r="AS7" s="194"/>
      <c r="AT7" s="194"/>
      <c r="AU7" s="194"/>
      <c r="AV7" s="194"/>
      <c r="AW7" s="194"/>
      <c r="AX7" s="194"/>
      <c r="AY7" s="194"/>
      <c r="AZ7" s="194"/>
      <c r="BA7" s="194"/>
    </row>
    <row r="8" spans="2:54" x14ac:dyDescent="0.25">
      <c r="B8" s="195" t="s">
        <v>42</v>
      </c>
      <c r="C8" s="190" t="s">
        <v>43</v>
      </c>
      <c r="D8" s="191">
        <f>+J8+L8+N8+P8+R8+T8+V8+X8+Z8+AB8+AD8+AF8+AH8+AJ8</f>
        <v>27123</v>
      </c>
      <c r="E8" s="192">
        <f>+AL8+AN8+AP8+AR8+AV8+AX8+AZ8+AT8</f>
        <v>26469</v>
      </c>
      <c r="F8" s="193">
        <f>+D8+E8</f>
        <v>53592</v>
      </c>
      <c r="G8" s="191">
        <f>+K8+M8+O8+Q8+S8+U8+W8+Y8+AA8+AC8+AE8+AG8+AI8+AK8</f>
        <v>28470</v>
      </c>
      <c r="H8" s="192">
        <f>+BA8+AY8+AW8+AU8+AS8+AQ8+AO8+AM8</f>
        <v>2363</v>
      </c>
      <c r="I8" s="193">
        <f>+G8+H8</f>
        <v>30833</v>
      </c>
      <c r="J8" s="191">
        <f>26929+194</f>
        <v>27123</v>
      </c>
      <c r="K8" s="191">
        <f>26929+194+734-1+2+386+386-1151+991</f>
        <v>28470</v>
      </c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>
        <v>26469</v>
      </c>
      <c r="AQ8" s="194">
        <v>2363</v>
      </c>
      <c r="AR8" s="194"/>
      <c r="AS8" s="194"/>
      <c r="AT8" s="194"/>
      <c r="AU8" s="194"/>
      <c r="AV8" s="194"/>
      <c r="AW8" s="194"/>
      <c r="AX8" s="194"/>
      <c r="AY8" s="194"/>
      <c r="AZ8" s="194"/>
      <c r="BA8" s="194"/>
    </row>
    <row r="9" spans="2:54" s="196" customFormat="1" ht="12.75" x14ac:dyDescent="0.2">
      <c r="B9" s="197" t="s">
        <v>44</v>
      </c>
      <c r="C9" s="198" t="s">
        <v>45</v>
      </c>
      <c r="D9" s="199">
        <f t="shared" ref="D9:AI9" si="0">SUM(D7:D8)</f>
        <v>27123</v>
      </c>
      <c r="E9" s="199">
        <f t="shared" si="0"/>
        <v>354878</v>
      </c>
      <c r="F9" s="199">
        <f t="shared" si="0"/>
        <v>382001</v>
      </c>
      <c r="G9" s="199">
        <f t="shared" si="0"/>
        <v>28470</v>
      </c>
      <c r="H9" s="199">
        <f t="shared" si="0"/>
        <v>8211</v>
      </c>
      <c r="I9" s="199">
        <f t="shared" si="0"/>
        <v>36681</v>
      </c>
      <c r="J9" s="199">
        <f t="shared" si="0"/>
        <v>27123</v>
      </c>
      <c r="K9" s="199">
        <f t="shared" ref="K9" si="1">SUM(K7:K8)</f>
        <v>28470</v>
      </c>
      <c r="L9" s="199">
        <f t="shared" si="0"/>
        <v>0</v>
      </c>
      <c r="M9" s="199">
        <f t="shared" si="0"/>
        <v>0</v>
      </c>
      <c r="N9" s="199">
        <f t="shared" si="0"/>
        <v>0</v>
      </c>
      <c r="O9" s="199">
        <f t="shared" si="0"/>
        <v>0</v>
      </c>
      <c r="P9" s="199">
        <f t="shared" si="0"/>
        <v>0</v>
      </c>
      <c r="Q9" s="199">
        <f t="shared" si="0"/>
        <v>0</v>
      </c>
      <c r="R9" s="199">
        <f t="shared" si="0"/>
        <v>0</v>
      </c>
      <c r="S9" s="199">
        <f t="shared" si="0"/>
        <v>0</v>
      </c>
      <c r="T9" s="199">
        <f t="shared" si="0"/>
        <v>0</v>
      </c>
      <c r="U9" s="199">
        <f t="shared" si="0"/>
        <v>0</v>
      </c>
      <c r="V9" s="199">
        <f t="shared" si="0"/>
        <v>0</v>
      </c>
      <c r="W9" s="199">
        <f t="shared" si="0"/>
        <v>0</v>
      </c>
      <c r="X9" s="199">
        <f t="shared" si="0"/>
        <v>0</v>
      </c>
      <c r="Y9" s="199">
        <f t="shared" si="0"/>
        <v>0</v>
      </c>
      <c r="Z9" s="199">
        <f t="shared" si="0"/>
        <v>0</v>
      </c>
      <c r="AA9" s="199">
        <f t="shared" si="0"/>
        <v>0</v>
      </c>
      <c r="AB9" s="199">
        <f t="shared" si="0"/>
        <v>0</v>
      </c>
      <c r="AC9" s="199">
        <f t="shared" si="0"/>
        <v>0</v>
      </c>
      <c r="AD9" s="199">
        <f t="shared" si="0"/>
        <v>0</v>
      </c>
      <c r="AE9" s="199">
        <f t="shared" si="0"/>
        <v>0</v>
      </c>
      <c r="AF9" s="199">
        <f t="shared" si="0"/>
        <v>0</v>
      </c>
      <c r="AG9" s="199">
        <f t="shared" si="0"/>
        <v>0</v>
      </c>
      <c r="AH9" s="199">
        <f t="shared" si="0"/>
        <v>0</v>
      </c>
      <c r="AI9" s="199">
        <f t="shared" si="0"/>
        <v>0</v>
      </c>
      <c r="AJ9" s="199">
        <f t="shared" ref="AJ9:BA9" si="2">SUM(AJ7:AJ8)</f>
        <v>0</v>
      </c>
      <c r="AK9" s="199">
        <f t="shared" si="2"/>
        <v>0</v>
      </c>
      <c r="AL9" s="199">
        <f t="shared" si="2"/>
        <v>0</v>
      </c>
      <c r="AM9" s="199">
        <f t="shared" si="2"/>
        <v>0</v>
      </c>
      <c r="AN9" s="199">
        <f t="shared" si="2"/>
        <v>0</v>
      </c>
      <c r="AO9" s="199">
        <f t="shared" si="2"/>
        <v>0</v>
      </c>
      <c r="AP9" s="199">
        <f t="shared" si="2"/>
        <v>354878</v>
      </c>
      <c r="AQ9" s="199">
        <f t="shared" ref="AQ9" si="3">SUM(AQ7:AQ8)</f>
        <v>8211</v>
      </c>
      <c r="AR9" s="199">
        <f t="shared" si="2"/>
        <v>0</v>
      </c>
      <c r="AS9" s="199">
        <f t="shared" si="2"/>
        <v>0</v>
      </c>
      <c r="AT9" s="199">
        <f t="shared" si="2"/>
        <v>0</v>
      </c>
      <c r="AU9" s="199">
        <f t="shared" si="2"/>
        <v>0</v>
      </c>
      <c r="AV9" s="199">
        <f t="shared" si="2"/>
        <v>0</v>
      </c>
      <c r="AW9" s="199">
        <f t="shared" si="2"/>
        <v>0</v>
      </c>
      <c r="AX9" s="199">
        <f t="shared" si="2"/>
        <v>0</v>
      </c>
      <c r="AY9" s="199">
        <f t="shared" si="2"/>
        <v>0</v>
      </c>
      <c r="AZ9" s="199">
        <f t="shared" si="2"/>
        <v>0</v>
      </c>
      <c r="BA9" s="199">
        <f t="shared" si="2"/>
        <v>0</v>
      </c>
    </row>
    <row r="10" spans="2:54" s="196" customFormat="1" ht="12.75" x14ac:dyDescent="0.2">
      <c r="B10" s="200" t="s">
        <v>637</v>
      </c>
      <c r="C10" s="198" t="s">
        <v>47</v>
      </c>
      <c r="D10" s="201">
        <f t="shared" ref="D10:D15" si="4">+J10+L10+N10+P10+R10+T10+V10+X10+Z10+AB10+AD10+AF10+AH10+AJ10</f>
        <v>5967</v>
      </c>
      <c r="E10" s="202">
        <f t="shared" ref="E10:E15" si="5">+AL10+AN10+AP10+AR10+AV10+AX10+AZ10+AT10</f>
        <v>95596</v>
      </c>
      <c r="F10" s="199">
        <f t="shared" ref="F10:F15" si="6">+D10+E10</f>
        <v>101563</v>
      </c>
      <c r="G10" s="203">
        <f t="shared" ref="G10:G15" si="7">+K10+M10+O10+Q10+S10+U10+W10+Y10+AA10+AC10+AE10+AG10+AI10+AK10</f>
        <v>6090</v>
      </c>
      <c r="H10" s="204">
        <f t="shared" ref="H10:H15" si="8">+BA10+AY10+AW10+AU10+AS10+AQ10+AO10+AM10</f>
        <v>2143</v>
      </c>
      <c r="I10" s="199">
        <f t="shared" ref="I10:I15" si="9">+G10+H10</f>
        <v>8233</v>
      </c>
      <c r="J10" s="201">
        <v>5967</v>
      </c>
      <c r="K10" s="201">
        <f>5967+207+85+85-254</f>
        <v>6090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>
        <v>95596</v>
      </c>
      <c r="AQ10" s="201">
        <v>2143</v>
      </c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</row>
    <row r="11" spans="2:54" x14ac:dyDescent="0.25">
      <c r="B11" s="195" t="s">
        <v>48</v>
      </c>
      <c r="C11" s="190" t="s">
        <v>49</v>
      </c>
      <c r="D11" s="191">
        <f t="shared" si="4"/>
        <v>400</v>
      </c>
      <c r="E11" s="192">
        <f t="shared" si="5"/>
        <v>0</v>
      </c>
      <c r="F11" s="193">
        <f t="shared" si="6"/>
        <v>400</v>
      </c>
      <c r="G11" s="191">
        <f t="shared" si="7"/>
        <v>730</v>
      </c>
      <c r="H11" s="192">
        <f t="shared" si="8"/>
        <v>0</v>
      </c>
      <c r="I11" s="193">
        <f t="shared" si="9"/>
        <v>730</v>
      </c>
      <c r="J11" s="191">
        <v>400</v>
      </c>
      <c r="K11" s="191">
        <v>730</v>
      </c>
      <c r="L11" s="191"/>
      <c r="M11" s="191">
        <v>0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</row>
    <row r="12" spans="2:54" x14ac:dyDescent="0.25">
      <c r="B12" s="195" t="s">
        <v>50</v>
      </c>
      <c r="C12" s="190" t="s">
        <v>51</v>
      </c>
      <c r="D12" s="191">
        <f t="shared" si="4"/>
        <v>0</v>
      </c>
      <c r="E12" s="192">
        <f t="shared" si="5"/>
        <v>0</v>
      </c>
      <c r="F12" s="193">
        <f t="shared" si="6"/>
        <v>0</v>
      </c>
      <c r="G12" s="191">
        <f t="shared" si="7"/>
        <v>110</v>
      </c>
      <c r="H12" s="192">
        <f t="shared" si="8"/>
        <v>0</v>
      </c>
      <c r="I12" s="193">
        <f t="shared" si="9"/>
        <v>110</v>
      </c>
      <c r="J12" s="191"/>
      <c r="K12" s="191">
        <v>110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</row>
    <row r="13" spans="2:54" x14ac:dyDescent="0.25">
      <c r="B13" s="195" t="s">
        <v>52</v>
      </c>
      <c r="C13" s="190" t="s">
        <v>53</v>
      </c>
      <c r="D13" s="191">
        <f t="shared" si="4"/>
        <v>103591</v>
      </c>
      <c r="E13" s="192">
        <f t="shared" si="5"/>
        <v>342678</v>
      </c>
      <c r="F13" s="193">
        <f t="shared" si="6"/>
        <v>446269</v>
      </c>
      <c r="G13" s="191">
        <f t="shared" si="7"/>
        <v>81954</v>
      </c>
      <c r="H13" s="192">
        <f t="shared" si="8"/>
        <v>12387</v>
      </c>
      <c r="I13" s="193">
        <f t="shared" si="9"/>
        <v>94341</v>
      </c>
      <c r="J13" s="191">
        <f>1200+474+22769</f>
        <v>24443</v>
      </c>
      <c r="K13" s="191">
        <f>1200+474+22769-3000-10309</f>
        <v>11134</v>
      </c>
      <c r="L13" s="191">
        <f>1400+2900+500+1000+1000</f>
        <v>6800</v>
      </c>
      <c r="M13" s="191">
        <f>1400+2900+500+1000+1000</f>
        <v>6800</v>
      </c>
      <c r="N13" s="191">
        <v>5548</v>
      </c>
      <c r="O13" s="191">
        <v>0</v>
      </c>
      <c r="P13" s="191"/>
      <c r="Q13" s="191"/>
      <c r="R13" s="191">
        <v>14820</v>
      </c>
      <c r="S13" s="191">
        <v>14820</v>
      </c>
      <c r="T13" s="191">
        <v>8550</v>
      </c>
      <c r="U13" s="191">
        <f>8550-2780</f>
        <v>5770</v>
      </c>
      <c r="V13" s="191">
        <v>8000</v>
      </c>
      <c r="W13" s="191">
        <v>8000</v>
      </c>
      <c r="X13" s="191">
        <f>570+5000</f>
        <v>5570</v>
      </c>
      <c r="Y13" s="191">
        <f>570+5000</f>
        <v>5570</v>
      </c>
      <c r="Z13" s="191"/>
      <c r="AA13" s="191"/>
      <c r="AB13" s="191">
        <f>26000+2600</f>
        <v>28600</v>
      </c>
      <c r="AC13" s="191">
        <f>26000+2600</f>
        <v>28600</v>
      </c>
      <c r="AD13" s="191">
        <f>300+960</f>
        <v>1260</v>
      </c>
      <c r="AE13" s="191">
        <f>300+960</f>
        <v>1260</v>
      </c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>
        <v>340746</v>
      </c>
      <c r="AQ13" s="191">
        <f>340746-196850-44656-4750-19500-4051-4051-4139-3950-9215-9642-29487</f>
        <v>10455</v>
      </c>
      <c r="AR13" s="191"/>
      <c r="AS13" s="191"/>
      <c r="AT13" s="191">
        <f>1200+276+72+384</f>
        <v>1932</v>
      </c>
      <c r="AU13" s="191">
        <f>1200+276+72+384-276-72+348</f>
        <v>1932</v>
      </c>
      <c r="AV13" s="191"/>
      <c r="AW13" s="191"/>
      <c r="AX13" s="191"/>
      <c r="AY13" s="191"/>
      <c r="AZ13" s="191"/>
      <c r="BA13" s="191"/>
    </row>
    <row r="14" spans="2:54" x14ac:dyDescent="0.25">
      <c r="B14" s="195" t="s">
        <v>54</v>
      </c>
      <c r="C14" s="190" t="s">
        <v>55</v>
      </c>
      <c r="D14" s="191">
        <f t="shared" si="4"/>
        <v>4020</v>
      </c>
      <c r="E14" s="192">
        <f t="shared" si="5"/>
        <v>43945</v>
      </c>
      <c r="F14" s="193">
        <f t="shared" si="6"/>
        <v>47965</v>
      </c>
      <c r="G14" s="191">
        <f t="shared" si="7"/>
        <v>14201</v>
      </c>
      <c r="H14" s="192">
        <f t="shared" si="8"/>
        <v>795</v>
      </c>
      <c r="I14" s="193">
        <f t="shared" si="9"/>
        <v>14996</v>
      </c>
      <c r="J14" s="191">
        <v>3620</v>
      </c>
      <c r="K14" s="191">
        <f>3620+10181</f>
        <v>13801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>
        <v>400</v>
      </c>
      <c r="AA14" s="191">
        <v>400</v>
      </c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>
        <v>43945</v>
      </c>
      <c r="AQ14" s="191">
        <f>43945-43150</f>
        <v>795</v>
      </c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2:54" x14ac:dyDescent="0.25">
      <c r="B15" s="195" t="s">
        <v>56</v>
      </c>
      <c r="C15" s="190" t="s">
        <v>57</v>
      </c>
      <c r="D15" s="191">
        <f t="shared" si="4"/>
        <v>77279</v>
      </c>
      <c r="E15" s="192">
        <f t="shared" si="5"/>
        <v>104175</v>
      </c>
      <c r="F15" s="193">
        <f t="shared" si="6"/>
        <v>181454</v>
      </c>
      <c r="G15" s="191">
        <f t="shared" si="7"/>
        <v>79081</v>
      </c>
      <c r="H15" s="192">
        <f t="shared" si="8"/>
        <v>4373</v>
      </c>
      <c r="I15" s="193">
        <f t="shared" si="9"/>
        <v>83454</v>
      </c>
      <c r="J15" s="191">
        <f>7685+7500+1700+264+2388+10000+3916</f>
        <v>33453</v>
      </c>
      <c r="K15" s="191">
        <f>7685+7500+1700+264+2388+10000+3916-3310+3462-1207+4040-2+38+144+100-1028+817</f>
        <v>36507</v>
      </c>
      <c r="L15" s="191">
        <f>1600+300</f>
        <v>1900</v>
      </c>
      <c r="M15" s="191">
        <f>1600+300</f>
        <v>1900</v>
      </c>
      <c r="N15" s="191">
        <v>1498</v>
      </c>
      <c r="O15" s="191">
        <f>1498-502</f>
        <v>996</v>
      </c>
      <c r="P15" s="191"/>
      <c r="Q15" s="191"/>
      <c r="R15" s="191">
        <v>4001</v>
      </c>
      <c r="S15" s="191">
        <v>4001</v>
      </c>
      <c r="T15" s="191">
        <v>2309</v>
      </c>
      <c r="U15" s="191">
        <f>2309-750</f>
        <v>1559</v>
      </c>
      <c r="V15" s="191">
        <v>2160</v>
      </c>
      <c r="W15" s="191">
        <v>2160</v>
      </c>
      <c r="X15" s="191">
        <v>1504</v>
      </c>
      <c r="Y15" s="191">
        <v>1504</v>
      </c>
      <c r="Z15" s="191">
        <f>16450+4550</f>
        <v>21000</v>
      </c>
      <c r="AA15" s="191">
        <f>16450+4550</f>
        <v>21000</v>
      </c>
      <c r="AB15" s="191">
        <v>7722</v>
      </c>
      <c r="AC15" s="191">
        <v>7722</v>
      </c>
      <c r="AD15" s="191">
        <f>460+205</f>
        <v>665</v>
      </c>
      <c r="AE15" s="191">
        <f>460+205</f>
        <v>665</v>
      </c>
      <c r="AF15" s="191">
        <f>500+135</f>
        <v>635</v>
      </c>
      <c r="AG15" s="191">
        <f>500+135</f>
        <v>635</v>
      </c>
      <c r="AH15" s="191">
        <f>340+92</f>
        <v>432</v>
      </c>
      <c r="AI15" s="191">
        <f>340+92</f>
        <v>432</v>
      </c>
      <c r="AJ15" s="191"/>
      <c r="AK15" s="191"/>
      <c r="AL15" s="191"/>
      <c r="AM15" s="191"/>
      <c r="AN15" s="191"/>
      <c r="AO15" s="191"/>
      <c r="AP15" s="191">
        <v>103653</v>
      </c>
      <c r="AQ15" s="191">
        <f>103653-53150-23707-1283-5265-1094-1094-1117-1067-2488-2603-7962+1028</f>
        <v>3851</v>
      </c>
      <c r="AR15" s="191"/>
      <c r="AS15" s="191"/>
      <c r="AT15" s="191">
        <v>522</v>
      </c>
      <c r="AU15" s="191">
        <v>522</v>
      </c>
      <c r="AV15" s="191"/>
      <c r="AW15" s="191"/>
      <c r="AX15" s="191"/>
      <c r="AY15" s="191"/>
      <c r="AZ15" s="191"/>
      <c r="BA15" s="191"/>
    </row>
    <row r="16" spans="2:54" s="196" customFormat="1" ht="12.75" x14ac:dyDescent="0.2">
      <c r="B16" s="200" t="s">
        <v>58</v>
      </c>
      <c r="C16" s="198" t="s">
        <v>59</v>
      </c>
      <c r="D16" s="199">
        <f t="shared" ref="D16:AI16" si="10">SUM(D11:D15)</f>
        <v>185290</v>
      </c>
      <c r="E16" s="199">
        <f t="shared" si="10"/>
        <v>490798</v>
      </c>
      <c r="F16" s="199">
        <f t="shared" si="10"/>
        <v>676088</v>
      </c>
      <c r="G16" s="199">
        <f t="shared" si="10"/>
        <v>176076</v>
      </c>
      <c r="H16" s="199">
        <f t="shared" si="10"/>
        <v>17555</v>
      </c>
      <c r="I16" s="199">
        <f t="shared" si="10"/>
        <v>193631</v>
      </c>
      <c r="J16" s="199">
        <f t="shared" si="10"/>
        <v>61916</v>
      </c>
      <c r="K16" s="199">
        <f t="shared" ref="K16" si="11">SUM(K11:K15)</f>
        <v>62282</v>
      </c>
      <c r="L16" s="199">
        <f t="shared" si="10"/>
        <v>8700</v>
      </c>
      <c r="M16" s="199">
        <f t="shared" si="10"/>
        <v>8700</v>
      </c>
      <c r="N16" s="199">
        <f t="shared" si="10"/>
        <v>7046</v>
      </c>
      <c r="O16" s="199">
        <f t="shared" si="10"/>
        <v>996</v>
      </c>
      <c r="P16" s="199">
        <f t="shared" si="10"/>
        <v>0</v>
      </c>
      <c r="Q16" s="199">
        <f t="shared" si="10"/>
        <v>0</v>
      </c>
      <c r="R16" s="199">
        <f t="shared" si="10"/>
        <v>18821</v>
      </c>
      <c r="S16" s="199">
        <f t="shared" si="10"/>
        <v>18821</v>
      </c>
      <c r="T16" s="199">
        <f t="shared" si="10"/>
        <v>10859</v>
      </c>
      <c r="U16" s="199">
        <f t="shared" si="10"/>
        <v>7329</v>
      </c>
      <c r="V16" s="199">
        <f t="shared" si="10"/>
        <v>10160</v>
      </c>
      <c r="W16" s="199">
        <f t="shared" si="10"/>
        <v>10160</v>
      </c>
      <c r="X16" s="199">
        <f t="shared" si="10"/>
        <v>7074</v>
      </c>
      <c r="Y16" s="199">
        <f t="shared" si="10"/>
        <v>7074</v>
      </c>
      <c r="Z16" s="199">
        <f t="shared" si="10"/>
        <v>21400</v>
      </c>
      <c r="AA16" s="199">
        <f t="shared" si="10"/>
        <v>21400</v>
      </c>
      <c r="AB16" s="199">
        <f t="shared" si="10"/>
        <v>36322</v>
      </c>
      <c r="AC16" s="199">
        <f t="shared" si="10"/>
        <v>36322</v>
      </c>
      <c r="AD16" s="199">
        <f t="shared" si="10"/>
        <v>1925</v>
      </c>
      <c r="AE16" s="199">
        <f t="shared" si="10"/>
        <v>1925</v>
      </c>
      <c r="AF16" s="199">
        <f t="shared" si="10"/>
        <v>635</v>
      </c>
      <c r="AG16" s="199">
        <f t="shared" si="10"/>
        <v>635</v>
      </c>
      <c r="AH16" s="199">
        <f t="shared" si="10"/>
        <v>432</v>
      </c>
      <c r="AI16" s="199">
        <f t="shared" si="10"/>
        <v>432</v>
      </c>
      <c r="AJ16" s="199">
        <f t="shared" ref="AJ16:BA16" si="12">SUM(AJ11:AJ15)</f>
        <v>0</v>
      </c>
      <c r="AK16" s="199">
        <f t="shared" si="12"/>
        <v>0</v>
      </c>
      <c r="AL16" s="199">
        <f t="shared" si="12"/>
        <v>0</v>
      </c>
      <c r="AM16" s="199">
        <f t="shared" si="12"/>
        <v>0</v>
      </c>
      <c r="AN16" s="199">
        <f t="shared" si="12"/>
        <v>0</v>
      </c>
      <c r="AO16" s="199">
        <f t="shared" si="12"/>
        <v>0</v>
      </c>
      <c r="AP16" s="199">
        <f t="shared" si="12"/>
        <v>488344</v>
      </c>
      <c r="AQ16" s="199">
        <f t="shared" si="12"/>
        <v>15101</v>
      </c>
      <c r="AR16" s="199">
        <f t="shared" si="12"/>
        <v>0</v>
      </c>
      <c r="AS16" s="199">
        <f t="shared" si="12"/>
        <v>0</v>
      </c>
      <c r="AT16" s="199">
        <f t="shared" si="12"/>
        <v>2454</v>
      </c>
      <c r="AU16" s="199">
        <f t="shared" si="12"/>
        <v>2454</v>
      </c>
      <c r="AV16" s="199">
        <f t="shared" si="12"/>
        <v>0</v>
      </c>
      <c r="AW16" s="199">
        <f t="shared" si="12"/>
        <v>0</v>
      </c>
      <c r="AX16" s="199">
        <f t="shared" si="12"/>
        <v>0</v>
      </c>
      <c r="AY16" s="199">
        <f t="shared" si="12"/>
        <v>0</v>
      </c>
      <c r="AZ16" s="199">
        <f t="shared" si="12"/>
        <v>0</v>
      </c>
      <c r="BA16" s="199">
        <f t="shared" si="12"/>
        <v>0</v>
      </c>
    </row>
    <row r="17" spans="2:53" s="196" customFormat="1" ht="12.75" x14ac:dyDescent="0.2">
      <c r="B17" s="205" t="s">
        <v>60</v>
      </c>
      <c r="C17" s="198" t="s">
        <v>61</v>
      </c>
      <c r="D17" s="201">
        <f t="shared" ref="D17:D31" si="13">+J17+L17+N17+P17+R17+T17+V17+X17+Z17+AB17+AD17+AF17+AH17+AJ17</f>
        <v>0</v>
      </c>
      <c r="E17" s="202">
        <f t="shared" ref="E17:E31" si="14">+AL17+AN17+AP17+AR17+AV17+AX17+AZ17+AT17</f>
        <v>0</v>
      </c>
      <c r="F17" s="199">
        <f t="shared" ref="F17:F31" si="15">+D17+E17</f>
        <v>0</v>
      </c>
      <c r="G17" s="203">
        <f t="shared" ref="G17:G31" si="16">+K17+M17+O17+Q17+S17+U17+W17+Y17+AA17+AC17+AE17+AG17+AI17+AK17</f>
        <v>0</v>
      </c>
      <c r="H17" s="204">
        <f t="shared" ref="H17:H31" si="17">+BA17+AY17+AW17+AU17+AS17+AQ17+AO17+AM17</f>
        <v>0</v>
      </c>
      <c r="I17" s="199">
        <f t="shared" ref="I17:I31" si="18">+G17+H17</f>
        <v>0</v>
      </c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</row>
    <row r="18" spans="2:53" hidden="1" x14ac:dyDescent="0.25">
      <c r="B18" s="206" t="s">
        <v>62</v>
      </c>
      <c r="C18" s="190" t="s">
        <v>63</v>
      </c>
      <c r="D18" s="191">
        <f t="shared" si="13"/>
        <v>0</v>
      </c>
      <c r="E18" s="192">
        <f t="shared" si="14"/>
        <v>0</v>
      </c>
      <c r="F18" s="193">
        <f t="shared" si="15"/>
        <v>0</v>
      </c>
      <c r="G18" s="191">
        <f t="shared" si="16"/>
        <v>0</v>
      </c>
      <c r="H18" s="192">
        <f t="shared" si="17"/>
        <v>0</v>
      </c>
      <c r="I18" s="193">
        <f t="shared" si="18"/>
        <v>0</v>
      </c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</row>
    <row r="19" spans="2:53" x14ac:dyDescent="0.25">
      <c r="B19" s="206" t="s">
        <v>64</v>
      </c>
      <c r="C19" s="190" t="s">
        <v>65</v>
      </c>
      <c r="D19" s="191">
        <f t="shared" si="13"/>
        <v>65048</v>
      </c>
      <c r="E19" s="192">
        <f t="shared" si="14"/>
        <v>0</v>
      </c>
      <c r="F19" s="193">
        <f t="shared" si="15"/>
        <v>65048</v>
      </c>
      <c r="G19" s="191">
        <f t="shared" si="16"/>
        <v>12243</v>
      </c>
      <c r="H19" s="192">
        <f t="shared" si="17"/>
        <v>0</v>
      </c>
      <c r="I19" s="193">
        <f t="shared" si="18"/>
        <v>12243</v>
      </c>
      <c r="J19" s="191">
        <f>11500+76+31+500+52941</f>
        <v>65048</v>
      </c>
      <c r="K19" s="191">
        <v>12243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</row>
    <row r="20" spans="2:53" hidden="1" x14ac:dyDescent="0.25">
      <c r="B20" s="206" t="s">
        <v>638</v>
      </c>
      <c r="C20" s="190" t="s">
        <v>67</v>
      </c>
      <c r="D20" s="191">
        <f t="shared" si="13"/>
        <v>0</v>
      </c>
      <c r="E20" s="192">
        <f t="shared" si="14"/>
        <v>0</v>
      </c>
      <c r="F20" s="193">
        <f t="shared" si="15"/>
        <v>0</v>
      </c>
      <c r="G20" s="191">
        <f t="shared" si="16"/>
        <v>0</v>
      </c>
      <c r="H20" s="192">
        <f t="shared" si="17"/>
        <v>0</v>
      </c>
      <c r="I20" s="193">
        <f t="shared" si="18"/>
        <v>0</v>
      </c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</row>
    <row r="21" spans="2:53" hidden="1" x14ac:dyDescent="0.25">
      <c r="B21" s="206" t="s">
        <v>639</v>
      </c>
      <c r="C21" s="190" t="s">
        <v>69</v>
      </c>
      <c r="D21" s="191">
        <f t="shared" si="13"/>
        <v>0</v>
      </c>
      <c r="E21" s="192">
        <f t="shared" si="14"/>
        <v>0</v>
      </c>
      <c r="F21" s="193">
        <f t="shared" si="15"/>
        <v>0</v>
      </c>
      <c r="G21" s="191">
        <f t="shared" si="16"/>
        <v>0</v>
      </c>
      <c r="H21" s="192">
        <f t="shared" si="17"/>
        <v>0</v>
      </c>
      <c r="I21" s="193">
        <f t="shared" si="18"/>
        <v>0</v>
      </c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</row>
    <row r="22" spans="2:53" hidden="1" x14ac:dyDescent="0.25">
      <c r="B22" s="206" t="s">
        <v>640</v>
      </c>
      <c r="C22" s="190" t="s">
        <v>71</v>
      </c>
      <c r="D22" s="191">
        <f t="shared" si="13"/>
        <v>0</v>
      </c>
      <c r="E22" s="192">
        <f t="shared" si="14"/>
        <v>0</v>
      </c>
      <c r="F22" s="193">
        <f t="shared" si="15"/>
        <v>0</v>
      </c>
      <c r="G22" s="191">
        <f t="shared" si="16"/>
        <v>0</v>
      </c>
      <c r="H22" s="192">
        <f t="shared" si="17"/>
        <v>0</v>
      </c>
      <c r="I22" s="193">
        <f t="shared" si="18"/>
        <v>0</v>
      </c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2:53" x14ac:dyDescent="0.25">
      <c r="B23" s="206" t="s">
        <v>72</v>
      </c>
      <c r="C23" s="190" t="s">
        <v>73</v>
      </c>
      <c r="D23" s="191">
        <f t="shared" si="13"/>
        <v>0</v>
      </c>
      <c r="E23" s="192">
        <f t="shared" si="14"/>
        <v>2000</v>
      </c>
      <c r="F23" s="193">
        <f t="shared" si="15"/>
        <v>2000</v>
      </c>
      <c r="G23" s="191">
        <f t="shared" si="16"/>
        <v>15666</v>
      </c>
      <c r="H23" s="192">
        <f t="shared" si="17"/>
        <v>2000</v>
      </c>
      <c r="I23" s="193">
        <f t="shared" si="18"/>
        <v>17666</v>
      </c>
      <c r="J23" s="191">
        <v>0</v>
      </c>
      <c r="K23" s="191">
        <f>14261+1405</f>
        <v>15666</v>
      </c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>
        <v>2000</v>
      </c>
      <c r="AW23" s="191">
        <v>2000</v>
      </c>
      <c r="AX23" s="191"/>
      <c r="AY23" s="191"/>
      <c r="AZ23" s="191"/>
      <c r="BA23" s="191"/>
    </row>
    <row r="24" spans="2:53" hidden="1" x14ac:dyDescent="0.25">
      <c r="B24" s="206" t="s">
        <v>641</v>
      </c>
      <c r="C24" s="190" t="s">
        <v>75</v>
      </c>
      <c r="D24" s="191">
        <f t="shared" si="13"/>
        <v>0</v>
      </c>
      <c r="E24" s="192">
        <f t="shared" si="14"/>
        <v>0</v>
      </c>
      <c r="F24" s="193">
        <f t="shared" si="15"/>
        <v>0</v>
      </c>
      <c r="G24" s="191">
        <f t="shared" si="16"/>
        <v>0</v>
      </c>
      <c r="H24" s="192">
        <f t="shared" si="17"/>
        <v>0</v>
      </c>
      <c r="I24" s="193">
        <f t="shared" si="18"/>
        <v>0</v>
      </c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2:53" ht="26.25" customHeight="1" x14ac:dyDescent="0.25">
      <c r="B25" s="206" t="s">
        <v>642</v>
      </c>
      <c r="C25" s="190" t="s">
        <v>77</v>
      </c>
      <c r="D25" s="191">
        <f t="shared" si="13"/>
        <v>0</v>
      </c>
      <c r="E25" s="192">
        <f t="shared" si="14"/>
        <v>0</v>
      </c>
      <c r="F25" s="193">
        <f t="shared" si="15"/>
        <v>0</v>
      </c>
      <c r="G25" s="191">
        <f t="shared" si="16"/>
        <v>4500</v>
      </c>
      <c r="H25" s="192">
        <f t="shared" si="17"/>
        <v>0</v>
      </c>
      <c r="I25" s="193">
        <f t="shared" si="18"/>
        <v>4500</v>
      </c>
      <c r="J25" s="191"/>
      <c r="K25" s="191">
        <v>4500</v>
      </c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6" spans="2:53" hidden="1" x14ac:dyDescent="0.25">
      <c r="B26" s="206" t="s">
        <v>78</v>
      </c>
      <c r="C26" s="190" t="s">
        <v>79</v>
      </c>
      <c r="D26" s="191">
        <f t="shared" si="13"/>
        <v>0</v>
      </c>
      <c r="E26" s="192">
        <f t="shared" si="14"/>
        <v>0</v>
      </c>
      <c r="F26" s="193">
        <f t="shared" si="15"/>
        <v>0</v>
      </c>
      <c r="G26" s="191">
        <f t="shared" si="16"/>
        <v>0</v>
      </c>
      <c r="H26" s="192">
        <f t="shared" si="17"/>
        <v>0</v>
      </c>
      <c r="I26" s="193">
        <f t="shared" si="18"/>
        <v>0</v>
      </c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</row>
    <row r="27" spans="2:53" hidden="1" x14ac:dyDescent="0.25">
      <c r="B27" s="207" t="s">
        <v>80</v>
      </c>
      <c r="C27" s="190" t="s">
        <v>81</v>
      </c>
      <c r="D27" s="191">
        <f t="shared" si="13"/>
        <v>0</v>
      </c>
      <c r="E27" s="192">
        <f t="shared" si="14"/>
        <v>0</v>
      </c>
      <c r="F27" s="193">
        <f t="shared" si="15"/>
        <v>0</v>
      </c>
      <c r="G27" s="191">
        <f t="shared" si="16"/>
        <v>0</v>
      </c>
      <c r="H27" s="192">
        <f t="shared" si="17"/>
        <v>0</v>
      </c>
      <c r="I27" s="193">
        <f t="shared" si="18"/>
        <v>0</v>
      </c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</row>
    <row r="28" spans="2:53" hidden="1" x14ac:dyDescent="0.25">
      <c r="B28" s="206" t="s">
        <v>82</v>
      </c>
      <c r="C28" s="190" t="s">
        <v>83</v>
      </c>
      <c r="D28" s="191">
        <f t="shared" si="13"/>
        <v>0</v>
      </c>
      <c r="E28" s="192">
        <f t="shared" si="14"/>
        <v>0</v>
      </c>
      <c r="F28" s="193">
        <f t="shared" si="15"/>
        <v>0</v>
      </c>
      <c r="G28" s="191">
        <f t="shared" si="16"/>
        <v>0</v>
      </c>
      <c r="H28" s="192">
        <f t="shared" si="17"/>
        <v>0</v>
      </c>
      <c r="I28" s="193">
        <f t="shared" si="18"/>
        <v>0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</row>
    <row r="29" spans="2:53" x14ac:dyDescent="0.25">
      <c r="B29" s="206" t="s">
        <v>84</v>
      </c>
      <c r="C29" s="190" t="s">
        <v>85</v>
      </c>
      <c r="D29" s="191">
        <f t="shared" si="13"/>
        <v>16730</v>
      </c>
      <c r="E29" s="192">
        <f t="shared" si="14"/>
        <v>29150</v>
      </c>
      <c r="F29" s="193">
        <f t="shared" si="15"/>
        <v>45880</v>
      </c>
      <c r="G29" s="191">
        <f t="shared" si="16"/>
        <v>60246</v>
      </c>
      <c r="H29" s="192">
        <f t="shared" si="17"/>
        <v>29400</v>
      </c>
      <c r="I29" s="193">
        <f t="shared" si="18"/>
        <v>89646</v>
      </c>
      <c r="J29" s="191">
        <v>14580</v>
      </c>
      <c r="K29" s="191">
        <f>14580+50+580+42885+1</f>
        <v>58096</v>
      </c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>
        <f>2000+150</f>
        <v>2150</v>
      </c>
      <c r="AK29" s="191">
        <f>2000+150</f>
        <v>2150</v>
      </c>
      <c r="AL29" s="191">
        <v>12000</v>
      </c>
      <c r="AM29" s="191">
        <v>12000</v>
      </c>
      <c r="AN29" s="191">
        <v>0</v>
      </c>
      <c r="AO29" s="191">
        <v>0</v>
      </c>
      <c r="AP29" s="191"/>
      <c r="AQ29" s="191"/>
      <c r="AR29" s="191">
        <v>12400</v>
      </c>
      <c r="AS29" s="191">
        <v>12400</v>
      </c>
      <c r="AT29" s="191"/>
      <c r="AU29" s="191"/>
      <c r="AV29" s="191"/>
      <c r="AW29" s="191"/>
      <c r="AX29" s="191">
        <f>1000+1500+1800</f>
        <v>4300</v>
      </c>
      <c r="AY29" s="191">
        <f>1000+1500+1800+100+20+130</f>
        <v>4550</v>
      </c>
      <c r="AZ29" s="191">
        <f>100+250+100</f>
        <v>450</v>
      </c>
      <c r="BA29" s="191">
        <f>100+250+100</f>
        <v>450</v>
      </c>
    </row>
    <row r="30" spans="2:53" hidden="1" x14ac:dyDescent="0.25">
      <c r="B30" s="207" t="s">
        <v>86</v>
      </c>
      <c r="C30" s="190" t="s">
        <v>87</v>
      </c>
      <c r="D30" s="191">
        <f t="shared" si="13"/>
        <v>0</v>
      </c>
      <c r="E30" s="192">
        <f t="shared" si="14"/>
        <v>0</v>
      </c>
      <c r="F30" s="193">
        <f t="shared" si="15"/>
        <v>0</v>
      </c>
      <c r="G30" s="191">
        <f t="shared" si="16"/>
        <v>0</v>
      </c>
      <c r="H30" s="192">
        <f t="shared" si="17"/>
        <v>0</v>
      </c>
      <c r="I30" s="193">
        <f t="shared" si="18"/>
        <v>0</v>
      </c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</row>
    <row r="31" spans="2:53" hidden="1" x14ac:dyDescent="0.25">
      <c r="B31" s="207" t="s">
        <v>88</v>
      </c>
      <c r="C31" s="190" t="s">
        <v>87</v>
      </c>
      <c r="D31" s="191">
        <f t="shared" si="13"/>
        <v>0</v>
      </c>
      <c r="E31" s="192">
        <f t="shared" si="14"/>
        <v>0</v>
      </c>
      <c r="F31" s="193">
        <f t="shared" si="15"/>
        <v>0</v>
      </c>
      <c r="G31" s="191">
        <f t="shared" si="16"/>
        <v>0</v>
      </c>
      <c r="H31" s="192">
        <f t="shared" si="17"/>
        <v>0</v>
      </c>
      <c r="I31" s="193">
        <f t="shared" si="18"/>
        <v>0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</row>
    <row r="32" spans="2:53" s="196" customFormat="1" ht="15" customHeight="1" x14ac:dyDescent="0.2">
      <c r="B32" s="205" t="s">
        <v>89</v>
      </c>
      <c r="C32" s="198" t="s">
        <v>90</v>
      </c>
      <c r="D32" s="199">
        <f t="shared" ref="D32:AI32" si="19">SUM(D18:D31)</f>
        <v>81778</v>
      </c>
      <c r="E32" s="199">
        <f t="shared" si="19"/>
        <v>31150</v>
      </c>
      <c r="F32" s="199">
        <f t="shared" si="19"/>
        <v>112928</v>
      </c>
      <c r="G32" s="199">
        <f t="shared" si="19"/>
        <v>92655</v>
      </c>
      <c r="H32" s="199">
        <f t="shared" si="19"/>
        <v>31400</v>
      </c>
      <c r="I32" s="199">
        <f t="shared" si="19"/>
        <v>124055</v>
      </c>
      <c r="J32" s="199">
        <f t="shared" si="19"/>
        <v>79628</v>
      </c>
      <c r="K32" s="199">
        <f t="shared" si="19"/>
        <v>90505</v>
      </c>
      <c r="L32" s="199">
        <f t="shared" si="19"/>
        <v>0</v>
      </c>
      <c r="M32" s="199">
        <f t="shared" si="19"/>
        <v>0</v>
      </c>
      <c r="N32" s="199">
        <f t="shared" si="19"/>
        <v>0</v>
      </c>
      <c r="O32" s="199">
        <f t="shared" si="19"/>
        <v>0</v>
      </c>
      <c r="P32" s="199">
        <f t="shared" si="19"/>
        <v>0</v>
      </c>
      <c r="Q32" s="199">
        <f t="shared" si="19"/>
        <v>0</v>
      </c>
      <c r="R32" s="199">
        <f t="shared" si="19"/>
        <v>0</v>
      </c>
      <c r="S32" s="199">
        <f t="shared" si="19"/>
        <v>0</v>
      </c>
      <c r="T32" s="199">
        <f t="shared" si="19"/>
        <v>0</v>
      </c>
      <c r="U32" s="199">
        <f t="shared" si="19"/>
        <v>0</v>
      </c>
      <c r="V32" s="199">
        <f t="shared" si="19"/>
        <v>0</v>
      </c>
      <c r="W32" s="199">
        <f t="shared" si="19"/>
        <v>0</v>
      </c>
      <c r="X32" s="199">
        <f t="shared" si="19"/>
        <v>0</v>
      </c>
      <c r="Y32" s="199">
        <f t="shared" si="19"/>
        <v>0</v>
      </c>
      <c r="Z32" s="199">
        <f t="shared" si="19"/>
        <v>0</v>
      </c>
      <c r="AA32" s="199">
        <f t="shared" si="19"/>
        <v>0</v>
      </c>
      <c r="AB32" s="199">
        <f t="shared" si="19"/>
        <v>0</v>
      </c>
      <c r="AC32" s="199">
        <f t="shared" si="19"/>
        <v>0</v>
      </c>
      <c r="AD32" s="199">
        <f t="shared" si="19"/>
        <v>0</v>
      </c>
      <c r="AE32" s="199">
        <f t="shared" si="19"/>
        <v>0</v>
      </c>
      <c r="AF32" s="199">
        <f t="shared" si="19"/>
        <v>0</v>
      </c>
      <c r="AG32" s="199">
        <f t="shared" si="19"/>
        <v>0</v>
      </c>
      <c r="AH32" s="199">
        <f t="shared" si="19"/>
        <v>0</v>
      </c>
      <c r="AI32" s="199">
        <f t="shared" si="19"/>
        <v>0</v>
      </c>
      <c r="AJ32" s="199">
        <f t="shared" ref="AJ32:BA32" si="20">SUM(AJ18:AJ31)</f>
        <v>2150</v>
      </c>
      <c r="AK32" s="199">
        <f t="shared" si="20"/>
        <v>2150</v>
      </c>
      <c r="AL32" s="199">
        <f t="shared" si="20"/>
        <v>12000</v>
      </c>
      <c r="AM32" s="199">
        <f t="shared" si="20"/>
        <v>12000</v>
      </c>
      <c r="AN32" s="199">
        <f t="shared" si="20"/>
        <v>0</v>
      </c>
      <c r="AO32" s="199">
        <f t="shared" si="20"/>
        <v>0</v>
      </c>
      <c r="AP32" s="199">
        <f t="shared" si="20"/>
        <v>0</v>
      </c>
      <c r="AQ32" s="199">
        <f t="shared" si="20"/>
        <v>0</v>
      </c>
      <c r="AR32" s="199">
        <f t="shared" si="20"/>
        <v>12400</v>
      </c>
      <c r="AS32" s="199">
        <f t="shared" si="20"/>
        <v>12400</v>
      </c>
      <c r="AT32" s="199">
        <f t="shared" si="20"/>
        <v>0</v>
      </c>
      <c r="AU32" s="199">
        <f t="shared" si="20"/>
        <v>0</v>
      </c>
      <c r="AV32" s="199">
        <f t="shared" si="20"/>
        <v>2000</v>
      </c>
      <c r="AW32" s="199">
        <f t="shared" si="20"/>
        <v>2000</v>
      </c>
      <c r="AX32" s="199">
        <f t="shared" si="20"/>
        <v>4300</v>
      </c>
      <c r="AY32" s="199">
        <f t="shared" si="20"/>
        <v>4550</v>
      </c>
      <c r="AZ32" s="199">
        <f t="shared" si="20"/>
        <v>450</v>
      </c>
      <c r="BA32" s="199">
        <f t="shared" si="20"/>
        <v>450</v>
      </c>
    </row>
    <row r="33" spans="2:53" x14ac:dyDescent="0.25">
      <c r="B33" s="208" t="s">
        <v>91</v>
      </c>
      <c r="C33" s="209" t="s">
        <v>92</v>
      </c>
      <c r="D33" s="210">
        <f t="shared" ref="D33:AI33" si="21">+D32+D17+D16+D10+D9</f>
        <v>300158</v>
      </c>
      <c r="E33" s="210">
        <f t="shared" si="21"/>
        <v>972422</v>
      </c>
      <c r="F33" s="210">
        <f t="shared" si="21"/>
        <v>1272580</v>
      </c>
      <c r="G33" s="210">
        <f t="shared" si="21"/>
        <v>303291</v>
      </c>
      <c r="H33" s="210">
        <f t="shared" si="21"/>
        <v>59309</v>
      </c>
      <c r="I33" s="210">
        <f t="shared" si="21"/>
        <v>362600</v>
      </c>
      <c r="J33" s="210">
        <f t="shared" si="21"/>
        <v>174634</v>
      </c>
      <c r="K33" s="210">
        <f t="shared" si="21"/>
        <v>187347</v>
      </c>
      <c r="L33" s="210">
        <f t="shared" si="21"/>
        <v>8700</v>
      </c>
      <c r="M33" s="210">
        <f t="shared" si="21"/>
        <v>8700</v>
      </c>
      <c r="N33" s="210">
        <f t="shared" si="21"/>
        <v>7046</v>
      </c>
      <c r="O33" s="210">
        <f t="shared" si="21"/>
        <v>996</v>
      </c>
      <c r="P33" s="210">
        <f t="shared" si="21"/>
        <v>0</v>
      </c>
      <c r="Q33" s="210">
        <f t="shared" si="21"/>
        <v>0</v>
      </c>
      <c r="R33" s="210">
        <f t="shared" si="21"/>
        <v>18821</v>
      </c>
      <c r="S33" s="210">
        <f t="shared" si="21"/>
        <v>18821</v>
      </c>
      <c r="T33" s="210">
        <f t="shared" si="21"/>
        <v>10859</v>
      </c>
      <c r="U33" s="210">
        <f t="shared" si="21"/>
        <v>7329</v>
      </c>
      <c r="V33" s="210">
        <f t="shared" si="21"/>
        <v>10160</v>
      </c>
      <c r="W33" s="210">
        <f t="shared" si="21"/>
        <v>10160</v>
      </c>
      <c r="X33" s="210">
        <f t="shared" si="21"/>
        <v>7074</v>
      </c>
      <c r="Y33" s="210">
        <f t="shared" si="21"/>
        <v>7074</v>
      </c>
      <c r="Z33" s="210">
        <f t="shared" si="21"/>
        <v>21400</v>
      </c>
      <c r="AA33" s="210">
        <f t="shared" si="21"/>
        <v>21400</v>
      </c>
      <c r="AB33" s="210">
        <f t="shared" si="21"/>
        <v>36322</v>
      </c>
      <c r="AC33" s="210">
        <f t="shared" si="21"/>
        <v>36322</v>
      </c>
      <c r="AD33" s="210">
        <f t="shared" si="21"/>
        <v>1925</v>
      </c>
      <c r="AE33" s="210">
        <f t="shared" si="21"/>
        <v>1925</v>
      </c>
      <c r="AF33" s="210">
        <f t="shared" si="21"/>
        <v>635</v>
      </c>
      <c r="AG33" s="210">
        <f t="shared" si="21"/>
        <v>635</v>
      </c>
      <c r="AH33" s="210">
        <f t="shared" si="21"/>
        <v>432</v>
      </c>
      <c r="AI33" s="210">
        <f t="shared" si="21"/>
        <v>432</v>
      </c>
      <c r="AJ33" s="210">
        <f t="shared" ref="AJ33:BA33" si="22">+AJ32+AJ17+AJ16+AJ10+AJ9</f>
        <v>2150</v>
      </c>
      <c r="AK33" s="210">
        <f t="shared" si="22"/>
        <v>2150</v>
      </c>
      <c r="AL33" s="210">
        <f t="shared" si="22"/>
        <v>12000</v>
      </c>
      <c r="AM33" s="210">
        <f t="shared" si="22"/>
        <v>12000</v>
      </c>
      <c r="AN33" s="210">
        <f t="shared" si="22"/>
        <v>0</v>
      </c>
      <c r="AO33" s="210">
        <f t="shared" si="22"/>
        <v>0</v>
      </c>
      <c r="AP33" s="210">
        <f t="shared" si="22"/>
        <v>938818</v>
      </c>
      <c r="AQ33" s="210">
        <f t="shared" si="22"/>
        <v>25455</v>
      </c>
      <c r="AR33" s="210">
        <f t="shared" si="22"/>
        <v>12400</v>
      </c>
      <c r="AS33" s="210">
        <f t="shared" si="22"/>
        <v>12400</v>
      </c>
      <c r="AT33" s="210">
        <f t="shared" si="22"/>
        <v>2454</v>
      </c>
      <c r="AU33" s="210">
        <f t="shared" si="22"/>
        <v>2454</v>
      </c>
      <c r="AV33" s="210">
        <f t="shared" si="22"/>
        <v>2000</v>
      </c>
      <c r="AW33" s="210">
        <f t="shared" si="22"/>
        <v>2000</v>
      </c>
      <c r="AX33" s="210">
        <f t="shared" si="22"/>
        <v>4300</v>
      </c>
      <c r="AY33" s="210">
        <f t="shared" si="22"/>
        <v>4550</v>
      </c>
      <c r="AZ33" s="210">
        <f t="shared" si="22"/>
        <v>450</v>
      </c>
      <c r="BA33" s="210">
        <f t="shared" si="22"/>
        <v>450</v>
      </c>
    </row>
    <row r="34" spans="2:53" x14ac:dyDescent="0.25">
      <c r="B34" s="211" t="s">
        <v>93</v>
      </c>
      <c r="C34" s="190" t="s">
        <v>94</v>
      </c>
      <c r="D34" s="191">
        <f t="shared" ref="D34:D40" si="23">+J34+L34+N34+P34+R34+T34+V34+X34+Z34+AB34+AD34+AF34+AH34+AJ34</f>
        <v>0</v>
      </c>
      <c r="E34" s="192">
        <f t="shared" ref="E34:E40" si="24">+AL34+AN34+AP34+AR34+AV34+AX34+AZ34+AT34</f>
        <v>0</v>
      </c>
      <c r="F34" s="193">
        <f t="shared" ref="F34:F40" si="25">+D34+E34</f>
        <v>0</v>
      </c>
      <c r="G34" s="191">
        <f t="shared" ref="G34:G40" si="26">+K34+M34+O34+Q34+S34+U34+W34+Y34+AA34+AC34+AE34+AG34+AI34+AK34</f>
        <v>0</v>
      </c>
      <c r="H34" s="192">
        <f t="shared" ref="H34:H40" si="27">+BA34+AY34+AW34+AU34+AS34+AQ34+AO34+AM34</f>
        <v>0</v>
      </c>
      <c r="I34" s="193">
        <f t="shared" ref="I34:I40" si="28">+G34+H34</f>
        <v>0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</row>
    <row r="35" spans="2:53" hidden="1" x14ac:dyDescent="0.25">
      <c r="B35" s="211" t="s">
        <v>95</v>
      </c>
      <c r="C35" s="190" t="s">
        <v>96</v>
      </c>
      <c r="D35" s="191">
        <f t="shared" si="23"/>
        <v>0</v>
      </c>
      <c r="E35" s="192">
        <f t="shared" si="24"/>
        <v>0</v>
      </c>
      <c r="F35" s="193">
        <f t="shared" si="25"/>
        <v>0</v>
      </c>
      <c r="G35" s="191">
        <f t="shared" si="26"/>
        <v>0</v>
      </c>
      <c r="H35" s="192">
        <f t="shared" si="27"/>
        <v>0</v>
      </c>
      <c r="I35" s="193">
        <f t="shared" si="28"/>
        <v>0</v>
      </c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>
        <v>0</v>
      </c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</row>
    <row r="36" spans="2:53" x14ac:dyDescent="0.25">
      <c r="B36" s="211" t="s">
        <v>97</v>
      </c>
      <c r="C36" s="190" t="s">
        <v>98</v>
      </c>
      <c r="D36" s="191">
        <f t="shared" si="23"/>
        <v>0</v>
      </c>
      <c r="E36" s="192">
        <f t="shared" si="24"/>
        <v>0</v>
      </c>
      <c r="F36" s="193">
        <f t="shared" si="25"/>
        <v>0</v>
      </c>
      <c r="G36" s="191">
        <f t="shared" si="26"/>
        <v>409</v>
      </c>
      <c r="H36" s="192">
        <f t="shared" si="27"/>
        <v>0</v>
      </c>
      <c r="I36" s="193">
        <f t="shared" si="28"/>
        <v>409</v>
      </c>
      <c r="J36" s="191"/>
      <c r="K36" s="191">
        <v>0</v>
      </c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>
        <v>409</v>
      </c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</row>
    <row r="37" spans="2:53" x14ac:dyDescent="0.25">
      <c r="B37" s="211" t="s">
        <v>99</v>
      </c>
      <c r="C37" s="190" t="s">
        <v>100</v>
      </c>
      <c r="D37" s="191">
        <f t="shared" si="23"/>
        <v>0</v>
      </c>
      <c r="E37" s="192">
        <f t="shared" si="24"/>
        <v>0</v>
      </c>
      <c r="F37" s="193">
        <f t="shared" si="25"/>
        <v>0</v>
      </c>
      <c r="G37" s="191">
        <f t="shared" si="26"/>
        <v>2560</v>
      </c>
      <c r="H37" s="192">
        <f t="shared" si="27"/>
        <v>0</v>
      </c>
      <c r="I37" s="193">
        <f t="shared" si="28"/>
        <v>2560</v>
      </c>
      <c r="J37" s="191"/>
      <c r="K37" s="191">
        <v>100</v>
      </c>
      <c r="L37" s="191"/>
      <c r="M37" s="191">
        <v>600</v>
      </c>
      <c r="N37" s="191"/>
      <c r="O37" s="191">
        <v>1860</v>
      </c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</row>
    <row r="38" spans="2:53" hidden="1" x14ac:dyDescent="0.25">
      <c r="B38" s="212" t="s">
        <v>101</v>
      </c>
      <c r="C38" s="190" t="s">
        <v>102</v>
      </c>
      <c r="D38" s="191">
        <f t="shared" si="23"/>
        <v>0</v>
      </c>
      <c r="E38" s="192">
        <f t="shared" si="24"/>
        <v>0</v>
      </c>
      <c r="F38" s="193">
        <f t="shared" si="25"/>
        <v>0</v>
      </c>
      <c r="G38" s="191">
        <f t="shared" si="26"/>
        <v>0</v>
      </c>
      <c r="H38" s="192">
        <f t="shared" si="27"/>
        <v>0</v>
      </c>
      <c r="I38" s="193">
        <f t="shared" si="28"/>
        <v>0</v>
      </c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</row>
    <row r="39" spans="2:53" hidden="1" x14ac:dyDescent="0.25">
      <c r="B39" s="212" t="s">
        <v>103</v>
      </c>
      <c r="C39" s="190" t="s">
        <v>104</v>
      </c>
      <c r="D39" s="191">
        <f t="shared" si="23"/>
        <v>0</v>
      </c>
      <c r="E39" s="192">
        <f t="shared" si="24"/>
        <v>0</v>
      </c>
      <c r="F39" s="193">
        <f t="shared" si="25"/>
        <v>0</v>
      </c>
      <c r="G39" s="191">
        <f t="shared" si="26"/>
        <v>0</v>
      </c>
      <c r="H39" s="192">
        <f t="shared" si="27"/>
        <v>0</v>
      </c>
      <c r="I39" s="193">
        <f t="shared" si="28"/>
        <v>0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</row>
    <row r="40" spans="2:53" x14ac:dyDescent="0.25">
      <c r="B40" s="212" t="s">
        <v>105</v>
      </c>
      <c r="C40" s="190" t="s">
        <v>106</v>
      </c>
      <c r="D40" s="191">
        <f t="shared" si="23"/>
        <v>0</v>
      </c>
      <c r="E40" s="192">
        <f t="shared" si="24"/>
        <v>0</v>
      </c>
      <c r="F40" s="193">
        <f t="shared" si="25"/>
        <v>0</v>
      </c>
      <c r="G40" s="191">
        <f t="shared" si="26"/>
        <v>502</v>
      </c>
      <c r="H40" s="192">
        <f t="shared" si="27"/>
        <v>0</v>
      </c>
      <c r="I40" s="193">
        <f t="shared" si="28"/>
        <v>502</v>
      </c>
      <c r="J40" s="191"/>
      <c r="K40" s="191"/>
      <c r="L40" s="191"/>
      <c r="M40" s="191"/>
      <c r="N40" s="191"/>
      <c r="O40" s="191">
        <v>502</v>
      </c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</row>
    <row r="41" spans="2:53" s="196" customFormat="1" ht="12.75" x14ac:dyDescent="0.2">
      <c r="B41" s="213" t="s">
        <v>107</v>
      </c>
      <c r="C41" s="198" t="s">
        <v>108</v>
      </c>
      <c r="D41" s="199">
        <f t="shared" ref="D41:AI41" si="29">SUM(D34:D40)</f>
        <v>0</v>
      </c>
      <c r="E41" s="199">
        <f t="shared" si="29"/>
        <v>0</v>
      </c>
      <c r="F41" s="199">
        <f t="shared" si="29"/>
        <v>0</v>
      </c>
      <c r="G41" s="199">
        <f t="shared" si="29"/>
        <v>3471</v>
      </c>
      <c r="H41" s="199">
        <f t="shared" si="29"/>
        <v>0</v>
      </c>
      <c r="I41" s="199">
        <f t="shared" si="29"/>
        <v>3471</v>
      </c>
      <c r="J41" s="199">
        <f t="shared" si="29"/>
        <v>0</v>
      </c>
      <c r="K41" s="199">
        <f t="shared" si="29"/>
        <v>100</v>
      </c>
      <c r="L41" s="199">
        <f t="shared" si="29"/>
        <v>0</v>
      </c>
      <c r="M41" s="199">
        <f t="shared" si="29"/>
        <v>600</v>
      </c>
      <c r="N41" s="199">
        <f t="shared" si="29"/>
        <v>0</v>
      </c>
      <c r="O41" s="199">
        <f t="shared" si="29"/>
        <v>2362</v>
      </c>
      <c r="P41" s="199">
        <f t="shared" si="29"/>
        <v>0</v>
      </c>
      <c r="Q41" s="199">
        <f t="shared" si="29"/>
        <v>0</v>
      </c>
      <c r="R41" s="199">
        <f t="shared" si="29"/>
        <v>0</v>
      </c>
      <c r="S41" s="199">
        <f t="shared" si="29"/>
        <v>0</v>
      </c>
      <c r="T41" s="199">
        <f t="shared" si="29"/>
        <v>0</v>
      </c>
      <c r="U41" s="199">
        <f t="shared" si="29"/>
        <v>0</v>
      </c>
      <c r="V41" s="199">
        <f t="shared" si="29"/>
        <v>0</v>
      </c>
      <c r="W41" s="199">
        <f t="shared" si="29"/>
        <v>0</v>
      </c>
      <c r="X41" s="199">
        <f t="shared" si="29"/>
        <v>0</v>
      </c>
      <c r="Y41" s="199">
        <f t="shared" si="29"/>
        <v>409</v>
      </c>
      <c r="Z41" s="199">
        <f t="shared" si="29"/>
        <v>0</v>
      </c>
      <c r="AA41" s="199">
        <f t="shared" si="29"/>
        <v>0</v>
      </c>
      <c r="AB41" s="199">
        <f t="shared" si="29"/>
        <v>0</v>
      </c>
      <c r="AC41" s="199">
        <f t="shared" si="29"/>
        <v>0</v>
      </c>
      <c r="AD41" s="199">
        <f t="shared" si="29"/>
        <v>0</v>
      </c>
      <c r="AE41" s="199">
        <f t="shared" si="29"/>
        <v>0</v>
      </c>
      <c r="AF41" s="199">
        <f t="shared" si="29"/>
        <v>0</v>
      </c>
      <c r="AG41" s="199">
        <f t="shared" si="29"/>
        <v>0</v>
      </c>
      <c r="AH41" s="199">
        <f t="shared" si="29"/>
        <v>0</v>
      </c>
      <c r="AI41" s="199">
        <f t="shared" si="29"/>
        <v>0</v>
      </c>
      <c r="AJ41" s="199">
        <f t="shared" ref="AJ41:BA41" si="30">SUM(AJ34:AJ40)</f>
        <v>0</v>
      </c>
      <c r="AK41" s="199">
        <f t="shared" si="30"/>
        <v>0</v>
      </c>
      <c r="AL41" s="199">
        <f t="shared" si="30"/>
        <v>0</v>
      </c>
      <c r="AM41" s="199">
        <f t="shared" si="30"/>
        <v>0</v>
      </c>
      <c r="AN41" s="199">
        <f t="shared" si="30"/>
        <v>0</v>
      </c>
      <c r="AO41" s="199">
        <f t="shared" si="30"/>
        <v>0</v>
      </c>
      <c r="AP41" s="199">
        <f t="shared" si="30"/>
        <v>0</v>
      </c>
      <c r="AQ41" s="199">
        <f t="shared" si="30"/>
        <v>0</v>
      </c>
      <c r="AR41" s="199">
        <f t="shared" si="30"/>
        <v>0</v>
      </c>
      <c r="AS41" s="199">
        <f t="shared" si="30"/>
        <v>0</v>
      </c>
      <c r="AT41" s="199">
        <f t="shared" si="30"/>
        <v>0</v>
      </c>
      <c r="AU41" s="199">
        <f t="shared" si="30"/>
        <v>0</v>
      </c>
      <c r="AV41" s="199">
        <f t="shared" si="30"/>
        <v>0</v>
      </c>
      <c r="AW41" s="199">
        <f t="shared" si="30"/>
        <v>0</v>
      </c>
      <c r="AX41" s="199">
        <f t="shared" si="30"/>
        <v>0</v>
      </c>
      <c r="AY41" s="199">
        <f t="shared" si="30"/>
        <v>0</v>
      </c>
      <c r="AZ41" s="199">
        <f t="shared" si="30"/>
        <v>0</v>
      </c>
      <c r="BA41" s="199">
        <f t="shared" si="30"/>
        <v>0</v>
      </c>
    </row>
    <row r="42" spans="2:53" x14ac:dyDescent="0.25">
      <c r="B42" s="214" t="s">
        <v>109</v>
      </c>
      <c r="C42" s="190" t="s">
        <v>110</v>
      </c>
      <c r="D42" s="191">
        <f>+J42+L42+N42+P42+R42+T42+V42+X42+Z42+AB42+AD42+AF42+AH42+AJ42</f>
        <v>0</v>
      </c>
      <c r="E42" s="192">
        <f>+AL42+AN42+AP42+AR42+AV42+AX42+AZ42+AT42</f>
        <v>0</v>
      </c>
      <c r="F42" s="193">
        <f>+D42+E42</f>
        <v>0</v>
      </c>
      <c r="G42" s="191">
        <f>+K42+M42+O42+Q42+S42+U42+W42+Y42+AA42+AC42+AE42+AG42+AI42+AK42</f>
        <v>0</v>
      </c>
      <c r="H42" s="192">
        <f>+BA42+AY42+AW42+AU42+AS42+AQ42+AO42+AM42</f>
        <v>0</v>
      </c>
      <c r="I42" s="193">
        <f>+G42+H42</f>
        <v>0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</row>
    <row r="43" spans="2:53" x14ac:dyDescent="0.25">
      <c r="B43" s="214" t="s">
        <v>111</v>
      </c>
      <c r="C43" s="190" t="s">
        <v>112</v>
      </c>
      <c r="D43" s="191">
        <f>+J43+L43+N43+P43+R43+T43+V43+X43+Z43+AB43+AD43+AF43+AH43+AJ43</f>
        <v>0</v>
      </c>
      <c r="E43" s="192">
        <f>+AL43+AN43+AP43+AR43+AV43+AX43+AZ43+AT43</f>
        <v>0</v>
      </c>
      <c r="F43" s="193">
        <f>+D43+E43</f>
        <v>0</v>
      </c>
      <c r="G43" s="191">
        <f>+K43+M43+O43+Q43+S43+U43+W43+Y43+AA43+AC43+AE43+AG43+AI43+AK43</f>
        <v>0</v>
      </c>
      <c r="H43" s="192">
        <f>+BA43+AY43+AW43+AU43+AS43+AQ43+AO43+AM43</f>
        <v>0</v>
      </c>
      <c r="I43" s="193">
        <f>+G43+H43</f>
        <v>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</row>
    <row r="44" spans="2:53" x14ac:dyDescent="0.25">
      <c r="B44" s="214" t="s">
        <v>113</v>
      </c>
      <c r="C44" s="190" t="s">
        <v>114</v>
      </c>
      <c r="D44" s="191">
        <f>+J44+L44+N44+P44+R44+T44+V44+X44+Z44+AB44+AD44+AF44+AH44+AJ44</f>
        <v>20000</v>
      </c>
      <c r="E44" s="192">
        <f>+AL44+AN44+AP44+AR44+AV44+AX44+AZ44+AT44</f>
        <v>0</v>
      </c>
      <c r="F44" s="193">
        <f>+D44+E44</f>
        <v>20000</v>
      </c>
      <c r="G44" s="191">
        <f>+K44+M44+O44+Q44+S44+U44+W44+Y44+AA44+AC44+AE44+AG44+AI44+AK44</f>
        <v>19591</v>
      </c>
      <c r="H44" s="192">
        <f>+BA44+AY44+AW44+AU44+AS44+AQ44+AO44+AM44</f>
        <v>0</v>
      </c>
      <c r="I44" s="193">
        <f>+G44+H44</f>
        <v>19591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>
        <v>20000</v>
      </c>
      <c r="Y44" s="191">
        <f>20000-409</f>
        <v>19591</v>
      </c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</row>
    <row r="45" spans="2:53" x14ac:dyDescent="0.25">
      <c r="B45" s="214" t="s">
        <v>115</v>
      </c>
      <c r="C45" s="190" t="s">
        <v>116</v>
      </c>
      <c r="D45" s="191">
        <f>+J45+L45+N45+P45+R45+T45+V45+X45+Z45+AB45+AD45+AF45+AH45+AJ45</f>
        <v>5400</v>
      </c>
      <c r="E45" s="192">
        <f>+AL45+AN45+AP45+AR45+AV45+AX45+AZ45+AT45</f>
        <v>0</v>
      </c>
      <c r="F45" s="193">
        <f>+D45+E45</f>
        <v>5400</v>
      </c>
      <c r="G45" s="191">
        <f>+K45+M45+O45+Q45+S45+U45+W45+Y45+AA45+AC45+AE45+AG45+AI45+AK45</f>
        <v>5400</v>
      </c>
      <c r="H45" s="192">
        <f>+BA45+AY45+AW45+AU45+AS45+AQ45+AO45+AM45</f>
        <v>0</v>
      </c>
      <c r="I45" s="193">
        <f>+G45+H45</f>
        <v>5400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>
        <v>5400</v>
      </c>
      <c r="Y45" s="191">
        <v>5400</v>
      </c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</row>
    <row r="46" spans="2:53" s="196" customFormat="1" ht="12.75" x14ac:dyDescent="0.2">
      <c r="B46" s="200" t="s">
        <v>117</v>
      </c>
      <c r="C46" s="198" t="s">
        <v>118</v>
      </c>
      <c r="D46" s="199">
        <f t="shared" ref="D46:AI46" si="31">SUM(D42:D45)</f>
        <v>25400</v>
      </c>
      <c r="E46" s="199">
        <f t="shared" si="31"/>
        <v>0</v>
      </c>
      <c r="F46" s="199">
        <f t="shared" si="31"/>
        <v>25400</v>
      </c>
      <c r="G46" s="199">
        <f t="shared" si="31"/>
        <v>24991</v>
      </c>
      <c r="H46" s="199">
        <f t="shared" si="31"/>
        <v>0</v>
      </c>
      <c r="I46" s="199">
        <f t="shared" si="31"/>
        <v>24991</v>
      </c>
      <c r="J46" s="199">
        <f t="shared" si="31"/>
        <v>0</v>
      </c>
      <c r="K46" s="199">
        <f t="shared" si="31"/>
        <v>0</v>
      </c>
      <c r="L46" s="199">
        <f t="shared" si="31"/>
        <v>0</v>
      </c>
      <c r="M46" s="199">
        <f t="shared" si="31"/>
        <v>0</v>
      </c>
      <c r="N46" s="199">
        <f t="shared" si="31"/>
        <v>0</v>
      </c>
      <c r="O46" s="199">
        <f t="shared" si="31"/>
        <v>0</v>
      </c>
      <c r="P46" s="199">
        <f t="shared" si="31"/>
        <v>0</v>
      </c>
      <c r="Q46" s="199">
        <f t="shared" si="31"/>
        <v>0</v>
      </c>
      <c r="R46" s="199">
        <f t="shared" si="31"/>
        <v>0</v>
      </c>
      <c r="S46" s="199">
        <f t="shared" si="31"/>
        <v>0</v>
      </c>
      <c r="T46" s="199">
        <f t="shared" si="31"/>
        <v>0</v>
      </c>
      <c r="U46" s="199">
        <f t="shared" si="31"/>
        <v>0</v>
      </c>
      <c r="V46" s="199">
        <f t="shared" si="31"/>
        <v>0</v>
      </c>
      <c r="W46" s="199">
        <f t="shared" si="31"/>
        <v>0</v>
      </c>
      <c r="X46" s="199">
        <f t="shared" si="31"/>
        <v>25400</v>
      </c>
      <c r="Y46" s="199">
        <f t="shared" si="31"/>
        <v>24991</v>
      </c>
      <c r="Z46" s="199">
        <f t="shared" si="31"/>
        <v>0</v>
      </c>
      <c r="AA46" s="199">
        <f t="shared" si="31"/>
        <v>0</v>
      </c>
      <c r="AB46" s="199">
        <f t="shared" si="31"/>
        <v>0</v>
      </c>
      <c r="AC46" s="199">
        <f t="shared" si="31"/>
        <v>0</v>
      </c>
      <c r="AD46" s="199">
        <f t="shared" si="31"/>
        <v>0</v>
      </c>
      <c r="AE46" s="199">
        <f t="shared" si="31"/>
        <v>0</v>
      </c>
      <c r="AF46" s="199">
        <f t="shared" si="31"/>
        <v>0</v>
      </c>
      <c r="AG46" s="199">
        <f t="shared" si="31"/>
        <v>0</v>
      </c>
      <c r="AH46" s="199">
        <f t="shared" si="31"/>
        <v>0</v>
      </c>
      <c r="AI46" s="199">
        <f t="shared" si="31"/>
        <v>0</v>
      </c>
      <c r="AJ46" s="199">
        <f t="shared" ref="AJ46:BA46" si="32">SUM(AJ42:AJ45)</f>
        <v>0</v>
      </c>
      <c r="AK46" s="199">
        <f t="shared" si="32"/>
        <v>0</v>
      </c>
      <c r="AL46" s="199">
        <f t="shared" si="32"/>
        <v>0</v>
      </c>
      <c r="AM46" s="199">
        <f t="shared" si="32"/>
        <v>0</v>
      </c>
      <c r="AN46" s="199">
        <f t="shared" si="32"/>
        <v>0</v>
      </c>
      <c r="AO46" s="199">
        <f t="shared" si="32"/>
        <v>0</v>
      </c>
      <c r="AP46" s="199">
        <f t="shared" si="32"/>
        <v>0</v>
      </c>
      <c r="AQ46" s="199">
        <f t="shared" si="32"/>
        <v>0</v>
      </c>
      <c r="AR46" s="199">
        <f t="shared" si="32"/>
        <v>0</v>
      </c>
      <c r="AS46" s="199">
        <f t="shared" si="32"/>
        <v>0</v>
      </c>
      <c r="AT46" s="199">
        <f t="shared" si="32"/>
        <v>0</v>
      </c>
      <c r="AU46" s="199">
        <f t="shared" si="32"/>
        <v>0</v>
      </c>
      <c r="AV46" s="199">
        <f t="shared" si="32"/>
        <v>0</v>
      </c>
      <c r="AW46" s="199">
        <f t="shared" si="32"/>
        <v>0</v>
      </c>
      <c r="AX46" s="199">
        <f t="shared" si="32"/>
        <v>0</v>
      </c>
      <c r="AY46" s="199">
        <f t="shared" si="32"/>
        <v>0</v>
      </c>
      <c r="AZ46" s="199">
        <f t="shared" si="32"/>
        <v>0</v>
      </c>
      <c r="BA46" s="199">
        <f t="shared" si="32"/>
        <v>0</v>
      </c>
    </row>
    <row r="47" spans="2:53" hidden="1" x14ac:dyDescent="0.25">
      <c r="B47" s="214" t="s">
        <v>643</v>
      </c>
      <c r="C47" s="190" t="s">
        <v>120</v>
      </c>
      <c r="D47" s="191">
        <f t="shared" ref="D47:D55" si="33">+J47+L47+N47+P47+R47+T47+V47+X47+Z47+AB47+AD47+AF47+AH47+AJ47</f>
        <v>0</v>
      </c>
      <c r="E47" s="192">
        <f t="shared" ref="E47:E55" si="34">+AL47+AN47+AP47+AR47+AV47+AX47+AZ47+AT47</f>
        <v>0</v>
      </c>
      <c r="F47" s="193">
        <f t="shared" ref="F47:F55" si="35">+D47+E47</f>
        <v>0</v>
      </c>
      <c r="G47" s="191">
        <f t="shared" ref="G47:G55" si="36">+K47+M47+O47+Q47+S47+U47+W47+Y47+AA47+AC47+AE47+AG47+AI47+AK47</f>
        <v>0</v>
      </c>
      <c r="H47" s="192">
        <f t="shared" ref="H47:H55" si="37">+BA47+AY47+AW47+AU47+AS47+AQ47+AO47+AM47</f>
        <v>0</v>
      </c>
      <c r="I47" s="193">
        <f t="shared" ref="I47:I55" si="38">+G47+H47</f>
        <v>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</row>
    <row r="48" spans="2:53" hidden="1" x14ac:dyDescent="0.25">
      <c r="B48" s="214" t="s">
        <v>644</v>
      </c>
      <c r="C48" s="190" t="s">
        <v>122</v>
      </c>
      <c r="D48" s="191">
        <f t="shared" si="33"/>
        <v>0</v>
      </c>
      <c r="E48" s="192">
        <f t="shared" si="34"/>
        <v>0</v>
      </c>
      <c r="F48" s="193">
        <f t="shared" si="35"/>
        <v>0</v>
      </c>
      <c r="G48" s="191">
        <f t="shared" si="36"/>
        <v>0</v>
      </c>
      <c r="H48" s="192">
        <f t="shared" si="37"/>
        <v>0</v>
      </c>
      <c r="I48" s="193">
        <f t="shared" si="38"/>
        <v>0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</row>
    <row r="49" spans="2:53" ht="15.75" hidden="1" customHeight="1" x14ac:dyDescent="0.25">
      <c r="B49" s="214" t="s">
        <v>645</v>
      </c>
      <c r="C49" s="190" t="s">
        <v>124</v>
      </c>
      <c r="D49" s="191">
        <f t="shared" si="33"/>
        <v>0</v>
      </c>
      <c r="E49" s="192">
        <f t="shared" si="34"/>
        <v>0</v>
      </c>
      <c r="F49" s="193">
        <f t="shared" si="35"/>
        <v>0</v>
      </c>
      <c r="G49" s="191">
        <f t="shared" si="36"/>
        <v>0</v>
      </c>
      <c r="H49" s="192">
        <f t="shared" si="37"/>
        <v>0</v>
      </c>
      <c r="I49" s="193">
        <f t="shared" si="38"/>
        <v>0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</row>
    <row r="50" spans="2:53" hidden="1" x14ac:dyDescent="0.25">
      <c r="B50" s="214" t="s">
        <v>125</v>
      </c>
      <c r="C50" s="190" t="s">
        <v>126</v>
      </c>
      <c r="D50" s="191">
        <f t="shared" si="33"/>
        <v>0</v>
      </c>
      <c r="E50" s="192">
        <f t="shared" si="34"/>
        <v>0</v>
      </c>
      <c r="F50" s="193">
        <f t="shared" si="35"/>
        <v>0</v>
      </c>
      <c r="G50" s="191">
        <f t="shared" si="36"/>
        <v>0</v>
      </c>
      <c r="H50" s="192">
        <f t="shared" si="37"/>
        <v>0</v>
      </c>
      <c r="I50" s="193">
        <f t="shared" si="38"/>
        <v>0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</row>
    <row r="51" spans="2:53" ht="15" hidden="1" customHeight="1" x14ac:dyDescent="0.25">
      <c r="B51" s="214" t="s">
        <v>646</v>
      </c>
      <c r="C51" s="190" t="s">
        <v>128</v>
      </c>
      <c r="D51" s="191">
        <f t="shared" si="33"/>
        <v>0</v>
      </c>
      <c r="E51" s="192">
        <f t="shared" si="34"/>
        <v>0</v>
      </c>
      <c r="F51" s="193">
        <f t="shared" si="35"/>
        <v>0</v>
      </c>
      <c r="G51" s="191">
        <f t="shared" si="36"/>
        <v>0</v>
      </c>
      <c r="H51" s="192">
        <f t="shared" si="37"/>
        <v>0</v>
      </c>
      <c r="I51" s="193">
        <f t="shared" si="38"/>
        <v>0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</row>
    <row r="52" spans="2:53" hidden="1" x14ac:dyDescent="0.25">
      <c r="B52" s="214" t="s">
        <v>647</v>
      </c>
      <c r="C52" s="190" t="s">
        <v>130</v>
      </c>
      <c r="D52" s="191">
        <f t="shared" si="33"/>
        <v>0</v>
      </c>
      <c r="E52" s="192">
        <f t="shared" si="34"/>
        <v>0</v>
      </c>
      <c r="F52" s="193">
        <f t="shared" si="35"/>
        <v>0</v>
      </c>
      <c r="G52" s="191">
        <f t="shared" si="36"/>
        <v>0</v>
      </c>
      <c r="H52" s="192">
        <f t="shared" si="37"/>
        <v>0</v>
      </c>
      <c r="I52" s="193">
        <f t="shared" si="38"/>
        <v>0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</row>
    <row r="53" spans="2:53" hidden="1" x14ac:dyDescent="0.25">
      <c r="B53" s="214" t="s">
        <v>131</v>
      </c>
      <c r="C53" s="190" t="s">
        <v>132</v>
      </c>
      <c r="D53" s="191">
        <f t="shared" si="33"/>
        <v>0</v>
      </c>
      <c r="E53" s="192">
        <f t="shared" si="34"/>
        <v>0</v>
      </c>
      <c r="F53" s="193">
        <f t="shared" si="35"/>
        <v>0</v>
      </c>
      <c r="G53" s="191">
        <f t="shared" si="36"/>
        <v>0</v>
      </c>
      <c r="H53" s="192">
        <f t="shared" si="37"/>
        <v>0</v>
      </c>
      <c r="I53" s="193">
        <f t="shared" si="38"/>
        <v>0</v>
      </c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</row>
    <row r="54" spans="2:53" hidden="1" x14ac:dyDescent="0.25">
      <c r="B54" s="214" t="s">
        <v>133</v>
      </c>
      <c r="C54" s="190" t="s">
        <v>134</v>
      </c>
      <c r="D54" s="191">
        <f t="shared" si="33"/>
        <v>0</v>
      </c>
      <c r="E54" s="192">
        <f t="shared" si="34"/>
        <v>0</v>
      </c>
      <c r="F54" s="193">
        <f t="shared" si="35"/>
        <v>0</v>
      </c>
      <c r="G54" s="191">
        <f t="shared" si="36"/>
        <v>0</v>
      </c>
      <c r="H54" s="192">
        <f t="shared" si="37"/>
        <v>0</v>
      </c>
      <c r="I54" s="193">
        <f t="shared" si="38"/>
        <v>0</v>
      </c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</row>
    <row r="55" spans="2:53" x14ac:dyDescent="0.25">
      <c r="B55" s="214" t="s">
        <v>135</v>
      </c>
      <c r="C55" s="190" t="s">
        <v>136</v>
      </c>
      <c r="D55" s="191">
        <f t="shared" si="33"/>
        <v>0</v>
      </c>
      <c r="E55" s="192">
        <f t="shared" si="34"/>
        <v>3000</v>
      </c>
      <c r="F55" s="193">
        <f t="shared" si="35"/>
        <v>3000</v>
      </c>
      <c r="G55" s="191">
        <f t="shared" si="36"/>
        <v>0</v>
      </c>
      <c r="H55" s="192">
        <f t="shared" si="37"/>
        <v>3000</v>
      </c>
      <c r="I55" s="193">
        <f t="shared" si="38"/>
        <v>3000</v>
      </c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>
        <v>3000</v>
      </c>
      <c r="AS55" s="191">
        <v>3000</v>
      </c>
      <c r="AT55" s="191"/>
      <c r="AU55" s="191"/>
      <c r="AV55" s="191"/>
      <c r="AW55" s="191"/>
      <c r="AX55" s="191"/>
      <c r="AY55" s="191"/>
      <c r="AZ55" s="191"/>
      <c r="BA55" s="191"/>
    </row>
    <row r="56" spans="2:53" s="196" customFormat="1" ht="12.75" x14ac:dyDescent="0.2">
      <c r="B56" s="205" t="s">
        <v>137</v>
      </c>
      <c r="C56" s="198" t="s">
        <v>138</v>
      </c>
      <c r="D56" s="199">
        <f t="shared" ref="D56:AI56" si="39">SUM(D47:D55)</f>
        <v>0</v>
      </c>
      <c r="E56" s="199">
        <f t="shared" si="39"/>
        <v>3000</v>
      </c>
      <c r="F56" s="199">
        <f t="shared" si="39"/>
        <v>3000</v>
      </c>
      <c r="G56" s="199">
        <f t="shared" si="39"/>
        <v>0</v>
      </c>
      <c r="H56" s="199">
        <f t="shared" si="39"/>
        <v>3000</v>
      </c>
      <c r="I56" s="199">
        <f t="shared" si="39"/>
        <v>3000</v>
      </c>
      <c r="J56" s="199">
        <f t="shared" si="39"/>
        <v>0</v>
      </c>
      <c r="K56" s="199">
        <f t="shared" si="39"/>
        <v>0</v>
      </c>
      <c r="L56" s="199">
        <f t="shared" si="39"/>
        <v>0</v>
      </c>
      <c r="M56" s="199">
        <f t="shared" si="39"/>
        <v>0</v>
      </c>
      <c r="N56" s="199">
        <f t="shared" si="39"/>
        <v>0</v>
      </c>
      <c r="O56" s="199">
        <f t="shared" si="39"/>
        <v>0</v>
      </c>
      <c r="P56" s="199">
        <f t="shared" si="39"/>
        <v>0</v>
      </c>
      <c r="Q56" s="199">
        <f t="shared" si="39"/>
        <v>0</v>
      </c>
      <c r="R56" s="199">
        <f t="shared" si="39"/>
        <v>0</v>
      </c>
      <c r="S56" s="199">
        <f t="shared" si="39"/>
        <v>0</v>
      </c>
      <c r="T56" s="199">
        <f t="shared" si="39"/>
        <v>0</v>
      </c>
      <c r="U56" s="199">
        <f t="shared" si="39"/>
        <v>0</v>
      </c>
      <c r="V56" s="199">
        <f t="shared" si="39"/>
        <v>0</v>
      </c>
      <c r="W56" s="199">
        <f t="shared" si="39"/>
        <v>0</v>
      </c>
      <c r="X56" s="199">
        <f t="shared" si="39"/>
        <v>0</v>
      </c>
      <c r="Y56" s="199">
        <f t="shared" si="39"/>
        <v>0</v>
      </c>
      <c r="Z56" s="199">
        <f t="shared" si="39"/>
        <v>0</v>
      </c>
      <c r="AA56" s="199">
        <f t="shared" si="39"/>
        <v>0</v>
      </c>
      <c r="AB56" s="199">
        <f t="shared" si="39"/>
        <v>0</v>
      </c>
      <c r="AC56" s="199">
        <f t="shared" si="39"/>
        <v>0</v>
      </c>
      <c r="AD56" s="199">
        <f t="shared" si="39"/>
        <v>0</v>
      </c>
      <c r="AE56" s="199">
        <f t="shared" si="39"/>
        <v>0</v>
      </c>
      <c r="AF56" s="199">
        <f t="shared" si="39"/>
        <v>0</v>
      </c>
      <c r="AG56" s="199">
        <f t="shared" si="39"/>
        <v>0</v>
      </c>
      <c r="AH56" s="199">
        <f t="shared" si="39"/>
        <v>0</v>
      </c>
      <c r="AI56" s="199">
        <f t="shared" si="39"/>
        <v>0</v>
      </c>
      <c r="AJ56" s="199">
        <f t="shared" ref="AJ56:BA56" si="40">SUM(AJ47:AJ55)</f>
        <v>0</v>
      </c>
      <c r="AK56" s="199">
        <f t="shared" si="40"/>
        <v>0</v>
      </c>
      <c r="AL56" s="199">
        <f t="shared" si="40"/>
        <v>0</v>
      </c>
      <c r="AM56" s="199">
        <f t="shared" si="40"/>
        <v>0</v>
      </c>
      <c r="AN56" s="199">
        <f t="shared" si="40"/>
        <v>0</v>
      </c>
      <c r="AO56" s="199">
        <f t="shared" si="40"/>
        <v>0</v>
      </c>
      <c r="AP56" s="199">
        <f t="shared" si="40"/>
        <v>0</v>
      </c>
      <c r="AQ56" s="199">
        <f t="shared" si="40"/>
        <v>0</v>
      </c>
      <c r="AR56" s="199">
        <f t="shared" si="40"/>
        <v>3000</v>
      </c>
      <c r="AS56" s="199">
        <f t="shared" si="40"/>
        <v>3000</v>
      </c>
      <c r="AT56" s="199">
        <f t="shared" si="40"/>
        <v>0</v>
      </c>
      <c r="AU56" s="199">
        <f t="shared" si="40"/>
        <v>0</v>
      </c>
      <c r="AV56" s="199">
        <f t="shared" si="40"/>
        <v>0</v>
      </c>
      <c r="AW56" s="199">
        <f t="shared" si="40"/>
        <v>0</v>
      </c>
      <c r="AX56" s="199">
        <f t="shared" si="40"/>
        <v>0</v>
      </c>
      <c r="AY56" s="199">
        <f t="shared" si="40"/>
        <v>0</v>
      </c>
      <c r="AZ56" s="199">
        <f t="shared" si="40"/>
        <v>0</v>
      </c>
      <c r="BA56" s="199">
        <f t="shared" si="40"/>
        <v>0</v>
      </c>
    </row>
    <row r="57" spans="2:53" x14ac:dyDescent="0.25">
      <c r="B57" s="208" t="s">
        <v>139</v>
      </c>
      <c r="C57" s="209" t="s">
        <v>140</v>
      </c>
      <c r="D57" s="210">
        <f t="shared" ref="D57:AI57" si="41">+D56+D46+D41</f>
        <v>25400</v>
      </c>
      <c r="E57" s="210">
        <f t="shared" si="41"/>
        <v>3000</v>
      </c>
      <c r="F57" s="210">
        <f t="shared" si="41"/>
        <v>28400</v>
      </c>
      <c r="G57" s="210">
        <f t="shared" si="41"/>
        <v>28462</v>
      </c>
      <c r="H57" s="210">
        <f t="shared" si="41"/>
        <v>3000</v>
      </c>
      <c r="I57" s="210">
        <f t="shared" si="41"/>
        <v>31462</v>
      </c>
      <c r="J57" s="210">
        <f t="shared" si="41"/>
        <v>0</v>
      </c>
      <c r="K57" s="210">
        <f t="shared" si="41"/>
        <v>100</v>
      </c>
      <c r="L57" s="210">
        <f t="shared" si="41"/>
        <v>0</v>
      </c>
      <c r="M57" s="210">
        <f t="shared" si="41"/>
        <v>600</v>
      </c>
      <c r="N57" s="210">
        <f t="shared" si="41"/>
        <v>0</v>
      </c>
      <c r="O57" s="210">
        <f t="shared" si="41"/>
        <v>2362</v>
      </c>
      <c r="P57" s="210">
        <f t="shared" si="41"/>
        <v>0</v>
      </c>
      <c r="Q57" s="210">
        <f t="shared" si="41"/>
        <v>0</v>
      </c>
      <c r="R57" s="210">
        <f t="shared" si="41"/>
        <v>0</v>
      </c>
      <c r="S57" s="210">
        <f t="shared" si="41"/>
        <v>0</v>
      </c>
      <c r="T57" s="210">
        <f t="shared" si="41"/>
        <v>0</v>
      </c>
      <c r="U57" s="210">
        <f t="shared" si="41"/>
        <v>0</v>
      </c>
      <c r="V57" s="210">
        <f t="shared" si="41"/>
        <v>0</v>
      </c>
      <c r="W57" s="210">
        <f t="shared" si="41"/>
        <v>0</v>
      </c>
      <c r="X57" s="210">
        <f t="shared" si="41"/>
        <v>25400</v>
      </c>
      <c r="Y57" s="210">
        <f t="shared" si="41"/>
        <v>25400</v>
      </c>
      <c r="Z57" s="210">
        <f t="shared" si="41"/>
        <v>0</v>
      </c>
      <c r="AA57" s="210">
        <f t="shared" si="41"/>
        <v>0</v>
      </c>
      <c r="AB57" s="210">
        <f t="shared" si="41"/>
        <v>0</v>
      </c>
      <c r="AC57" s="210">
        <f t="shared" si="41"/>
        <v>0</v>
      </c>
      <c r="AD57" s="210">
        <f t="shared" si="41"/>
        <v>0</v>
      </c>
      <c r="AE57" s="210">
        <f t="shared" si="41"/>
        <v>0</v>
      </c>
      <c r="AF57" s="210">
        <f t="shared" si="41"/>
        <v>0</v>
      </c>
      <c r="AG57" s="210">
        <f t="shared" si="41"/>
        <v>0</v>
      </c>
      <c r="AH57" s="210">
        <f t="shared" si="41"/>
        <v>0</v>
      </c>
      <c r="AI57" s="210">
        <f t="shared" si="41"/>
        <v>0</v>
      </c>
      <c r="AJ57" s="210">
        <f t="shared" ref="AJ57:BA57" si="42">+AJ56+AJ46+AJ41</f>
        <v>0</v>
      </c>
      <c r="AK57" s="210">
        <f t="shared" si="42"/>
        <v>0</v>
      </c>
      <c r="AL57" s="210">
        <f t="shared" si="42"/>
        <v>0</v>
      </c>
      <c r="AM57" s="210">
        <f t="shared" si="42"/>
        <v>0</v>
      </c>
      <c r="AN57" s="210">
        <f t="shared" si="42"/>
        <v>0</v>
      </c>
      <c r="AO57" s="210">
        <f t="shared" si="42"/>
        <v>0</v>
      </c>
      <c r="AP57" s="210">
        <f t="shared" si="42"/>
        <v>0</v>
      </c>
      <c r="AQ57" s="210">
        <f t="shared" si="42"/>
        <v>0</v>
      </c>
      <c r="AR57" s="210">
        <f t="shared" si="42"/>
        <v>3000</v>
      </c>
      <c r="AS57" s="210">
        <f t="shared" si="42"/>
        <v>3000</v>
      </c>
      <c r="AT57" s="210">
        <f t="shared" si="42"/>
        <v>0</v>
      </c>
      <c r="AU57" s="210">
        <f t="shared" si="42"/>
        <v>0</v>
      </c>
      <c r="AV57" s="210">
        <f t="shared" si="42"/>
        <v>0</v>
      </c>
      <c r="AW57" s="210">
        <f t="shared" si="42"/>
        <v>0</v>
      </c>
      <c r="AX57" s="210">
        <f t="shared" si="42"/>
        <v>0</v>
      </c>
      <c r="AY57" s="210">
        <f t="shared" si="42"/>
        <v>0</v>
      </c>
      <c r="AZ57" s="210">
        <f t="shared" si="42"/>
        <v>0</v>
      </c>
      <c r="BA57" s="210">
        <f t="shared" si="42"/>
        <v>0</v>
      </c>
    </row>
    <row r="58" spans="2:53" x14ac:dyDescent="0.25">
      <c r="B58" s="215" t="s">
        <v>141</v>
      </c>
      <c r="C58" s="216" t="s">
        <v>142</v>
      </c>
      <c r="D58" s="217">
        <f t="shared" ref="D58:AI58" si="43">+D56+D46+D41+D32+D17+D16+D10+D9</f>
        <v>325558</v>
      </c>
      <c r="E58" s="217">
        <f t="shared" si="43"/>
        <v>975422</v>
      </c>
      <c r="F58" s="217">
        <f t="shared" si="43"/>
        <v>1300980</v>
      </c>
      <c r="G58" s="217">
        <f t="shared" si="43"/>
        <v>331753</v>
      </c>
      <c r="H58" s="217">
        <f t="shared" si="43"/>
        <v>62309</v>
      </c>
      <c r="I58" s="217">
        <f t="shared" si="43"/>
        <v>394062</v>
      </c>
      <c r="J58" s="217">
        <f t="shared" si="43"/>
        <v>174634</v>
      </c>
      <c r="K58" s="217">
        <f t="shared" si="43"/>
        <v>187447</v>
      </c>
      <c r="L58" s="217">
        <f t="shared" si="43"/>
        <v>8700</v>
      </c>
      <c r="M58" s="217">
        <f t="shared" si="43"/>
        <v>9300</v>
      </c>
      <c r="N58" s="217">
        <f t="shared" si="43"/>
        <v>7046</v>
      </c>
      <c r="O58" s="217">
        <f t="shared" si="43"/>
        <v>3358</v>
      </c>
      <c r="P58" s="217">
        <f t="shared" si="43"/>
        <v>0</v>
      </c>
      <c r="Q58" s="217">
        <f t="shared" si="43"/>
        <v>0</v>
      </c>
      <c r="R58" s="217">
        <f t="shared" si="43"/>
        <v>18821</v>
      </c>
      <c r="S58" s="217">
        <f t="shared" si="43"/>
        <v>18821</v>
      </c>
      <c r="T58" s="217">
        <f t="shared" si="43"/>
        <v>10859</v>
      </c>
      <c r="U58" s="217">
        <f t="shared" si="43"/>
        <v>7329</v>
      </c>
      <c r="V58" s="217">
        <f t="shared" si="43"/>
        <v>10160</v>
      </c>
      <c r="W58" s="217">
        <f t="shared" si="43"/>
        <v>10160</v>
      </c>
      <c r="X58" s="217">
        <f t="shared" si="43"/>
        <v>32474</v>
      </c>
      <c r="Y58" s="217">
        <f t="shared" si="43"/>
        <v>32474</v>
      </c>
      <c r="Z58" s="217">
        <f t="shared" si="43"/>
        <v>21400</v>
      </c>
      <c r="AA58" s="217">
        <f t="shared" si="43"/>
        <v>21400</v>
      </c>
      <c r="AB58" s="217">
        <f t="shared" si="43"/>
        <v>36322</v>
      </c>
      <c r="AC58" s="217">
        <f t="shared" si="43"/>
        <v>36322</v>
      </c>
      <c r="AD58" s="217">
        <f t="shared" si="43"/>
        <v>1925</v>
      </c>
      <c r="AE58" s="217">
        <f t="shared" si="43"/>
        <v>1925</v>
      </c>
      <c r="AF58" s="217">
        <f t="shared" si="43"/>
        <v>635</v>
      </c>
      <c r="AG58" s="217">
        <f t="shared" si="43"/>
        <v>635</v>
      </c>
      <c r="AH58" s="217">
        <f t="shared" si="43"/>
        <v>432</v>
      </c>
      <c r="AI58" s="217">
        <f t="shared" si="43"/>
        <v>432</v>
      </c>
      <c r="AJ58" s="217">
        <f t="shared" ref="AJ58:BA58" si="44">+AJ56+AJ46+AJ41+AJ32+AJ17+AJ16+AJ10+AJ9</f>
        <v>2150</v>
      </c>
      <c r="AK58" s="217">
        <f t="shared" si="44"/>
        <v>2150</v>
      </c>
      <c r="AL58" s="217">
        <f t="shared" si="44"/>
        <v>12000</v>
      </c>
      <c r="AM58" s="217">
        <f t="shared" si="44"/>
        <v>12000</v>
      </c>
      <c r="AN58" s="217">
        <f t="shared" si="44"/>
        <v>0</v>
      </c>
      <c r="AO58" s="217">
        <f t="shared" si="44"/>
        <v>0</v>
      </c>
      <c r="AP58" s="217">
        <f t="shared" si="44"/>
        <v>938818</v>
      </c>
      <c r="AQ58" s="217">
        <f t="shared" si="44"/>
        <v>25455</v>
      </c>
      <c r="AR58" s="217">
        <f t="shared" si="44"/>
        <v>15400</v>
      </c>
      <c r="AS58" s="217">
        <f t="shared" si="44"/>
        <v>15400</v>
      </c>
      <c r="AT58" s="217">
        <f t="shared" si="44"/>
        <v>2454</v>
      </c>
      <c r="AU58" s="217">
        <f t="shared" si="44"/>
        <v>2454</v>
      </c>
      <c r="AV58" s="217">
        <f t="shared" si="44"/>
        <v>2000</v>
      </c>
      <c r="AW58" s="217">
        <f t="shared" si="44"/>
        <v>2000</v>
      </c>
      <c r="AX58" s="217">
        <f t="shared" si="44"/>
        <v>4300</v>
      </c>
      <c r="AY58" s="217">
        <f t="shared" si="44"/>
        <v>4550</v>
      </c>
      <c r="AZ58" s="217">
        <f t="shared" si="44"/>
        <v>450</v>
      </c>
      <c r="BA58" s="217">
        <f t="shared" si="44"/>
        <v>450</v>
      </c>
    </row>
    <row r="59" spans="2:53" hidden="1" x14ac:dyDescent="0.25">
      <c r="B59" s="218" t="s">
        <v>648</v>
      </c>
      <c r="C59" s="195" t="s">
        <v>168</v>
      </c>
      <c r="D59" s="191">
        <f>+J59+L59+N59+P59+R59+T59+V59+X59+Z59+AB59+AD59+AF59+AH59+AJ59</f>
        <v>0</v>
      </c>
      <c r="E59" s="192">
        <f>+AL59+AN59+AP59+AR59+AV59+AX59+AZ59+AT59</f>
        <v>0</v>
      </c>
      <c r="F59" s="193">
        <f>+D59+E59</f>
        <v>0</v>
      </c>
      <c r="G59" s="191">
        <f>+K59+M59+O59+Q59+S59+U59+W59+Y59+AA59+AC59+AE59+AG59+AI59+AK59</f>
        <v>0</v>
      </c>
      <c r="H59" s="192">
        <f>+BA59+AY59+AW59+AU59+AS59+AQ59+AO59+AM59</f>
        <v>0</v>
      </c>
      <c r="I59" s="193">
        <f>+G59+H59</f>
        <v>0</v>
      </c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</row>
    <row r="60" spans="2:53" hidden="1" x14ac:dyDescent="0.25">
      <c r="B60" s="218" t="s">
        <v>169</v>
      </c>
      <c r="C60" s="195" t="s">
        <v>170</v>
      </c>
      <c r="D60" s="191">
        <f>+J60+L60+N60+P60+R60+T60+V60+X60+Z60+AB60+AD60+AF60+AH60+AJ60</f>
        <v>0</v>
      </c>
      <c r="E60" s="192">
        <f>+AL60+AN60+AP60+AR60+AV60+AX60+AZ60+AT60</f>
        <v>0</v>
      </c>
      <c r="F60" s="193">
        <f>+D60+E60</f>
        <v>0</v>
      </c>
      <c r="G60" s="191">
        <f>+K60+M60+O60+Q60+S60+U60+W60+Y60+AA60+AC60+AE60+AG60+AI60+AK60</f>
        <v>0</v>
      </c>
      <c r="H60" s="192">
        <f>+BA60+AY60+AW60+AU60+AS60+AQ60+AO60+AM60</f>
        <v>0</v>
      </c>
      <c r="I60" s="193">
        <f>+G60+H60</f>
        <v>0</v>
      </c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</row>
    <row r="61" spans="2:53" hidden="1" x14ac:dyDescent="0.25">
      <c r="B61" s="214" t="s">
        <v>171</v>
      </c>
      <c r="C61" s="195" t="s">
        <v>172</v>
      </c>
      <c r="D61" s="191">
        <f>+J61+L61+N61+P61+R61+T61+V61+X61+Z61+AB61+AD61+AF61+AH61+AJ61</f>
        <v>0</v>
      </c>
      <c r="E61" s="192">
        <f>+AL61+AN61+AP61+AR61+AV61+AX61+AZ61+AT61</f>
        <v>0</v>
      </c>
      <c r="F61" s="193">
        <f>+D61+E61</f>
        <v>0</v>
      </c>
      <c r="G61" s="191">
        <f>+K61+M61+O61+Q61+S61+U61+W61+Y61+AA61+AC61+AE61+AG61+AI61+AK61</f>
        <v>0</v>
      </c>
      <c r="H61" s="192">
        <f>+BA61+AY61+AW61+AU61+AS61+AQ61+AO61+AM61</f>
        <v>0</v>
      </c>
      <c r="I61" s="193">
        <f>+G61+H61</f>
        <v>0</v>
      </c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</row>
    <row r="62" spans="2:53" hidden="1" x14ac:dyDescent="0.25">
      <c r="B62" s="214" t="s">
        <v>173</v>
      </c>
      <c r="C62" s="195" t="s">
        <v>174</v>
      </c>
      <c r="D62" s="191">
        <f>+J62+L62+N62+P62+R62+T62+V62+X62+Z62+AB62+AD62+AF62+AH62+AJ62</f>
        <v>0</v>
      </c>
      <c r="E62" s="192">
        <f>+AL62+AN62+AP62+AR62+AV62+AX62+AZ62+AT62</f>
        <v>0</v>
      </c>
      <c r="F62" s="193">
        <f>+D62+E62</f>
        <v>0</v>
      </c>
      <c r="G62" s="191">
        <f>+K62+M62+O62+Q62+S62+U62+W62+Y62+AA62+AC62+AE62+AG62+AI62+AK62</f>
        <v>0</v>
      </c>
      <c r="H62" s="192">
        <f>+BA62+AY62+AW62+AU62+AS62+AQ62+AO62+AM62</f>
        <v>0</v>
      </c>
      <c r="I62" s="193">
        <f>+G62+H62</f>
        <v>0</v>
      </c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</row>
    <row r="63" spans="2:53" x14ac:dyDescent="0.25">
      <c r="B63" s="221" t="s">
        <v>175</v>
      </c>
      <c r="C63" s="222" t="s">
        <v>176</v>
      </c>
      <c r="D63" s="223">
        <f t="shared" ref="D63:I63" si="45">+D61+D60+D59+D62</f>
        <v>0</v>
      </c>
      <c r="E63" s="223">
        <f t="shared" si="45"/>
        <v>0</v>
      </c>
      <c r="F63" s="223">
        <f t="shared" si="45"/>
        <v>0</v>
      </c>
      <c r="G63" s="223">
        <f t="shared" si="45"/>
        <v>0</v>
      </c>
      <c r="H63" s="223">
        <f t="shared" si="45"/>
        <v>0</v>
      </c>
      <c r="I63" s="223">
        <f t="shared" si="45"/>
        <v>0</v>
      </c>
      <c r="J63" s="223">
        <f t="shared" ref="J63:BA63" si="46">+J61+J60+J59</f>
        <v>0</v>
      </c>
      <c r="K63" s="223">
        <f t="shared" si="46"/>
        <v>0</v>
      </c>
      <c r="L63" s="223">
        <f t="shared" si="46"/>
        <v>0</v>
      </c>
      <c r="M63" s="223">
        <f t="shared" si="46"/>
        <v>0</v>
      </c>
      <c r="N63" s="223">
        <f t="shared" si="46"/>
        <v>0</v>
      </c>
      <c r="O63" s="223">
        <f t="shared" si="46"/>
        <v>0</v>
      </c>
      <c r="P63" s="223">
        <f t="shared" si="46"/>
        <v>0</v>
      </c>
      <c r="Q63" s="223">
        <f t="shared" si="46"/>
        <v>0</v>
      </c>
      <c r="R63" s="223">
        <f t="shared" si="46"/>
        <v>0</v>
      </c>
      <c r="S63" s="223">
        <f t="shared" si="46"/>
        <v>0</v>
      </c>
      <c r="T63" s="223">
        <f t="shared" si="46"/>
        <v>0</v>
      </c>
      <c r="U63" s="223">
        <f t="shared" si="46"/>
        <v>0</v>
      </c>
      <c r="V63" s="223">
        <f t="shared" si="46"/>
        <v>0</v>
      </c>
      <c r="W63" s="223">
        <f t="shared" si="46"/>
        <v>0</v>
      </c>
      <c r="X63" s="223">
        <f t="shared" si="46"/>
        <v>0</v>
      </c>
      <c r="Y63" s="223">
        <f t="shared" si="46"/>
        <v>0</v>
      </c>
      <c r="Z63" s="223">
        <f t="shared" si="46"/>
        <v>0</v>
      </c>
      <c r="AA63" s="223">
        <f t="shared" si="46"/>
        <v>0</v>
      </c>
      <c r="AB63" s="223">
        <f t="shared" si="46"/>
        <v>0</v>
      </c>
      <c r="AC63" s="223">
        <f t="shared" si="46"/>
        <v>0</v>
      </c>
      <c r="AD63" s="223">
        <f t="shared" si="46"/>
        <v>0</v>
      </c>
      <c r="AE63" s="223">
        <f t="shared" si="46"/>
        <v>0</v>
      </c>
      <c r="AF63" s="223">
        <f t="shared" si="46"/>
        <v>0</v>
      </c>
      <c r="AG63" s="223">
        <f t="shared" si="46"/>
        <v>0</v>
      </c>
      <c r="AH63" s="223">
        <f t="shared" si="46"/>
        <v>0</v>
      </c>
      <c r="AI63" s="223">
        <f t="shared" si="46"/>
        <v>0</v>
      </c>
      <c r="AJ63" s="223">
        <f t="shared" si="46"/>
        <v>0</v>
      </c>
      <c r="AK63" s="223">
        <f t="shared" si="46"/>
        <v>0</v>
      </c>
      <c r="AL63" s="223">
        <f t="shared" si="46"/>
        <v>0</v>
      </c>
      <c r="AM63" s="223">
        <f t="shared" si="46"/>
        <v>0</v>
      </c>
      <c r="AN63" s="223">
        <f t="shared" si="46"/>
        <v>0</v>
      </c>
      <c r="AO63" s="223">
        <f t="shared" si="46"/>
        <v>0</v>
      </c>
      <c r="AP63" s="223">
        <f t="shared" si="46"/>
        <v>0</v>
      </c>
      <c r="AQ63" s="223">
        <f t="shared" si="46"/>
        <v>0</v>
      </c>
      <c r="AR63" s="223">
        <f t="shared" si="46"/>
        <v>0</v>
      </c>
      <c r="AS63" s="223">
        <f t="shared" si="46"/>
        <v>0</v>
      </c>
      <c r="AT63" s="223">
        <f t="shared" si="46"/>
        <v>0</v>
      </c>
      <c r="AU63" s="223">
        <f t="shared" si="46"/>
        <v>0</v>
      </c>
      <c r="AV63" s="223">
        <f t="shared" si="46"/>
        <v>0</v>
      </c>
      <c r="AW63" s="223">
        <f t="shared" si="46"/>
        <v>0</v>
      </c>
      <c r="AX63" s="223">
        <f t="shared" si="46"/>
        <v>0</v>
      </c>
      <c r="AY63" s="223">
        <f t="shared" si="46"/>
        <v>0</v>
      </c>
      <c r="AZ63" s="223">
        <f t="shared" si="46"/>
        <v>0</v>
      </c>
      <c r="BA63" s="223">
        <f t="shared" si="46"/>
        <v>0</v>
      </c>
    </row>
    <row r="64" spans="2:53" x14ac:dyDescent="0.25">
      <c r="B64" s="224" t="s">
        <v>177</v>
      </c>
      <c r="C64" s="224" t="s">
        <v>178</v>
      </c>
      <c r="D64" s="225">
        <f t="shared" ref="D64:AI64" si="47">+D58+D63</f>
        <v>325558</v>
      </c>
      <c r="E64" s="225">
        <f t="shared" si="47"/>
        <v>975422</v>
      </c>
      <c r="F64" s="225">
        <f t="shared" si="47"/>
        <v>1300980</v>
      </c>
      <c r="G64" s="225">
        <f t="shared" si="47"/>
        <v>331753</v>
      </c>
      <c r="H64" s="225">
        <f t="shared" si="47"/>
        <v>62309</v>
      </c>
      <c r="I64" s="225">
        <f t="shared" si="47"/>
        <v>394062</v>
      </c>
      <c r="J64" s="225">
        <f t="shared" si="47"/>
        <v>174634</v>
      </c>
      <c r="K64" s="225">
        <f t="shared" si="47"/>
        <v>187447</v>
      </c>
      <c r="L64" s="225">
        <f t="shared" si="47"/>
        <v>8700</v>
      </c>
      <c r="M64" s="225">
        <f t="shared" si="47"/>
        <v>9300</v>
      </c>
      <c r="N64" s="225">
        <f t="shared" si="47"/>
        <v>7046</v>
      </c>
      <c r="O64" s="225">
        <f t="shared" si="47"/>
        <v>3358</v>
      </c>
      <c r="P64" s="225">
        <f t="shared" si="47"/>
        <v>0</v>
      </c>
      <c r="Q64" s="225">
        <f t="shared" si="47"/>
        <v>0</v>
      </c>
      <c r="R64" s="225">
        <f t="shared" si="47"/>
        <v>18821</v>
      </c>
      <c r="S64" s="225">
        <f t="shared" si="47"/>
        <v>18821</v>
      </c>
      <c r="T64" s="225">
        <f t="shared" si="47"/>
        <v>10859</v>
      </c>
      <c r="U64" s="225">
        <f t="shared" si="47"/>
        <v>7329</v>
      </c>
      <c r="V64" s="225">
        <f t="shared" si="47"/>
        <v>10160</v>
      </c>
      <c r="W64" s="225">
        <f t="shared" si="47"/>
        <v>10160</v>
      </c>
      <c r="X64" s="225">
        <f t="shared" si="47"/>
        <v>32474</v>
      </c>
      <c r="Y64" s="225">
        <f t="shared" si="47"/>
        <v>32474</v>
      </c>
      <c r="Z64" s="225">
        <f t="shared" si="47"/>
        <v>21400</v>
      </c>
      <c r="AA64" s="225">
        <f t="shared" si="47"/>
        <v>21400</v>
      </c>
      <c r="AB64" s="225">
        <f t="shared" si="47"/>
        <v>36322</v>
      </c>
      <c r="AC64" s="225">
        <f t="shared" si="47"/>
        <v>36322</v>
      </c>
      <c r="AD64" s="225">
        <f t="shared" si="47"/>
        <v>1925</v>
      </c>
      <c r="AE64" s="225">
        <f t="shared" si="47"/>
        <v>1925</v>
      </c>
      <c r="AF64" s="225">
        <f t="shared" si="47"/>
        <v>635</v>
      </c>
      <c r="AG64" s="225">
        <f t="shared" si="47"/>
        <v>635</v>
      </c>
      <c r="AH64" s="225">
        <f t="shared" si="47"/>
        <v>432</v>
      </c>
      <c r="AI64" s="225">
        <f t="shared" si="47"/>
        <v>432</v>
      </c>
      <c r="AJ64" s="225">
        <f t="shared" ref="AJ64:BA64" si="48">+AJ58+AJ63</f>
        <v>2150</v>
      </c>
      <c r="AK64" s="225">
        <f t="shared" si="48"/>
        <v>2150</v>
      </c>
      <c r="AL64" s="225">
        <f t="shared" si="48"/>
        <v>12000</v>
      </c>
      <c r="AM64" s="225">
        <f t="shared" si="48"/>
        <v>12000</v>
      </c>
      <c r="AN64" s="225">
        <f t="shared" si="48"/>
        <v>0</v>
      </c>
      <c r="AO64" s="225">
        <f t="shared" si="48"/>
        <v>0</v>
      </c>
      <c r="AP64" s="225">
        <f t="shared" si="48"/>
        <v>938818</v>
      </c>
      <c r="AQ64" s="225">
        <f t="shared" si="48"/>
        <v>25455</v>
      </c>
      <c r="AR64" s="225">
        <f t="shared" si="48"/>
        <v>15400</v>
      </c>
      <c r="AS64" s="225">
        <f t="shared" si="48"/>
        <v>15400</v>
      </c>
      <c r="AT64" s="225">
        <f t="shared" si="48"/>
        <v>2454</v>
      </c>
      <c r="AU64" s="225">
        <f t="shared" si="48"/>
        <v>2454</v>
      </c>
      <c r="AV64" s="225">
        <f t="shared" si="48"/>
        <v>2000</v>
      </c>
      <c r="AW64" s="225">
        <f t="shared" si="48"/>
        <v>2000</v>
      </c>
      <c r="AX64" s="225">
        <f t="shared" si="48"/>
        <v>4300</v>
      </c>
      <c r="AY64" s="225">
        <f t="shared" si="48"/>
        <v>4550</v>
      </c>
      <c r="AZ64" s="225">
        <f t="shared" si="48"/>
        <v>450</v>
      </c>
      <c r="BA64" s="225">
        <f t="shared" si="48"/>
        <v>450</v>
      </c>
    </row>
    <row r="65" spans="2:54" s="226" customFormat="1" ht="12.75" x14ac:dyDescent="0.2">
      <c r="B65" s="227"/>
      <c r="C65" s="227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</row>
    <row r="66" spans="2:54" s="181" customFormat="1" ht="13.5" customHeight="1" x14ac:dyDescent="0.2">
      <c r="B66" s="229"/>
      <c r="J66" s="328"/>
      <c r="K66" s="328"/>
      <c r="L66" s="328"/>
      <c r="M66" s="328"/>
      <c r="N66" s="328"/>
      <c r="R66" s="230"/>
      <c r="S66" s="230"/>
      <c r="T66" s="230"/>
      <c r="U66" s="230"/>
      <c r="V66" s="230"/>
      <c r="W66" s="230"/>
      <c r="Z66" s="230"/>
      <c r="AA66" s="230"/>
      <c r="AB66" s="230"/>
      <c r="AC66" s="230"/>
      <c r="AD66" s="230"/>
      <c r="AE66" s="230"/>
      <c r="AH66" s="230"/>
      <c r="AI66" s="230"/>
      <c r="AJ66" s="230"/>
      <c r="AK66" s="230"/>
      <c r="AL66" s="328"/>
      <c r="AM66" s="328"/>
      <c r="AN66" s="328"/>
      <c r="AP66" s="328"/>
      <c r="AQ66" s="328"/>
      <c r="AR66" s="328"/>
      <c r="AS66" s="328"/>
      <c r="AT66" s="328"/>
      <c r="AU66" s="328"/>
      <c r="AV66" s="328"/>
      <c r="AW66" s="328"/>
      <c r="AX66" s="328"/>
      <c r="AY66" s="328"/>
      <c r="AZ66" s="328"/>
      <c r="BB66" s="231"/>
    </row>
    <row r="67" spans="2:54" s="185" customFormat="1" ht="94.15" customHeight="1" x14ac:dyDescent="0.25">
      <c r="B67" s="165" t="s">
        <v>12</v>
      </c>
      <c r="C67" s="166" t="s">
        <v>39</v>
      </c>
      <c r="D67" s="188" t="s">
        <v>612</v>
      </c>
      <c r="E67" s="188" t="s">
        <v>613</v>
      </c>
      <c r="F67" s="166" t="s">
        <v>614</v>
      </c>
      <c r="G67" s="188" t="s">
        <v>612</v>
      </c>
      <c r="H67" s="188" t="s">
        <v>613</v>
      </c>
      <c r="I67" s="166" t="s">
        <v>614</v>
      </c>
      <c r="J67" s="325" t="s">
        <v>615</v>
      </c>
      <c r="K67" s="325"/>
      <c r="L67" s="325" t="s">
        <v>616</v>
      </c>
      <c r="M67" s="325"/>
      <c r="N67" s="325" t="s">
        <v>617</v>
      </c>
      <c r="O67" s="325"/>
      <c r="P67" s="325" t="s">
        <v>618</v>
      </c>
      <c r="Q67" s="325"/>
      <c r="R67" s="325" t="s">
        <v>619</v>
      </c>
      <c r="S67" s="325"/>
      <c r="T67" s="325" t="s">
        <v>620</v>
      </c>
      <c r="U67" s="325"/>
      <c r="V67" s="325" t="s">
        <v>621</v>
      </c>
      <c r="W67" s="325"/>
      <c r="X67" s="325" t="s">
        <v>622</v>
      </c>
      <c r="Y67" s="325"/>
      <c r="Z67" s="325" t="s">
        <v>623</v>
      </c>
      <c r="AA67" s="325"/>
      <c r="AB67" s="325" t="s">
        <v>624</v>
      </c>
      <c r="AC67" s="325"/>
      <c r="AD67" s="325" t="s">
        <v>625</v>
      </c>
      <c r="AE67" s="325"/>
      <c r="AF67" s="325" t="s">
        <v>626</v>
      </c>
      <c r="AG67" s="325"/>
      <c r="AH67" s="325" t="s">
        <v>627</v>
      </c>
      <c r="AI67" s="325"/>
      <c r="AJ67" s="325" t="s">
        <v>628</v>
      </c>
      <c r="AK67" s="325"/>
      <c r="AL67" s="325" t="s">
        <v>629</v>
      </c>
      <c r="AM67" s="325"/>
      <c r="AN67" s="325" t="s">
        <v>630</v>
      </c>
      <c r="AO67" s="325"/>
      <c r="AP67" s="325" t="s">
        <v>631</v>
      </c>
      <c r="AQ67" s="325"/>
      <c r="AR67" s="325" t="s">
        <v>632</v>
      </c>
      <c r="AS67" s="325"/>
      <c r="AT67" s="325" t="s">
        <v>633</v>
      </c>
      <c r="AU67" s="325"/>
      <c r="AV67" s="325" t="s">
        <v>634</v>
      </c>
      <c r="AW67" s="325"/>
      <c r="AX67" s="325" t="s">
        <v>635</v>
      </c>
      <c r="AY67" s="325"/>
      <c r="AZ67" s="325" t="s">
        <v>636</v>
      </c>
      <c r="BA67" s="325"/>
    </row>
    <row r="68" spans="2:54" s="232" customFormat="1" ht="12.75" hidden="1" x14ac:dyDescent="0.2">
      <c r="B68" s="195" t="s">
        <v>649</v>
      </c>
      <c r="C68" s="212" t="s">
        <v>193</v>
      </c>
      <c r="D68" s="233">
        <f t="shared" ref="D68:D73" si="49">+J68+L68+N68+P68+R68+T68+V68+X68+Z68+AB68+AD68+AF68+AH68+AJ68</f>
        <v>0</v>
      </c>
      <c r="E68" s="192">
        <f t="shared" ref="E68:E75" si="50">+AL68+AN68+AP68+AR68+AV68+AX68+AZ68+AT68</f>
        <v>0</v>
      </c>
      <c r="F68" s="193">
        <f t="shared" ref="F68:F73" si="51">+E68+D68</f>
        <v>0</v>
      </c>
      <c r="G68" s="191">
        <f t="shared" ref="G68:G73" si="52">+K68+M68+O68+Q68+S68+U68+W68+Y68+AA68+AC68+AE68+AG68+AI68+AK68</f>
        <v>0</v>
      </c>
      <c r="H68" s="192">
        <f t="shared" ref="H68:H73" si="53">+BA68+AY68+AW68+AU68+AS68+AQ68+AO68+AM68</f>
        <v>0</v>
      </c>
      <c r="I68" s="193">
        <f t="shared" ref="I68:I73" si="54">+H68+G68</f>
        <v>0</v>
      </c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</row>
    <row r="69" spans="2:54" hidden="1" x14ac:dyDescent="0.25">
      <c r="B69" s="195" t="s">
        <v>194</v>
      </c>
      <c r="C69" s="212" t="s">
        <v>195</v>
      </c>
      <c r="D69" s="191">
        <f t="shared" si="49"/>
        <v>0</v>
      </c>
      <c r="E69" s="192">
        <f t="shared" si="50"/>
        <v>0</v>
      </c>
      <c r="F69" s="193">
        <f t="shared" si="51"/>
        <v>0</v>
      </c>
      <c r="G69" s="191">
        <f t="shared" si="52"/>
        <v>0</v>
      </c>
      <c r="H69" s="192">
        <f t="shared" si="53"/>
        <v>0</v>
      </c>
      <c r="I69" s="193">
        <f t="shared" si="54"/>
        <v>0</v>
      </c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</row>
    <row r="70" spans="2:54" ht="27.75" hidden="1" customHeight="1" x14ac:dyDescent="0.25">
      <c r="B70" s="195" t="s">
        <v>650</v>
      </c>
      <c r="C70" s="212" t="s">
        <v>197</v>
      </c>
      <c r="D70" s="191">
        <f t="shared" si="49"/>
        <v>0</v>
      </c>
      <c r="E70" s="192">
        <f t="shared" si="50"/>
        <v>0</v>
      </c>
      <c r="F70" s="193">
        <f t="shared" si="51"/>
        <v>0</v>
      </c>
      <c r="G70" s="191">
        <f t="shared" si="52"/>
        <v>0</v>
      </c>
      <c r="H70" s="192">
        <f t="shared" si="53"/>
        <v>0</v>
      </c>
      <c r="I70" s="193">
        <f t="shared" si="54"/>
        <v>0</v>
      </c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</row>
    <row r="71" spans="2:54" ht="27.75" hidden="1" customHeight="1" x14ac:dyDescent="0.25">
      <c r="B71" s="195" t="s">
        <v>651</v>
      </c>
      <c r="C71" s="212" t="s">
        <v>199</v>
      </c>
      <c r="D71" s="191">
        <f t="shared" si="49"/>
        <v>0</v>
      </c>
      <c r="E71" s="192">
        <f t="shared" si="50"/>
        <v>0</v>
      </c>
      <c r="F71" s="193">
        <f t="shared" si="51"/>
        <v>0</v>
      </c>
      <c r="G71" s="191">
        <f t="shared" si="52"/>
        <v>0</v>
      </c>
      <c r="H71" s="192">
        <f t="shared" si="53"/>
        <v>0</v>
      </c>
      <c r="I71" s="193">
        <f t="shared" si="54"/>
        <v>0</v>
      </c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</row>
    <row r="72" spans="2:54" ht="26.25" hidden="1" customHeight="1" x14ac:dyDescent="0.25">
      <c r="B72" s="195" t="s">
        <v>652</v>
      </c>
      <c r="C72" s="212" t="s">
        <v>201</v>
      </c>
      <c r="D72" s="191">
        <f t="shared" si="49"/>
        <v>0</v>
      </c>
      <c r="E72" s="192">
        <f t="shared" si="50"/>
        <v>0</v>
      </c>
      <c r="F72" s="193">
        <f t="shared" si="51"/>
        <v>0</v>
      </c>
      <c r="G72" s="191">
        <f t="shared" si="52"/>
        <v>0</v>
      </c>
      <c r="H72" s="192">
        <f t="shared" si="53"/>
        <v>0</v>
      </c>
      <c r="I72" s="193">
        <f t="shared" si="54"/>
        <v>0</v>
      </c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</row>
    <row r="73" spans="2:54" ht="25.5" x14ac:dyDescent="0.25">
      <c r="B73" s="195" t="s">
        <v>202</v>
      </c>
      <c r="C73" s="212" t="s">
        <v>203</v>
      </c>
      <c r="D73" s="191">
        <f t="shared" si="49"/>
        <v>0</v>
      </c>
      <c r="E73" s="192">
        <f t="shared" si="50"/>
        <v>0</v>
      </c>
      <c r="F73" s="193">
        <f t="shared" si="51"/>
        <v>0</v>
      </c>
      <c r="G73" s="191">
        <f t="shared" si="52"/>
        <v>0</v>
      </c>
      <c r="H73" s="192">
        <f t="shared" si="53"/>
        <v>0</v>
      </c>
      <c r="I73" s="193">
        <f t="shared" si="54"/>
        <v>0</v>
      </c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>
        <v>0</v>
      </c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</row>
    <row r="74" spans="2:54" s="196" customFormat="1" ht="12.75" x14ac:dyDescent="0.2">
      <c r="B74" s="200" t="s">
        <v>204</v>
      </c>
      <c r="C74" s="213" t="s">
        <v>205</v>
      </c>
      <c r="D74" s="199">
        <f>+D73+D72+D71+D70+D69+D68</f>
        <v>0</v>
      </c>
      <c r="E74" s="234">
        <f t="shared" si="50"/>
        <v>0</v>
      </c>
      <c r="F74" s="199">
        <f t="shared" ref="F74:BA74" si="55">+F73+F72+F71+F70+F69+F68</f>
        <v>0</v>
      </c>
      <c r="G74" s="199">
        <f t="shared" si="55"/>
        <v>0</v>
      </c>
      <c r="H74" s="199">
        <f t="shared" si="55"/>
        <v>0</v>
      </c>
      <c r="I74" s="199">
        <f t="shared" si="55"/>
        <v>0</v>
      </c>
      <c r="J74" s="199">
        <f t="shared" si="55"/>
        <v>0</v>
      </c>
      <c r="K74" s="199">
        <f t="shared" si="55"/>
        <v>0</v>
      </c>
      <c r="L74" s="199">
        <f t="shared" si="55"/>
        <v>0</v>
      </c>
      <c r="M74" s="199">
        <f t="shared" si="55"/>
        <v>0</v>
      </c>
      <c r="N74" s="199">
        <f t="shared" si="55"/>
        <v>0</v>
      </c>
      <c r="O74" s="199">
        <f t="shared" si="55"/>
        <v>0</v>
      </c>
      <c r="P74" s="199">
        <f t="shared" si="55"/>
        <v>0</v>
      </c>
      <c r="Q74" s="199">
        <f t="shared" si="55"/>
        <v>0</v>
      </c>
      <c r="R74" s="199">
        <f t="shared" si="55"/>
        <v>0</v>
      </c>
      <c r="S74" s="199">
        <f t="shared" si="55"/>
        <v>0</v>
      </c>
      <c r="T74" s="199">
        <f t="shared" si="55"/>
        <v>0</v>
      </c>
      <c r="U74" s="199">
        <f t="shared" si="55"/>
        <v>0</v>
      </c>
      <c r="V74" s="199">
        <f t="shared" si="55"/>
        <v>0</v>
      </c>
      <c r="W74" s="199">
        <f t="shared" si="55"/>
        <v>0</v>
      </c>
      <c r="X74" s="199">
        <f t="shared" si="55"/>
        <v>0</v>
      </c>
      <c r="Y74" s="199">
        <f t="shared" si="55"/>
        <v>0</v>
      </c>
      <c r="Z74" s="199">
        <f t="shared" si="55"/>
        <v>0</v>
      </c>
      <c r="AA74" s="199">
        <f t="shared" si="55"/>
        <v>0</v>
      </c>
      <c r="AB74" s="199">
        <f t="shared" si="55"/>
        <v>0</v>
      </c>
      <c r="AC74" s="199">
        <f t="shared" si="55"/>
        <v>0</v>
      </c>
      <c r="AD74" s="199">
        <f t="shared" si="55"/>
        <v>0</v>
      </c>
      <c r="AE74" s="199">
        <f t="shared" si="55"/>
        <v>0</v>
      </c>
      <c r="AF74" s="199">
        <f t="shared" si="55"/>
        <v>0</v>
      </c>
      <c r="AG74" s="199">
        <f t="shared" si="55"/>
        <v>0</v>
      </c>
      <c r="AH74" s="199">
        <f t="shared" si="55"/>
        <v>0</v>
      </c>
      <c r="AI74" s="199">
        <f t="shared" si="55"/>
        <v>0</v>
      </c>
      <c r="AJ74" s="199">
        <f t="shared" si="55"/>
        <v>0</v>
      </c>
      <c r="AK74" s="199">
        <f t="shared" si="55"/>
        <v>0</v>
      </c>
      <c r="AL74" s="199">
        <f t="shared" si="55"/>
        <v>0</v>
      </c>
      <c r="AM74" s="199">
        <f t="shared" si="55"/>
        <v>0</v>
      </c>
      <c r="AN74" s="199">
        <f t="shared" si="55"/>
        <v>0</v>
      </c>
      <c r="AO74" s="199">
        <f t="shared" si="55"/>
        <v>0</v>
      </c>
      <c r="AP74" s="199">
        <f t="shared" si="55"/>
        <v>0</v>
      </c>
      <c r="AQ74" s="199">
        <f t="shared" si="55"/>
        <v>0</v>
      </c>
      <c r="AR74" s="199">
        <f t="shared" si="55"/>
        <v>0</v>
      </c>
      <c r="AS74" s="199">
        <f t="shared" si="55"/>
        <v>0</v>
      </c>
      <c r="AT74" s="199">
        <f t="shared" si="55"/>
        <v>0</v>
      </c>
      <c r="AU74" s="199">
        <f t="shared" si="55"/>
        <v>0</v>
      </c>
      <c r="AV74" s="199">
        <f t="shared" si="55"/>
        <v>0</v>
      </c>
      <c r="AW74" s="199">
        <f t="shared" si="55"/>
        <v>0</v>
      </c>
      <c r="AX74" s="199">
        <f t="shared" si="55"/>
        <v>0</v>
      </c>
      <c r="AY74" s="199">
        <f t="shared" si="55"/>
        <v>0</v>
      </c>
      <c r="AZ74" s="199">
        <f t="shared" si="55"/>
        <v>0</v>
      </c>
      <c r="BA74" s="199">
        <f t="shared" si="55"/>
        <v>0</v>
      </c>
    </row>
    <row r="75" spans="2:54" s="196" customFormat="1" ht="12.75" x14ac:dyDescent="0.2">
      <c r="B75" s="200" t="s">
        <v>206</v>
      </c>
      <c r="C75" s="213" t="s">
        <v>207</v>
      </c>
      <c r="D75" s="201">
        <f t="shared" ref="D75:D81" si="56">+J75+L75+N75+P75+R75+T75+V75+X75+Z75+AB75+AD75+AF75+AH75+AJ75</f>
        <v>0</v>
      </c>
      <c r="E75" s="202">
        <f t="shared" si="50"/>
        <v>0</v>
      </c>
      <c r="F75" s="199">
        <f t="shared" ref="F75:F81" si="57">+E75+D75</f>
        <v>0</v>
      </c>
      <c r="G75" s="203">
        <f>+K75+M75+O75+Q75+S75+U75+W75+Y75+AA75+AC75+AE75+AG75+AI75+AK75</f>
        <v>0</v>
      </c>
      <c r="H75" s="204">
        <f>+BA75+AY75+AW75+AU75+AS75+AQ75+AO75+AM75</f>
        <v>0</v>
      </c>
      <c r="I75" s="199">
        <f t="shared" ref="I75:I81" si="58">+H75+G75</f>
        <v>0</v>
      </c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</row>
    <row r="76" spans="2:54" hidden="1" x14ac:dyDescent="0.25">
      <c r="B76" s="195" t="s">
        <v>208</v>
      </c>
      <c r="C76" s="212" t="s">
        <v>209</v>
      </c>
      <c r="D76" s="191">
        <f t="shared" si="56"/>
        <v>0</v>
      </c>
      <c r="E76" s="191">
        <f t="shared" ref="E76:E81" si="59">+AL76+AN76+AP76+AR76+AV76+AX76+AZ76</f>
        <v>0</v>
      </c>
      <c r="F76" s="193">
        <f t="shared" si="57"/>
        <v>0</v>
      </c>
      <c r="G76" s="191">
        <f t="shared" ref="G76:G81" si="60">+P76+R76+T76+V76+X76+Z76+AB76+AD76+AF76+AH76+AJ76+AL76+AN76+AP76</f>
        <v>0</v>
      </c>
      <c r="H76" s="191">
        <f t="shared" ref="H76:H81" si="61">+AR76+AT76+AV76+AX76+BB76+BC76+BD76</f>
        <v>0</v>
      </c>
      <c r="I76" s="193">
        <f t="shared" si="58"/>
        <v>0</v>
      </c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</row>
    <row r="77" spans="2:54" hidden="1" x14ac:dyDescent="0.25">
      <c r="B77" s="195" t="s">
        <v>210</v>
      </c>
      <c r="C77" s="212" t="s">
        <v>211</v>
      </c>
      <c r="D77" s="191">
        <f t="shared" si="56"/>
        <v>0</v>
      </c>
      <c r="E77" s="191">
        <f t="shared" si="59"/>
        <v>0</v>
      </c>
      <c r="F77" s="193">
        <f t="shared" si="57"/>
        <v>0</v>
      </c>
      <c r="G77" s="191">
        <f t="shared" si="60"/>
        <v>0</v>
      </c>
      <c r="H77" s="191">
        <f t="shared" si="61"/>
        <v>0</v>
      </c>
      <c r="I77" s="193">
        <f t="shared" si="58"/>
        <v>0</v>
      </c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</row>
    <row r="78" spans="2:54" hidden="1" x14ac:dyDescent="0.25">
      <c r="B78" s="195" t="s">
        <v>212</v>
      </c>
      <c r="C78" s="212" t="s">
        <v>213</v>
      </c>
      <c r="D78" s="191">
        <f t="shared" si="56"/>
        <v>0</v>
      </c>
      <c r="E78" s="191">
        <f t="shared" si="59"/>
        <v>0</v>
      </c>
      <c r="F78" s="193">
        <f t="shared" si="57"/>
        <v>0</v>
      </c>
      <c r="G78" s="191">
        <f t="shared" si="60"/>
        <v>0</v>
      </c>
      <c r="H78" s="191">
        <f t="shared" si="61"/>
        <v>0</v>
      </c>
      <c r="I78" s="193">
        <f t="shared" si="58"/>
        <v>0</v>
      </c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</row>
    <row r="79" spans="2:54" hidden="1" x14ac:dyDescent="0.25">
      <c r="B79" s="195" t="s">
        <v>214</v>
      </c>
      <c r="C79" s="212" t="s">
        <v>215</v>
      </c>
      <c r="D79" s="191">
        <f t="shared" si="56"/>
        <v>0</v>
      </c>
      <c r="E79" s="191">
        <f t="shared" si="59"/>
        <v>0</v>
      </c>
      <c r="F79" s="193">
        <f t="shared" si="57"/>
        <v>0</v>
      </c>
      <c r="G79" s="191">
        <f t="shared" si="60"/>
        <v>0</v>
      </c>
      <c r="H79" s="191">
        <f t="shared" si="61"/>
        <v>0</v>
      </c>
      <c r="I79" s="193">
        <f t="shared" si="58"/>
        <v>0</v>
      </c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</row>
    <row r="80" spans="2:54" hidden="1" x14ac:dyDescent="0.25">
      <c r="B80" s="195" t="s">
        <v>216</v>
      </c>
      <c r="C80" s="212" t="s">
        <v>217</v>
      </c>
      <c r="D80" s="191">
        <f t="shared" si="56"/>
        <v>0</v>
      </c>
      <c r="E80" s="191">
        <f t="shared" si="59"/>
        <v>0</v>
      </c>
      <c r="F80" s="193">
        <f t="shared" si="57"/>
        <v>0</v>
      </c>
      <c r="G80" s="191">
        <f t="shared" si="60"/>
        <v>0</v>
      </c>
      <c r="H80" s="191">
        <f t="shared" si="61"/>
        <v>0</v>
      </c>
      <c r="I80" s="193">
        <f t="shared" si="58"/>
        <v>0</v>
      </c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</row>
    <row r="81" spans="2:53" hidden="1" x14ac:dyDescent="0.25">
      <c r="B81" s="195" t="s">
        <v>218</v>
      </c>
      <c r="C81" s="212" t="s">
        <v>219</v>
      </c>
      <c r="D81" s="191">
        <f t="shared" si="56"/>
        <v>0</v>
      </c>
      <c r="E81" s="191">
        <f t="shared" si="59"/>
        <v>0</v>
      </c>
      <c r="F81" s="193">
        <f t="shared" si="57"/>
        <v>0</v>
      </c>
      <c r="G81" s="191">
        <f t="shared" si="60"/>
        <v>0</v>
      </c>
      <c r="H81" s="191">
        <f t="shared" si="61"/>
        <v>0</v>
      </c>
      <c r="I81" s="193">
        <f t="shared" si="58"/>
        <v>0</v>
      </c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</row>
    <row r="82" spans="2:53" s="196" customFormat="1" ht="12.75" x14ac:dyDescent="0.2">
      <c r="B82" s="200" t="s">
        <v>220</v>
      </c>
      <c r="C82" s="213" t="s">
        <v>221</v>
      </c>
      <c r="D82" s="199">
        <f>SUM(D76:D81)</f>
        <v>0</v>
      </c>
      <c r="E82" s="234">
        <f t="shared" ref="E82:E93" si="62">+AL82+AN82+AP82+AR82+AV82+AX82+AZ82+AT82</f>
        <v>0</v>
      </c>
      <c r="F82" s="199">
        <f>SUM(F76:F81)</f>
        <v>0</v>
      </c>
      <c r="G82" s="199">
        <f>SUM(G76:G81)</f>
        <v>0</v>
      </c>
      <c r="H82" s="234">
        <f>+AR82+AT82+AV82+AX82+BB82+BC82+BD82+AZ82</f>
        <v>0</v>
      </c>
      <c r="I82" s="199">
        <f>SUM(I76:I81)</f>
        <v>0</v>
      </c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</row>
    <row r="83" spans="2:53" x14ac:dyDescent="0.25">
      <c r="B83" s="214" t="s">
        <v>653</v>
      </c>
      <c r="C83" s="212" t="s">
        <v>223</v>
      </c>
      <c r="D83" s="191">
        <f t="shared" ref="D83:D93" si="63">+J83+L83+N83+P83+R83+T83+V83+X83+Z83+AB83+AD83+AF83+AH83+AJ83</f>
        <v>0</v>
      </c>
      <c r="E83" s="192">
        <f t="shared" si="62"/>
        <v>0</v>
      </c>
      <c r="F83" s="193">
        <f t="shared" ref="F83:F93" si="64">+E83+D83</f>
        <v>0</v>
      </c>
      <c r="G83" s="191">
        <f t="shared" ref="G83:G93" si="65">+K83+M83+O83+Q83+S83+U83+W83+Y83+AA83+AC83+AE83+AG83+AI83+AK83</f>
        <v>0</v>
      </c>
      <c r="H83" s="192">
        <f t="shared" ref="H83:H93" si="66">+BA83+AY83+AW83+AU83+AS83+AQ83+AO83+AM83</f>
        <v>0</v>
      </c>
      <c r="I83" s="193">
        <f t="shared" ref="I83:I93" si="67">+H83+G83</f>
        <v>0</v>
      </c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</row>
    <row r="84" spans="2:53" x14ac:dyDescent="0.25">
      <c r="B84" s="214" t="s">
        <v>224</v>
      </c>
      <c r="C84" s="212" t="s">
        <v>225</v>
      </c>
      <c r="D84" s="191">
        <f t="shared" si="63"/>
        <v>1980</v>
      </c>
      <c r="E84" s="192">
        <f t="shared" si="62"/>
        <v>0</v>
      </c>
      <c r="F84" s="193">
        <f t="shared" si="64"/>
        <v>1980</v>
      </c>
      <c r="G84" s="191">
        <f t="shared" si="65"/>
        <v>1980</v>
      </c>
      <c r="H84" s="192">
        <f t="shared" si="66"/>
        <v>0</v>
      </c>
      <c r="I84" s="193">
        <f t="shared" si="67"/>
        <v>1980</v>
      </c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>
        <f>1500+400</f>
        <v>1900</v>
      </c>
      <c r="W84" s="191">
        <v>1900</v>
      </c>
      <c r="X84" s="191"/>
      <c r="Y84" s="191"/>
      <c r="Z84" s="191"/>
      <c r="AA84" s="191"/>
      <c r="AB84" s="191"/>
      <c r="AC84" s="191"/>
      <c r="AD84" s="191">
        <v>80</v>
      </c>
      <c r="AE84" s="191">
        <v>80</v>
      </c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</row>
    <row r="85" spans="2:53" x14ac:dyDescent="0.25">
      <c r="B85" s="214" t="s">
        <v>226</v>
      </c>
      <c r="C85" s="212" t="s">
        <v>227</v>
      </c>
      <c r="D85" s="191">
        <f t="shared" si="63"/>
        <v>0</v>
      </c>
      <c r="E85" s="192">
        <f t="shared" si="62"/>
        <v>300</v>
      </c>
      <c r="F85" s="193">
        <f t="shared" si="64"/>
        <v>300</v>
      </c>
      <c r="G85" s="191">
        <f t="shared" si="65"/>
        <v>0</v>
      </c>
      <c r="H85" s="192">
        <f t="shared" si="66"/>
        <v>300</v>
      </c>
      <c r="I85" s="193">
        <f t="shared" si="67"/>
        <v>300</v>
      </c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>
        <v>300</v>
      </c>
      <c r="AU85" s="191">
        <v>300</v>
      </c>
      <c r="AV85" s="191"/>
      <c r="AW85" s="191"/>
      <c r="AX85" s="191"/>
      <c r="AY85" s="191"/>
      <c r="AZ85" s="191"/>
      <c r="BA85" s="191"/>
    </row>
    <row r="86" spans="2:53" ht="15" customHeight="1" x14ac:dyDescent="0.25">
      <c r="B86" s="214" t="s">
        <v>228</v>
      </c>
      <c r="C86" s="212" t="s">
        <v>229</v>
      </c>
      <c r="D86" s="191">
        <f t="shared" si="63"/>
        <v>4571</v>
      </c>
      <c r="E86" s="192">
        <f t="shared" si="62"/>
        <v>0</v>
      </c>
      <c r="F86" s="193">
        <f t="shared" si="64"/>
        <v>4571</v>
      </c>
      <c r="G86" s="191">
        <f t="shared" si="65"/>
        <v>4571</v>
      </c>
      <c r="H86" s="192">
        <f t="shared" si="66"/>
        <v>0</v>
      </c>
      <c r="I86" s="193">
        <f t="shared" si="67"/>
        <v>4571</v>
      </c>
      <c r="J86" s="191"/>
      <c r="K86" s="191"/>
      <c r="L86" s="191">
        <f>3627+378</f>
        <v>4005</v>
      </c>
      <c r="M86" s="191">
        <f>3627+378</f>
        <v>4005</v>
      </c>
      <c r="N86" s="191"/>
      <c r="O86" s="191"/>
      <c r="P86" s="191">
        <v>566</v>
      </c>
      <c r="Q86" s="191">
        <v>566</v>
      </c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</row>
    <row r="87" spans="2:53" ht="15" customHeight="1" x14ac:dyDescent="0.25">
      <c r="B87" s="214" t="s">
        <v>230</v>
      </c>
      <c r="C87" s="212" t="s">
        <v>231</v>
      </c>
      <c r="D87" s="191">
        <f t="shared" si="63"/>
        <v>0</v>
      </c>
      <c r="E87" s="192">
        <f t="shared" si="62"/>
        <v>0</v>
      </c>
      <c r="F87" s="193">
        <f t="shared" si="64"/>
        <v>0</v>
      </c>
      <c r="G87" s="191">
        <f t="shared" si="65"/>
        <v>0</v>
      </c>
      <c r="H87" s="192">
        <f t="shared" si="66"/>
        <v>0</v>
      </c>
      <c r="I87" s="193">
        <f t="shared" si="67"/>
        <v>0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</row>
    <row r="88" spans="2:53" x14ac:dyDescent="0.25">
      <c r="B88" s="214" t="s">
        <v>232</v>
      </c>
      <c r="C88" s="212" t="s">
        <v>233</v>
      </c>
      <c r="D88" s="191">
        <f t="shared" si="63"/>
        <v>1081</v>
      </c>
      <c r="E88" s="192">
        <f t="shared" si="62"/>
        <v>81</v>
      </c>
      <c r="F88" s="193">
        <f t="shared" si="64"/>
        <v>1162</v>
      </c>
      <c r="G88" s="191">
        <f t="shared" si="65"/>
        <v>1081</v>
      </c>
      <c r="H88" s="192">
        <f t="shared" si="66"/>
        <v>81</v>
      </c>
      <c r="I88" s="193">
        <f t="shared" si="67"/>
        <v>1162</v>
      </c>
      <c r="J88" s="191"/>
      <c r="K88" s="191"/>
      <c r="L88" s="191">
        <v>1081</v>
      </c>
      <c r="M88" s="191">
        <v>1081</v>
      </c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>
        <v>81</v>
      </c>
      <c r="AU88" s="191">
        <v>81</v>
      </c>
      <c r="AV88" s="191"/>
      <c r="AW88" s="191"/>
      <c r="AX88" s="191"/>
      <c r="AY88" s="191"/>
      <c r="AZ88" s="191"/>
      <c r="BA88" s="191"/>
    </row>
    <row r="89" spans="2:53" x14ac:dyDescent="0.25">
      <c r="B89" s="214" t="s">
        <v>234</v>
      </c>
      <c r="C89" s="212" t="s">
        <v>235</v>
      </c>
      <c r="D89" s="191">
        <f t="shared" si="63"/>
        <v>0</v>
      </c>
      <c r="E89" s="192">
        <f t="shared" si="62"/>
        <v>0</v>
      </c>
      <c r="F89" s="193">
        <f t="shared" si="64"/>
        <v>0</v>
      </c>
      <c r="G89" s="191">
        <f t="shared" si="65"/>
        <v>0</v>
      </c>
      <c r="H89" s="192">
        <f t="shared" si="66"/>
        <v>0</v>
      </c>
      <c r="I89" s="193">
        <f t="shared" si="67"/>
        <v>0</v>
      </c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</row>
    <row r="90" spans="2:53" x14ac:dyDescent="0.25">
      <c r="B90" s="214" t="s">
        <v>236</v>
      </c>
      <c r="C90" s="212" t="s">
        <v>237</v>
      </c>
      <c r="D90" s="191">
        <f t="shared" si="63"/>
        <v>0</v>
      </c>
      <c r="E90" s="192">
        <f t="shared" si="62"/>
        <v>0</v>
      </c>
      <c r="F90" s="193">
        <f t="shared" si="64"/>
        <v>0</v>
      </c>
      <c r="G90" s="191">
        <f t="shared" si="65"/>
        <v>0</v>
      </c>
      <c r="H90" s="192">
        <f t="shared" si="66"/>
        <v>0</v>
      </c>
      <c r="I90" s="193">
        <f t="shared" si="67"/>
        <v>0</v>
      </c>
      <c r="J90" s="191">
        <v>0</v>
      </c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</row>
    <row r="91" spans="2:53" x14ac:dyDescent="0.25">
      <c r="B91" s="214" t="s">
        <v>238</v>
      </c>
      <c r="C91" s="212" t="s">
        <v>239</v>
      </c>
      <c r="D91" s="191">
        <f t="shared" si="63"/>
        <v>0</v>
      </c>
      <c r="E91" s="192">
        <f t="shared" si="62"/>
        <v>0</v>
      </c>
      <c r="F91" s="193">
        <f t="shared" si="64"/>
        <v>0</v>
      </c>
      <c r="G91" s="191">
        <f t="shared" si="65"/>
        <v>0</v>
      </c>
      <c r="H91" s="192">
        <f t="shared" si="66"/>
        <v>0</v>
      </c>
      <c r="I91" s="193">
        <f t="shared" si="67"/>
        <v>0</v>
      </c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  <c r="AT91" s="191"/>
      <c r="AU91" s="191"/>
      <c r="AV91" s="191"/>
      <c r="AW91" s="191"/>
      <c r="AX91" s="191"/>
      <c r="AY91" s="191"/>
      <c r="AZ91" s="191"/>
      <c r="BA91" s="191"/>
    </row>
    <row r="92" spans="2:53" x14ac:dyDescent="0.25">
      <c r="B92" s="214" t="s">
        <v>240</v>
      </c>
      <c r="C92" s="212" t="s">
        <v>241</v>
      </c>
      <c r="D92" s="191">
        <f t="shared" si="63"/>
        <v>0</v>
      </c>
      <c r="E92" s="192">
        <f t="shared" si="62"/>
        <v>0</v>
      </c>
      <c r="F92" s="193">
        <f t="shared" si="64"/>
        <v>0</v>
      </c>
      <c r="G92" s="191">
        <f t="shared" si="65"/>
        <v>0</v>
      </c>
      <c r="H92" s="192">
        <f t="shared" si="66"/>
        <v>0</v>
      </c>
      <c r="I92" s="193">
        <f t="shared" si="67"/>
        <v>0</v>
      </c>
      <c r="J92" s="191"/>
      <c r="K92" s="191"/>
      <c r="L92" s="191"/>
      <c r="M92" s="191">
        <v>0</v>
      </c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</row>
    <row r="93" spans="2:53" x14ac:dyDescent="0.25">
      <c r="B93" s="214" t="s">
        <v>242</v>
      </c>
      <c r="C93" s="212" t="s">
        <v>243</v>
      </c>
      <c r="D93" s="191">
        <f t="shared" si="63"/>
        <v>3121</v>
      </c>
      <c r="E93" s="192">
        <f t="shared" si="62"/>
        <v>0</v>
      </c>
      <c r="F93" s="193">
        <f t="shared" si="64"/>
        <v>3121</v>
      </c>
      <c r="G93" s="191">
        <f t="shared" si="65"/>
        <v>3121</v>
      </c>
      <c r="H93" s="192">
        <f t="shared" si="66"/>
        <v>0</v>
      </c>
      <c r="I93" s="193">
        <f t="shared" si="67"/>
        <v>3121</v>
      </c>
      <c r="J93" s="191">
        <v>3121</v>
      </c>
      <c r="K93" s="191">
        <v>3121</v>
      </c>
      <c r="L93" s="191">
        <v>0</v>
      </c>
      <c r="M93" s="191">
        <v>0</v>
      </c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</row>
    <row r="94" spans="2:53" s="196" customFormat="1" ht="12.75" x14ac:dyDescent="0.2">
      <c r="B94" s="205" t="s">
        <v>244</v>
      </c>
      <c r="C94" s="213" t="s">
        <v>245</v>
      </c>
      <c r="D94" s="199">
        <f t="shared" ref="D94:AI94" si="68">SUM(D83:D93)</f>
        <v>10753</v>
      </c>
      <c r="E94" s="199">
        <f t="shared" si="68"/>
        <v>381</v>
      </c>
      <c r="F94" s="199">
        <f t="shared" si="68"/>
        <v>11134</v>
      </c>
      <c r="G94" s="199">
        <f t="shared" si="68"/>
        <v>10753</v>
      </c>
      <c r="H94" s="199">
        <f t="shared" si="68"/>
        <v>381</v>
      </c>
      <c r="I94" s="199">
        <f t="shared" si="68"/>
        <v>11134</v>
      </c>
      <c r="J94" s="199">
        <f t="shared" si="68"/>
        <v>3121</v>
      </c>
      <c r="K94" s="199">
        <f t="shared" si="68"/>
        <v>3121</v>
      </c>
      <c r="L94" s="199">
        <f t="shared" si="68"/>
        <v>5086</v>
      </c>
      <c r="M94" s="199">
        <f t="shared" si="68"/>
        <v>5086</v>
      </c>
      <c r="N94" s="199">
        <f t="shared" si="68"/>
        <v>0</v>
      </c>
      <c r="O94" s="199">
        <f t="shared" si="68"/>
        <v>0</v>
      </c>
      <c r="P94" s="199">
        <f t="shared" si="68"/>
        <v>566</v>
      </c>
      <c r="Q94" s="199">
        <f t="shared" si="68"/>
        <v>566</v>
      </c>
      <c r="R94" s="199">
        <f t="shared" si="68"/>
        <v>0</v>
      </c>
      <c r="S94" s="199">
        <f t="shared" si="68"/>
        <v>0</v>
      </c>
      <c r="T94" s="199">
        <f t="shared" si="68"/>
        <v>0</v>
      </c>
      <c r="U94" s="199">
        <f t="shared" si="68"/>
        <v>0</v>
      </c>
      <c r="V94" s="199">
        <f t="shared" si="68"/>
        <v>1900</v>
      </c>
      <c r="W94" s="199">
        <f t="shared" si="68"/>
        <v>1900</v>
      </c>
      <c r="X94" s="199">
        <f t="shared" si="68"/>
        <v>0</v>
      </c>
      <c r="Y94" s="199">
        <f t="shared" si="68"/>
        <v>0</v>
      </c>
      <c r="Z94" s="199">
        <f t="shared" si="68"/>
        <v>0</v>
      </c>
      <c r="AA94" s="199">
        <f t="shared" si="68"/>
        <v>0</v>
      </c>
      <c r="AB94" s="199">
        <f t="shared" si="68"/>
        <v>0</v>
      </c>
      <c r="AC94" s="199">
        <f t="shared" si="68"/>
        <v>0</v>
      </c>
      <c r="AD94" s="199">
        <f t="shared" si="68"/>
        <v>80</v>
      </c>
      <c r="AE94" s="199">
        <f t="shared" si="68"/>
        <v>80</v>
      </c>
      <c r="AF94" s="199">
        <f t="shared" si="68"/>
        <v>0</v>
      </c>
      <c r="AG94" s="199">
        <f t="shared" si="68"/>
        <v>0</v>
      </c>
      <c r="AH94" s="199">
        <f t="shared" si="68"/>
        <v>0</v>
      </c>
      <c r="AI94" s="199">
        <f t="shared" si="68"/>
        <v>0</v>
      </c>
      <c r="AJ94" s="199">
        <f t="shared" ref="AJ94:BA94" si="69">SUM(AJ83:AJ93)</f>
        <v>0</v>
      </c>
      <c r="AK94" s="199">
        <f t="shared" si="69"/>
        <v>0</v>
      </c>
      <c r="AL94" s="199">
        <f t="shared" si="69"/>
        <v>0</v>
      </c>
      <c r="AM94" s="199">
        <f t="shared" si="69"/>
        <v>0</v>
      </c>
      <c r="AN94" s="199">
        <f t="shared" si="69"/>
        <v>0</v>
      </c>
      <c r="AO94" s="199">
        <f t="shared" si="69"/>
        <v>0</v>
      </c>
      <c r="AP94" s="199">
        <f t="shared" si="69"/>
        <v>0</v>
      </c>
      <c r="AQ94" s="199">
        <f t="shared" si="69"/>
        <v>0</v>
      </c>
      <c r="AR94" s="199">
        <f t="shared" si="69"/>
        <v>0</v>
      </c>
      <c r="AS94" s="199">
        <f t="shared" si="69"/>
        <v>0</v>
      </c>
      <c r="AT94" s="199">
        <f t="shared" si="69"/>
        <v>381</v>
      </c>
      <c r="AU94" s="199">
        <f t="shared" si="69"/>
        <v>381</v>
      </c>
      <c r="AV94" s="199">
        <f t="shared" si="69"/>
        <v>0</v>
      </c>
      <c r="AW94" s="199">
        <f t="shared" si="69"/>
        <v>0</v>
      </c>
      <c r="AX94" s="199">
        <f t="shared" si="69"/>
        <v>0</v>
      </c>
      <c r="AY94" s="199">
        <f t="shared" si="69"/>
        <v>0</v>
      </c>
      <c r="AZ94" s="199">
        <f t="shared" si="69"/>
        <v>0</v>
      </c>
      <c r="BA94" s="199">
        <f t="shared" si="69"/>
        <v>0</v>
      </c>
    </row>
    <row r="95" spans="2:53" x14ac:dyDescent="0.25">
      <c r="B95" s="214" t="s">
        <v>246</v>
      </c>
      <c r="C95" s="212" t="s">
        <v>247</v>
      </c>
      <c r="D95" s="191">
        <f>+J95+L95+N95+P95+R95+T95+V95+X95+Z95+AB95+AD95+AF95+AH95+AJ95</f>
        <v>0</v>
      </c>
      <c r="E95" s="192">
        <f>+AL95+AN95+AP95+AR95+AV95+AX95+AZ95+AT95</f>
        <v>0</v>
      </c>
      <c r="F95" s="193">
        <f>+E95+D95</f>
        <v>0</v>
      </c>
      <c r="G95" s="191">
        <f>+K95+M95+O95+Q95+S95+U95+W95+Y95+AA95+AC95+AE95+AG95+AI95+AK95</f>
        <v>0</v>
      </c>
      <c r="H95" s="192">
        <f>+BA95+AY95+AW95+AU95+AS95+AQ95+AO95+AM95</f>
        <v>0</v>
      </c>
      <c r="I95" s="193">
        <f>+H95+G95</f>
        <v>0</v>
      </c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</row>
    <row r="96" spans="2:53" x14ac:dyDescent="0.25">
      <c r="B96" s="214" t="s">
        <v>248</v>
      </c>
      <c r="C96" s="212" t="s">
        <v>249</v>
      </c>
      <c r="D96" s="191">
        <f>+J96+L96+N96+P96+R96+T96+V96+X96+Z96+AB96+AD96+AF96+AH96+AJ96</f>
        <v>0</v>
      </c>
      <c r="E96" s="192">
        <f>+AL96+AN96+AP96+AR96+AV96+AX96+AZ96+AT96</f>
        <v>0</v>
      </c>
      <c r="F96" s="193">
        <f>+E96+D96</f>
        <v>0</v>
      </c>
      <c r="G96" s="191">
        <f>+K96+M96+O96+Q96+S96+U96+W96+Y96+AA96+AC96+AE96+AG96+AI96+AK96</f>
        <v>0</v>
      </c>
      <c r="H96" s="192">
        <f>+BA96+AY96+AW96+AU96+AS96+AQ96+AO96+AM96</f>
        <v>0</v>
      </c>
      <c r="I96" s="193">
        <f>+H96+G96</f>
        <v>0</v>
      </c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</row>
    <row r="97" spans="2:53" x14ac:dyDescent="0.25">
      <c r="B97" s="214" t="s">
        <v>250</v>
      </c>
      <c r="C97" s="212" t="s">
        <v>251</v>
      </c>
      <c r="D97" s="191">
        <f>+J97+L97+N97+P97+R97+T97+V97+X97+Z97+AB97+AD97+AF97+AH97+AJ97</f>
        <v>0</v>
      </c>
      <c r="E97" s="192">
        <f>+AL97+AN97+AP97+AR97+AV97+AX97+AZ97+AT97</f>
        <v>0</v>
      </c>
      <c r="F97" s="193">
        <f>+E97+D97</f>
        <v>0</v>
      </c>
      <c r="G97" s="191">
        <f>+K97+M97+O97+Q97+S97+U97+W97+Y97+AA97+AC97+AE97+AG97+AI97+AK97</f>
        <v>0</v>
      </c>
      <c r="H97" s="192">
        <f>+BA97+AY97+AW97+AU97+AS97+AQ97+AO97+AM97</f>
        <v>0</v>
      </c>
      <c r="I97" s="193">
        <f>+H97+G97</f>
        <v>0</v>
      </c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</row>
    <row r="98" spans="2:53" x14ac:dyDescent="0.25">
      <c r="B98" s="214" t="s">
        <v>252</v>
      </c>
      <c r="C98" s="212" t="s">
        <v>253</v>
      </c>
      <c r="D98" s="191">
        <f>+J98+L98+N98+P98+R98+T98+V98+X98+Z98+AB98+AD98+AF98+AH98+AJ98</f>
        <v>0</v>
      </c>
      <c r="E98" s="192">
        <f>+AL98+AN98+AP98+AR98+AV98+AX98+AZ98+AT98</f>
        <v>0</v>
      </c>
      <c r="F98" s="193">
        <f>+E98+D98</f>
        <v>0</v>
      </c>
      <c r="G98" s="191">
        <f>+K98+M98+O98+Q98+S98+U98+W98+Y98+AA98+AC98+AE98+AG98+AI98+AK98</f>
        <v>0</v>
      </c>
      <c r="H98" s="192">
        <f>+BA98+AY98+AW98+AU98+AS98+AQ98+AO98+AM98</f>
        <v>0</v>
      </c>
      <c r="I98" s="193">
        <f>+H98+G98</f>
        <v>0</v>
      </c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</row>
    <row r="99" spans="2:53" x14ac:dyDescent="0.25">
      <c r="B99" s="214" t="s">
        <v>254</v>
      </c>
      <c r="C99" s="212" t="s">
        <v>255</v>
      </c>
      <c r="D99" s="191">
        <f>+J99+L99+N99+P99+R99+T99+V99+X99+Z99+AB99+AD99+AF99+AH99+AJ99</f>
        <v>0</v>
      </c>
      <c r="E99" s="192">
        <f>+AL99+AN99+AP99+AR99+AV99+AX99+AZ99+AT99</f>
        <v>0</v>
      </c>
      <c r="F99" s="193">
        <f>+E99+D99</f>
        <v>0</v>
      </c>
      <c r="G99" s="191">
        <f>+K99+M99+O99+Q99+S99+U99+W99+Y99+AA99+AC99+AE99+AG99+AI99+AK99</f>
        <v>0</v>
      </c>
      <c r="H99" s="192">
        <f>+BA99+AY99+AW99+AU99+AS99+AQ99+AO99+AM99</f>
        <v>0</v>
      </c>
      <c r="I99" s="193">
        <f>+H99+G99</f>
        <v>0</v>
      </c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</row>
    <row r="100" spans="2:53" s="196" customFormat="1" ht="12.75" x14ac:dyDescent="0.2">
      <c r="B100" s="200" t="s">
        <v>256</v>
      </c>
      <c r="C100" s="213" t="s">
        <v>257</v>
      </c>
      <c r="D100" s="199">
        <f t="shared" ref="D100:AI100" si="70">SUM(D95:D99)</f>
        <v>0</v>
      </c>
      <c r="E100" s="199">
        <f t="shared" si="70"/>
        <v>0</v>
      </c>
      <c r="F100" s="199">
        <f t="shared" si="70"/>
        <v>0</v>
      </c>
      <c r="G100" s="199">
        <f t="shared" si="70"/>
        <v>0</v>
      </c>
      <c r="H100" s="199">
        <f t="shared" si="70"/>
        <v>0</v>
      </c>
      <c r="I100" s="199">
        <f t="shared" si="70"/>
        <v>0</v>
      </c>
      <c r="J100" s="199">
        <f t="shared" si="70"/>
        <v>0</v>
      </c>
      <c r="K100" s="199">
        <f t="shared" si="70"/>
        <v>0</v>
      </c>
      <c r="L100" s="199">
        <f t="shared" si="70"/>
        <v>0</v>
      </c>
      <c r="M100" s="199">
        <f t="shared" si="70"/>
        <v>0</v>
      </c>
      <c r="N100" s="199">
        <f t="shared" si="70"/>
        <v>0</v>
      </c>
      <c r="O100" s="199">
        <f t="shared" si="70"/>
        <v>0</v>
      </c>
      <c r="P100" s="199">
        <f t="shared" si="70"/>
        <v>0</v>
      </c>
      <c r="Q100" s="199">
        <f t="shared" si="70"/>
        <v>0</v>
      </c>
      <c r="R100" s="199">
        <f t="shared" si="70"/>
        <v>0</v>
      </c>
      <c r="S100" s="199">
        <f t="shared" si="70"/>
        <v>0</v>
      </c>
      <c r="T100" s="199">
        <f t="shared" si="70"/>
        <v>0</v>
      </c>
      <c r="U100" s="199">
        <f t="shared" si="70"/>
        <v>0</v>
      </c>
      <c r="V100" s="199">
        <f t="shared" si="70"/>
        <v>0</v>
      </c>
      <c r="W100" s="199">
        <f t="shared" si="70"/>
        <v>0</v>
      </c>
      <c r="X100" s="199">
        <f t="shared" si="70"/>
        <v>0</v>
      </c>
      <c r="Y100" s="199">
        <f t="shared" si="70"/>
        <v>0</v>
      </c>
      <c r="Z100" s="199">
        <f t="shared" si="70"/>
        <v>0</v>
      </c>
      <c r="AA100" s="199">
        <f t="shared" si="70"/>
        <v>0</v>
      </c>
      <c r="AB100" s="199">
        <f t="shared" si="70"/>
        <v>0</v>
      </c>
      <c r="AC100" s="199">
        <f t="shared" si="70"/>
        <v>0</v>
      </c>
      <c r="AD100" s="199">
        <f t="shared" si="70"/>
        <v>0</v>
      </c>
      <c r="AE100" s="199">
        <f t="shared" si="70"/>
        <v>0</v>
      </c>
      <c r="AF100" s="199">
        <f t="shared" si="70"/>
        <v>0</v>
      </c>
      <c r="AG100" s="199">
        <f t="shared" si="70"/>
        <v>0</v>
      </c>
      <c r="AH100" s="199">
        <f t="shared" si="70"/>
        <v>0</v>
      </c>
      <c r="AI100" s="199">
        <f t="shared" si="70"/>
        <v>0</v>
      </c>
      <c r="AJ100" s="199">
        <f t="shared" ref="AJ100:BA100" si="71">SUM(AJ95:AJ99)</f>
        <v>0</v>
      </c>
      <c r="AK100" s="199">
        <f t="shared" si="71"/>
        <v>0</v>
      </c>
      <c r="AL100" s="199">
        <f t="shared" si="71"/>
        <v>0</v>
      </c>
      <c r="AM100" s="199">
        <f t="shared" si="71"/>
        <v>0</v>
      </c>
      <c r="AN100" s="199">
        <f t="shared" si="71"/>
        <v>0</v>
      </c>
      <c r="AO100" s="199">
        <f t="shared" si="71"/>
        <v>0</v>
      </c>
      <c r="AP100" s="199">
        <f t="shared" si="71"/>
        <v>0</v>
      </c>
      <c r="AQ100" s="199">
        <f t="shared" si="71"/>
        <v>0</v>
      </c>
      <c r="AR100" s="199">
        <f t="shared" si="71"/>
        <v>0</v>
      </c>
      <c r="AS100" s="199">
        <f t="shared" si="71"/>
        <v>0</v>
      </c>
      <c r="AT100" s="199">
        <f t="shared" si="71"/>
        <v>0</v>
      </c>
      <c r="AU100" s="199">
        <f t="shared" si="71"/>
        <v>0</v>
      </c>
      <c r="AV100" s="199">
        <f t="shared" si="71"/>
        <v>0</v>
      </c>
      <c r="AW100" s="199">
        <f t="shared" si="71"/>
        <v>0</v>
      </c>
      <c r="AX100" s="199">
        <f t="shared" si="71"/>
        <v>0</v>
      </c>
      <c r="AY100" s="199">
        <f t="shared" si="71"/>
        <v>0</v>
      </c>
      <c r="AZ100" s="199">
        <f t="shared" si="71"/>
        <v>0</v>
      </c>
      <c r="BA100" s="199">
        <f t="shared" si="71"/>
        <v>0</v>
      </c>
    </row>
    <row r="101" spans="2:53" s="196" customFormat="1" ht="12.75" x14ac:dyDescent="0.2">
      <c r="B101" s="200" t="s">
        <v>258</v>
      </c>
      <c r="C101" s="213" t="s">
        <v>259</v>
      </c>
      <c r="D101" s="201">
        <f t="shared" ref="D101:D106" si="72">+J101+L101+N101+P101+R101+T101+V101+X101+Z101+AB101+AD101+AF101+AH101+AJ101</f>
        <v>0</v>
      </c>
      <c r="E101" s="234">
        <f t="shared" ref="E101:E106" si="73">+AL101+AN101+AP101+AR101+AV101+AX101+AZ101+AT101</f>
        <v>0</v>
      </c>
      <c r="F101" s="199">
        <f t="shared" ref="F101:F106" si="74">+E101+D101</f>
        <v>0</v>
      </c>
      <c r="G101" s="203">
        <f t="shared" ref="G101:G106" si="75">+K101+M101+O101+Q101+S101+U101+W101+Y101+AA101+AC101+AE101+AG101+AI101+AK101</f>
        <v>14397</v>
      </c>
      <c r="H101" s="204">
        <f t="shared" ref="H101:H106" si="76">+BA101+AY101+AW101+AU101+AS101+AQ101+AO101+AM101</f>
        <v>0</v>
      </c>
      <c r="I101" s="199">
        <f t="shared" ref="I101:I106" si="77">+H101+G101</f>
        <v>14397</v>
      </c>
      <c r="J101" s="201"/>
      <c r="K101" s="201">
        <v>14397</v>
      </c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1"/>
      <c r="AT101" s="201"/>
      <c r="AU101" s="201"/>
      <c r="AV101" s="201"/>
      <c r="AW101" s="201"/>
      <c r="AX101" s="201"/>
      <c r="AY101" s="201"/>
      <c r="AZ101" s="201"/>
      <c r="BA101" s="201"/>
    </row>
    <row r="102" spans="2:53" ht="27" hidden="1" customHeight="1" x14ac:dyDescent="0.25">
      <c r="B102" s="214" t="s">
        <v>654</v>
      </c>
      <c r="C102" s="212" t="s">
        <v>261</v>
      </c>
      <c r="D102" s="191">
        <f t="shared" si="72"/>
        <v>0</v>
      </c>
      <c r="E102" s="192">
        <f t="shared" si="73"/>
        <v>0</v>
      </c>
      <c r="F102" s="193">
        <f t="shared" si="74"/>
        <v>0</v>
      </c>
      <c r="G102" s="191">
        <f t="shared" si="75"/>
        <v>0</v>
      </c>
      <c r="H102" s="192">
        <f t="shared" si="76"/>
        <v>0</v>
      </c>
      <c r="I102" s="193">
        <f t="shared" si="77"/>
        <v>0</v>
      </c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</row>
    <row r="103" spans="2:53" hidden="1" x14ac:dyDescent="0.25">
      <c r="B103" s="195" t="s">
        <v>655</v>
      </c>
      <c r="C103" s="212" t="s">
        <v>263</v>
      </c>
      <c r="D103" s="191">
        <f t="shared" si="72"/>
        <v>0</v>
      </c>
      <c r="E103" s="192">
        <f t="shared" si="73"/>
        <v>0</v>
      </c>
      <c r="F103" s="193">
        <f t="shared" si="74"/>
        <v>0</v>
      </c>
      <c r="G103" s="191">
        <f t="shared" si="75"/>
        <v>0</v>
      </c>
      <c r="H103" s="192">
        <f t="shared" si="76"/>
        <v>0</v>
      </c>
      <c r="I103" s="193">
        <f t="shared" si="77"/>
        <v>0</v>
      </c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</row>
    <row r="104" spans="2:53" ht="27" hidden="1" customHeight="1" x14ac:dyDescent="0.25">
      <c r="B104" s="214" t="s">
        <v>264</v>
      </c>
      <c r="C104" s="212" t="s">
        <v>265</v>
      </c>
      <c r="D104" s="191">
        <f t="shared" si="72"/>
        <v>0</v>
      </c>
      <c r="E104" s="192">
        <f t="shared" si="73"/>
        <v>0</v>
      </c>
      <c r="F104" s="193">
        <f t="shared" si="74"/>
        <v>0</v>
      </c>
      <c r="G104" s="191">
        <f t="shared" si="75"/>
        <v>0</v>
      </c>
      <c r="H104" s="192">
        <f t="shared" si="76"/>
        <v>0</v>
      </c>
      <c r="I104" s="193">
        <f t="shared" si="77"/>
        <v>0</v>
      </c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</row>
    <row r="105" spans="2:53" ht="27" hidden="1" customHeight="1" x14ac:dyDescent="0.25">
      <c r="B105" s="214" t="s">
        <v>656</v>
      </c>
      <c r="C105" s="212" t="s">
        <v>267</v>
      </c>
      <c r="D105" s="191">
        <f t="shared" si="72"/>
        <v>0</v>
      </c>
      <c r="E105" s="192">
        <f t="shared" si="73"/>
        <v>0</v>
      </c>
      <c r="F105" s="193">
        <f t="shared" si="74"/>
        <v>0</v>
      </c>
      <c r="G105" s="191">
        <f t="shared" si="75"/>
        <v>0</v>
      </c>
      <c r="H105" s="192">
        <f t="shared" si="76"/>
        <v>0</v>
      </c>
      <c r="I105" s="193">
        <f t="shared" si="77"/>
        <v>0</v>
      </c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</row>
    <row r="106" spans="2:53" ht="15" customHeight="1" x14ac:dyDescent="0.25">
      <c r="B106" s="214" t="s">
        <v>268</v>
      </c>
      <c r="C106" s="212" t="s">
        <v>269</v>
      </c>
      <c r="D106" s="191">
        <f t="shared" si="72"/>
        <v>25400</v>
      </c>
      <c r="E106" s="192">
        <f t="shared" si="73"/>
        <v>0</v>
      </c>
      <c r="F106" s="193">
        <f t="shared" si="74"/>
        <v>25400</v>
      </c>
      <c r="G106" s="191">
        <f t="shared" si="75"/>
        <v>25400</v>
      </c>
      <c r="H106" s="192">
        <f t="shared" si="76"/>
        <v>0</v>
      </c>
      <c r="I106" s="193">
        <f t="shared" si="77"/>
        <v>25400</v>
      </c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>
        <v>25400</v>
      </c>
      <c r="Y106" s="191">
        <v>25400</v>
      </c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</row>
    <row r="107" spans="2:53" s="196" customFormat="1" ht="12.75" x14ac:dyDescent="0.2">
      <c r="B107" s="200" t="s">
        <v>270</v>
      </c>
      <c r="C107" s="213" t="s">
        <v>271</v>
      </c>
      <c r="D107" s="199">
        <f t="shared" ref="D107:AI107" si="78">SUM(D102:D106)</f>
        <v>25400</v>
      </c>
      <c r="E107" s="199">
        <f t="shared" si="78"/>
        <v>0</v>
      </c>
      <c r="F107" s="199">
        <f t="shared" si="78"/>
        <v>25400</v>
      </c>
      <c r="G107" s="199">
        <f t="shared" si="78"/>
        <v>25400</v>
      </c>
      <c r="H107" s="199">
        <f t="shared" si="78"/>
        <v>0</v>
      </c>
      <c r="I107" s="199">
        <f t="shared" si="78"/>
        <v>25400</v>
      </c>
      <c r="J107" s="199">
        <f t="shared" si="78"/>
        <v>0</v>
      </c>
      <c r="K107" s="199">
        <f t="shared" si="78"/>
        <v>0</v>
      </c>
      <c r="L107" s="199">
        <f t="shared" si="78"/>
        <v>0</v>
      </c>
      <c r="M107" s="199">
        <f t="shared" si="78"/>
        <v>0</v>
      </c>
      <c r="N107" s="199">
        <f t="shared" si="78"/>
        <v>0</v>
      </c>
      <c r="O107" s="199">
        <f t="shared" si="78"/>
        <v>0</v>
      </c>
      <c r="P107" s="199">
        <f t="shared" si="78"/>
        <v>0</v>
      </c>
      <c r="Q107" s="199">
        <f t="shared" si="78"/>
        <v>0</v>
      </c>
      <c r="R107" s="199">
        <f t="shared" si="78"/>
        <v>0</v>
      </c>
      <c r="S107" s="199">
        <f t="shared" si="78"/>
        <v>0</v>
      </c>
      <c r="T107" s="199">
        <f t="shared" si="78"/>
        <v>0</v>
      </c>
      <c r="U107" s="199">
        <f t="shared" si="78"/>
        <v>0</v>
      </c>
      <c r="V107" s="199">
        <f t="shared" si="78"/>
        <v>0</v>
      </c>
      <c r="W107" s="199">
        <f t="shared" si="78"/>
        <v>0</v>
      </c>
      <c r="X107" s="199">
        <f t="shared" si="78"/>
        <v>25400</v>
      </c>
      <c r="Y107" s="199">
        <f t="shared" si="78"/>
        <v>25400</v>
      </c>
      <c r="Z107" s="199">
        <f t="shared" si="78"/>
        <v>0</v>
      </c>
      <c r="AA107" s="199">
        <f t="shared" si="78"/>
        <v>0</v>
      </c>
      <c r="AB107" s="199">
        <f t="shared" si="78"/>
        <v>0</v>
      </c>
      <c r="AC107" s="199">
        <f t="shared" si="78"/>
        <v>0</v>
      </c>
      <c r="AD107" s="199">
        <f t="shared" si="78"/>
        <v>0</v>
      </c>
      <c r="AE107" s="199">
        <f t="shared" si="78"/>
        <v>0</v>
      </c>
      <c r="AF107" s="199">
        <f t="shared" si="78"/>
        <v>0</v>
      </c>
      <c r="AG107" s="199">
        <f t="shared" si="78"/>
        <v>0</v>
      </c>
      <c r="AH107" s="199">
        <f t="shared" si="78"/>
        <v>0</v>
      </c>
      <c r="AI107" s="199">
        <f t="shared" si="78"/>
        <v>0</v>
      </c>
      <c r="AJ107" s="199">
        <f t="shared" ref="AJ107:BA107" si="79">SUM(AJ102:AJ106)</f>
        <v>0</v>
      </c>
      <c r="AK107" s="199">
        <f t="shared" si="79"/>
        <v>0</v>
      </c>
      <c r="AL107" s="199">
        <f t="shared" si="79"/>
        <v>0</v>
      </c>
      <c r="AM107" s="199">
        <f t="shared" si="79"/>
        <v>0</v>
      </c>
      <c r="AN107" s="199">
        <f t="shared" si="79"/>
        <v>0</v>
      </c>
      <c r="AO107" s="199">
        <f t="shared" si="79"/>
        <v>0</v>
      </c>
      <c r="AP107" s="199">
        <f t="shared" si="79"/>
        <v>0</v>
      </c>
      <c r="AQ107" s="199">
        <f t="shared" si="79"/>
        <v>0</v>
      </c>
      <c r="AR107" s="199">
        <f t="shared" si="79"/>
        <v>0</v>
      </c>
      <c r="AS107" s="199">
        <f t="shared" si="79"/>
        <v>0</v>
      </c>
      <c r="AT107" s="199">
        <f t="shared" si="79"/>
        <v>0</v>
      </c>
      <c r="AU107" s="199">
        <f t="shared" si="79"/>
        <v>0</v>
      </c>
      <c r="AV107" s="199">
        <f t="shared" si="79"/>
        <v>0</v>
      </c>
      <c r="AW107" s="199">
        <f t="shared" si="79"/>
        <v>0</v>
      </c>
      <c r="AX107" s="199">
        <f t="shared" si="79"/>
        <v>0</v>
      </c>
      <c r="AY107" s="199">
        <f t="shared" si="79"/>
        <v>0</v>
      </c>
      <c r="AZ107" s="199">
        <f t="shared" si="79"/>
        <v>0</v>
      </c>
      <c r="BA107" s="199">
        <f t="shared" si="79"/>
        <v>0</v>
      </c>
    </row>
    <row r="108" spans="2:53" x14ac:dyDescent="0.25">
      <c r="B108" s="235" t="s">
        <v>272</v>
      </c>
      <c r="C108" s="215" t="s">
        <v>273</v>
      </c>
      <c r="D108" s="217">
        <f t="shared" ref="D108:AI108" si="80">+D107+D101+D100+D94+D82+D75+D74</f>
        <v>36153</v>
      </c>
      <c r="E108" s="217">
        <f t="shared" si="80"/>
        <v>381</v>
      </c>
      <c r="F108" s="217">
        <f t="shared" si="80"/>
        <v>36534</v>
      </c>
      <c r="G108" s="217">
        <f t="shared" si="80"/>
        <v>50550</v>
      </c>
      <c r="H108" s="217">
        <f t="shared" si="80"/>
        <v>381</v>
      </c>
      <c r="I108" s="217">
        <f t="shared" si="80"/>
        <v>50931</v>
      </c>
      <c r="J108" s="217">
        <f t="shared" si="80"/>
        <v>3121</v>
      </c>
      <c r="K108" s="217">
        <f t="shared" si="80"/>
        <v>17518</v>
      </c>
      <c r="L108" s="217">
        <f t="shared" si="80"/>
        <v>5086</v>
      </c>
      <c r="M108" s="217">
        <f t="shared" si="80"/>
        <v>5086</v>
      </c>
      <c r="N108" s="217">
        <f t="shared" si="80"/>
        <v>0</v>
      </c>
      <c r="O108" s="217">
        <f t="shared" si="80"/>
        <v>0</v>
      </c>
      <c r="P108" s="217">
        <f t="shared" si="80"/>
        <v>566</v>
      </c>
      <c r="Q108" s="217">
        <f t="shared" si="80"/>
        <v>566</v>
      </c>
      <c r="R108" s="217">
        <f t="shared" si="80"/>
        <v>0</v>
      </c>
      <c r="S108" s="217">
        <f t="shared" si="80"/>
        <v>0</v>
      </c>
      <c r="T108" s="217">
        <f t="shared" si="80"/>
        <v>0</v>
      </c>
      <c r="U108" s="217">
        <f t="shared" si="80"/>
        <v>0</v>
      </c>
      <c r="V108" s="217">
        <f t="shared" si="80"/>
        <v>1900</v>
      </c>
      <c r="W108" s="217">
        <f t="shared" si="80"/>
        <v>1900</v>
      </c>
      <c r="X108" s="217">
        <f t="shared" si="80"/>
        <v>25400</v>
      </c>
      <c r="Y108" s="217">
        <f t="shared" si="80"/>
        <v>25400</v>
      </c>
      <c r="Z108" s="217">
        <f t="shared" si="80"/>
        <v>0</v>
      </c>
      <c r="AA108" s="217">
        <f t="shared" si="80"/>
        <v>0</v>
      </c>
      <c r="AB108" s="217">
        <f t="shared" si="80"/>
        <v>0</v>
      </c>
      <c r="AC108" s="217">
        <f t="shared" si="80"/>
        <v>0</v>
      </c>
      <c r="AD108" s="217">
        <f t="shared" si="80"/>
        <v>80</v>
      </c>
      <c r="AE108" s="217">
        <f t="shared" si="80"/>
        <v>80</v>
      </c>
      <c r="AF108" s="217">
        <f t="shared" si="80"/>
        <v>0</v>
      </c>
      <c r="AG108" s="217">
        <f t="shared" si="80"/>
        <v>0</v>
      </c>
      <c r="AH108" s="217">
        <f t="shared" si="80"/>
        <v>0</v>
      </c>
      <c r="AI108" s="217">
        <f t="shared" si="80"/>
        <v>0</v>
      </c>
      <c r="AJ108" s="217">
        <f t="shared" ref="AJ108:BA108" si="81">+AJ107+AJ101+AJ100+AJ94+AJ82+AJ75+AJ74</f>
        <v>0</v>
      </c>
      <c r="AK108" s="217">
        <f t="shared" si="81"/>
        <v>0</v>
      </c>
      <c r="AL108" s="217">
        <f t="shared" si="81"/>
        <v>0</v>
      </c>
      <c r="AM108" s="217">
        <f t="shared" si="81"/>
        <v>0</v>
      </c>
      <c r="AN108" s="217">
        <f t="shared" si="81"/>
        <v>0</v>
      </c>
      <c r="AO108" s="217">
        <f t="shared" si="81"/>
        <v>0</v>
      </c>
      <c r="AP108" s="217">
        <f t="shared" si="81"/>
        <v>0</v>
      </c>
      <c r="AQ108" s="217">
        <f t="shared" si="81"/>
        <v>0</v>
      </c>
      <c r="AR108" s="217">
        <f t="shared" si="81"/>
        <v>0</v>
      </c>
      <c r="AS108" s="217">
        <f t="shared" si="81"/>
        <v>0</v>
      </c>
      <c r="AT108" s="217">
        <f t="shared" si="81"/>
        <v>381</v>
      </c>
      <c r="AU108" s="217">
        <f t="shared" si="81"/>
        <v>381</v>
      </c>
      <c r="AV108" s="217">
        <f t="shared" si="81"/>
        <v>0</v>
      </c>
      <c r="AW108" s="217">
        <f t="shared" si="81"/>
        <v>0</v>
      </c>
      <c r="AX108" s="217">
        <f t="shared" si="81"/>
        <v>0</v>
      </c>
      <c r="AY108" s="217">
        <f t="shared" si="81"/>
        <v>0</v>
      </c>
      <c r="AZ108" s="217">
        <f t="shared" si="81"/>
        <v>0</v>
      </c>
      <c r="BA108" s="217">
        <f t="shared" si="81"/>
        <v>0</v>
      </c>
    </row>
    <row r="109" spans="2:53" x14ac:dyDescent="0.25">
      <c r="B109" s="236" t="s">
        <v>274</v>
      </c>
      <c r="C109" s="237"/>
      <c r="D109" s="238">
        <f>+D101+D94+D82+D74-D33</f>
        <v>-289405</v>
      </c>
      <c r="E109" s="238">
        <f>+E101+E94+E82+E74-E33</f>
        <v>-972041</v>
      </c>
      <c r="F109" s="238">
        <f t="shared" ref="F109:F116" si="82">+E109+D109</f>
        <v>-1261446</v>
      </c>
      <c r="G109" s="238">
        <f>+G101+G94+G82+G74-G33</f>
        <v>-278141</v>
      </c>
      <c r="H109" s="238">
        <f>+H101+H94+H82+H74-H33</f>
        <v>-58928</v>
      </c>
      <c r="I109" s="238">
        <f t="shared" ref="I109:I116" si="83">+H109+G109</f>
        <v>-337069</v>
      </c>
      <c r="J109" s="238">
        <f t="shared" ref="J109:BA109" si="84">+J101+J94+J82+J74-J33</f>
        <v>-171513</v>
      </c>
      <c r="K109" s="238">
        <f t="shared" si="84"/>
        <v>-169829</v>
      </c>
      <c r="L109" s="238">
        <f t="shared" si="84"/>
        <v>-3614</v>
      </c>
      <c r="M109" s="238">
        <f t="shared" si="84"/>
        <v>-3614</v>
      </c>
      <c r="N109" s="238">
        <f t="shared" si="84"/>
        <v>-7046</v>
      </c>
      <c r="O109" s="238">
        <f t="shared" si="84"/>
        <v>-996</v>
      </c>
      <c r="P109" s="238">
        <f t="shared" si="84"/>
        <v>566</v>
      </c>
      <c r="Q109" s="238">
        <f t="shared" si="84"/>
        <v>566</v>
      </c>
      <c r="R109" s="238">
        <f t="shared" si="84"/>
        <v>-18821</v>
      </c>
      <c r="S109" s="238">
        <f t="shared" si="84"/>
        <v>-18821</v>
      </c>
      <c r="T109" s="238">
        <f t="shared" si="84"/>
        <v>-10859</v>
      </c>
      <c r="U109" s="238">
        <f t="shared" si="84"/>
        <v>-7329</v>
      </c>
      <c r="V109" s="238">
        <f t="shared" si="84"/>
        <v>-8260</v>
      </c>
      <c r="W109" s="238">
        <f t="shared" si="84"/>
        <v>-8260</v>
      </c>
      <c r="X109" s="238">
        <f t="shared" si="84"/>
        <v>-7074</v>
      </c>
      <c r="Y109" s="238">
        <f t="shared" si="84"/>
        <v>-7074</v>
      </c>
      <c r="Z109" s="238">
        <f t="shared" si="84"/>
        <v>-21400</v>
      </c>
      <c r="AA109" s="238">
        <f t="shared" si="84"/>
        <v>-21400</v>
      </c>
      <c r="AB109" s="238">
        <f t="shared" si="84"/>
        <v>-36322</v>
      </c>
      <c r="AC109" s="238">
        <f t="shared" si="84"/>
        <v>-36322</v>
      </c>
      <c r="AD109" s="238">
        <f t="shared" si="84"/>
        <v>-1845</v>
      </c>
      <c r="AE109" s="238">
        <f t="shared" si="84"/>
        <v>-1845</v>
      </c>
      <c r="AF109" s="238">
        <f t="shared" si="84"/>
        <v>-635</v>
      </c>
      <c r="AG109" s="238">
        <f t="shared" si="84"/>
        <v>-635</v>
      </c>
      <c r="AH109" s="238">
        <f t="shared" si="84"/>
        <v>-432</v>
      </c>
      <c r="AI109" s="238">
        <f t="shared" si="84"/>
        <v>-432</v>
      </c>
      <c r="AJ109" s="238">
        <f t="shared" si="84"/>
        <v>-2150</v>
      </c>
      <c r="AK109" s="238">
        <f t="shared" si="84"/>
        <v>-2150</v>
      </c>
      <c r="AL109" s="238">
        <f t="shared" si="84"/>
        <v>-12000</v>
      </c>
      <c r="AM109" s="238">
        <f t="shared" si="84"/>
        <v>-12000</v>
      </c>
      <c r="AN109" s="238">
        <f t="shared" si="84"/>
        <v>0</v>
      </c>
      <c r="AO109" s="238">
        <f t="shared" si="84"/>
        <v>0</v>
      </c>
      <c r="AP109" s="238">
        <f t="shared" si="84"/>
        <v>-938818</v>
      </c>
      <c r="AQ109" s="238">
        <f t="shared" si="84"/>
        <v>-25455</v>
      </c>
      <c r="AR109" s="238">
        <f t="shared" si="84"/>
        <v>-12400</v>
      </c>
      <c r="AS109" s="238">
        <f t="shared" si="84"/>
        <v>-12400</v>
      </c>
      <c r="AT109" s="238">
        <f t="shared" si="84"/>
        <v>-2073</v>
      </c>
      <c r="AU109" s="238">
        <f t="shared" si="84"/>
        <v>-2073</v>
      </c>
      <c r="AV109" s="238">
        <f t="shared" si="84"/>
        <v>-2000</v>
      </c>
      <c r="AW109" s="238">
        <f t="shared" si="84"/>
        <v>-2000</v>
      </c>
      <c r="AX109" s="238">
        <f t="shared" si="84"/>
        <v>-4300</v>
      </c>
      <c r="AY109" s="238">
        <f t="shared" si="84"/>
        <v>-4550</v>
      </c>
      <c r="AZ109" s="238">
        <f t="shared" si="84"/>
        <v>-450</v>
      </c>
      <c r="BA109" s="238">
        <f t="shared" si="84"/>
        <v>-450</v>
      </c>
    </row>
    <row r="110" spans="2:53" x14ac:dyDescent="0.25">
      <c r="B110" s="236" t="s">
        <v>275</v>
      </c>
      <c r="C110" s="237"/>
      <c r="D110" s="238">
        <f>+D107+D100+D75-D57</f>
        <v>0</v>
      </c>
      <c r="E110" s="238">
        <f>+E107+E100+E75-E57</f>
        <v>-3000</v>
      </c>
      <c r="F110" s="238">
        <f t="shared" si="82"/>
        <v>-3000</v>
      </c>
      <c r="G110" s="238">
        <f>+G107+G100+G75-G57</f>
        <v>-3062</v>
      </c>
      <c r="H110" s="238">
        <f>+H107+H100+H75-H57</f>
        <v>-3000</v>
      </c>
      <c r="I110" s="238">
        <f t="shared" si="83"/>
        <v>-6062</v>
      </c>
      <c r="J110" s="238">
        <f t="shared" ref="J110:BA110" si="85">+J107+J100+J75-J57</f>
        <v>0</v>
      </c>
      <c r="K110" s="238">
        <f t="shared" si="85"/>
        <v>-100</v>
      </c>
      <c r="L110" s="238">
        <f t="shared" si="85"/>
        <v>0</v>
      </c>
      <c r="M110" s="238">
        <f t="shared" si="85"/>
        <v>-600</v>
      </c>
      <c r="N110" s="238">
        <f t="shared" si="85"/>
        <v>0</v>
      </c>
      <c r="O110" s="238">
        <f t="shared" si="85"/>
        <v>-2362</v>
      </c>
      <c r="P110" s="238">
        <f t="shared" si="85"/>
        <v>0</v>
      </c>
      <c r="Q110" s="238">
        <f t="shared" si="85"/>
        <v>0</v>
      </c>
      <c r="R110" s="238">
        <f t="shared" si="85"/>
        <v>0</v>
      </c>
      <c r="S110" s="238">
        <f t="shared" si="85"/>
        <v>0</v>
      </c>
      <c r="T110" s="238">
        <f t="shared" si="85"/>
        <v>0</v>
      </c>
      <c r="U110" s="238">
        <f t="shared" si="85"/>
        <v>0</v>
      </c>
      <c r="V110" s="238">
        <f t="shared" si="85"/>
        <v>0</v>
      </c>
      <c r="W110" s="238">
        <f t="shared" si="85"/>
        <v>0</v>
      </c>
      <c r="X110" s="238">
        <f t="shared" si="85"/>
        <v>0</v>
      </c>
      <c r="Y110" s="238">
        <f t="shared" si="85"/>
        <v>0</v>
      </c>
      <c r="Z110" s="238">
        <f t="shared" si="85"/>
        <v>0</v>
      </c>
      <c r="AA110" s="238">
        <f t="shared" si="85"/>
        <v>0</v>
      </c>
      <c r="AB110" s="238">
        <f t="shared" si="85"/>
        <v>0</v>
      </c>
      <c r="AC110" s="238">
        <f t="shared" si="85"/>
        <v>0</v>
      </c>
      <c r="AD110" s="238">
        <f t="shared" si="85"/>
        <v>0</v>
      </c>
      <c r="AE110" s="238">
        <f t="shared" si="85"/>
        <v>0</v>
      </c>
      <c r="AF110" s="238">
        <f t="shared" si="85"/>
        <v>0</v>
      </c>
      <c r="AG110" s="238">
        <f t="shared" si="85"/>
        <v>0</v>
      </c>
      <c r="AH110" s="238">
        <f t="shared" si="85"/>
        <v>0</v>
      </c>
      <c r="AI110" s="238">
        <f t="shared" si="85"/>
        <v>0</v>
      </c>
      <c r="AJ110" s="238">
        <f t="shared" si="85"/>
        <v>0</v>
      </c>
      <c r="AK110" s="238">
        <f t="shared" si="85"/>
        <v>0</v>
      </c>
      <c r="AL110" s="238">
        <f t="shared" si="85"/>
        <v>0</v>
      </c>
      <c r="AM110" s="238">
        <f t="shared" si="85"/>
        <v>0</v>
      </c>
      <c r="AN110" s="238">
        <f t="shared" si="85"/>
        <v>0</v>
      </c>
      <c r="AO110" s="238">
        <f t="shared" si="85"/>
        <v>0</v>
      </c>
      <c r="AP110" s="238">
        <f t="shared" si="85"/>
        <v>0</v>
      </c>
      <c r="AQ110" s="238">
        <f t="shared" si="85"/>
        <v>0</v>
      </c>
      <c r="AR110" s="238">
        <f t="shared" si="85"/>
        <v>-3000</v>
      </c>
      <c r="AS110" s="238">
        <f t="shared" si="85"/>
        <v>-3000</v>
      </c>
      <c r="AT110" s="238">
        <f t="shared" si="85"/>
        <v>0</v>
      </c>
      <c r="AU110" s="238">
        <f t="shared" si="85"/>
        <v>0</v>
      </c>
      <c r="AV110" s="238">
        <f t="shared" si="85"/>
        <v>0</v>
      </c>
      <c r="AW110" s="238">
        <f t="shared" si="85"/>
        <v>0</v>
      </c>
      <c r="AX110" s="238">
        <f t="shared" si="85"/>
        <v>0</v>
      </c>
      <c r="AY110" s="238">
        <f t="shared" si="85"/>
        <v>0</v>
      </c>
      <c r="AZ110" s="238">
        <f t="shared" si="85"/>
        <v>0</v>
      </c>
      <c r="BA110" s="238">
        <f t="shared" si="85"/>
        <v>0</v>
      </c>
    </row>
    <row r="111" spans="2:53" hidden="1" x14ac:dyDescent="0.25">
      <c r="B111" s="239" t="s">
        <v>657</v>
      </c>
      <c r="C111" s="240" t="s">
        <v>283</v>
      </c>
      <c r="D111" s="191">
        <f t="shared" ref="D111:D116" si="86">+J111+L111+N111+P111+R111+T111+V111+X111+Z111+AB111+AD111+AF111+AH111+AJ111</f>
        <v>0</v>
      </c>
      <c r="E111" s="192">
        <f t="shared" ref="E111:E116" si="87">+AL111+AN111+AP111+AR111+AV111+AX111+AZ111+AT111</f>
        <v>0</v>
      </c>
      <c r="F111" s="193">
        <f t="shared" si="82"/>
        <v>0</v>
      </c>
      <c r="G111" s="191">
        <f t="shared" ref="G111:G125" si="88">+K111+M111+O111+Q111+S111+U111+W111+Y111+AA111+AC111+AE111+AG111+AI111+AK111</f>
        <v>0</v>
      </c>
      <c r="H111" s="192">
        <f t="shared" ref="H111:H125" si="89">+BA111+AY111+AW111+AU111+AS111+AQ111+AO111+AM111</f>
        <v>0</v>
      </c>
      <c r="I111" s="193">
        <f t="shared" si="83"/>
        <v>0</v>
      </c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</row>
    <row r="112" spans="2:53" hidden="1" x14ac:dyDescent="0.25">
      <c r="B112" s="241" t="s">
        <v>658</v>
      </c>
      <c r="C112" s="240" t="s">
        <v>293</v>
      </c>
      <c r="D112" s="191">
        <f t="shared" si="86"/>
        <v>0</v>
      </c>
      <c r="E112" s="192">
        <f t="shared" si="87"/>
        <v>0</v>
      </c>
      <c r="F112" s="193">
        <f t="shared" si="82"/>
        <v>0</v>
      </c>
      <c r="G112" s="191">
        <f t="shared" si="88"/>
        <v>0</v>
      </c>
      <c r="H112" s="192">
        <f t="shared" si="89"/>
        <v>0</v>
      </c>
      <c r="I112" s="193">
        <f t="shared" si="83"/>
        <v>0</v>
      </c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</row>
    <row r="113" spans="2:53" ht="14.25" customHeight="1" x14ac:dyDescent="0.25">
      <c r="B113" s="195" t="s">
        <v>294</v>
      </c>
      <c r="C113" s="195" t="s">
        <v>295</v>
      </c>
      <c r="D113" s="191">
        <f t="shared" si="86"/>
        <v>105211</v>
      </c>
      <c r="E113" s="192">
        <f t="shared" si="87"/>
        <v>0</v>
      </c>
      <c r="F113" s="193">
        <f t="shared" si="82"/>
        <v>105211</v>
      </c>
      <c r="G113" s="191">
        <f t="shared" si="88"/>
        <v>103346</v>
      </c>
      <c r="H113" s="192">
        <f t="shared" si="89"/>
        <v>0</v>
      </c>
      <c r="I113" s="193">
        <f t="shared" si="83"/>
        <v>103346</v>
      </c>
      <c r="J113" s="191">
        <v>105211</v>
      </c>
      <c r="K113" s="191">
        <f>105211-1865</f>
        <v>103346</v>
      </c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</row>
    <row r="114" spans="2:53" x14ac:dyDescent="0.25">
      <c r="B114" s="195" t="s">
        <v>659</v>
      </c>
      <c r="C114" s="195" t="s">
        <v>295</v>
      </c>
      <c r="D114" s="191">
        <f t="shared" si="86"/>
        <v>0</v>
      </c>
      <c r="E114" s="192">
        <f t="shared" si="87"/>
        <v>0</v>
      </c>
      <c r="F114" s="193">
        <f t="shared" si="82"/>
        <v>0</v>
      </c>
      <c r="G114" s="191">
        <f t="shared" si="88"/>
        <v>0</v>
      </c>
      <c r="H114" s="192">
        <f t="shared" si="89"/>
        <v>0</v>
      </c>
      <c r="I114" s="193">
        <f t="shared" si="83"/>
        <v>0</v>
      </c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</row>
    <row r="115" spans="2:53" hidden="1" x14ac:dyDescent="0.25">
      <c r="B115" s="195" t="s">
        <v>297</v>
      </c>
      <c r="C115" s="195" t="s">
        <v>298</v>
      </c>
      <c r="D115" s="191">
        <f t="shared" si="86"/>
        <v>0</v>
      </c>
      <c r="E115" s="192">
        <f t="shared" si="87"/>
        <v>0</v>
      </c>
      <c r="F115" s="193">
        <f t="shared" si="82"/>
        <v>0</v>
      </c>
      <c r="G115" s="191">
        <f t="shared" si="88"/>
        <v>0</v>
      </c>
      <c r="H115" s="192">
        <f t="shared" si="89"/>
        <v>0</v>
      </c>
      <c r="I115" s="193">
        <f t="shared" si="83"/>
        <v>0</v>
      </c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</row>
    <row r="116" spans="2:53" hidden="1" x14ac:dyDescent="0.25">
      <c r="B116" s="195" t="s">
        <v>660</v>
      </c>
      <c r="C116" s="195" t="s">
        <v>298</v>
      </c>
      <c r="D116" s="191">
        <f t="shared" si="86"/>
        <v>0</v>
      </c>
      <c r="E116" s="192">
        <f t="shared" si="87"/>
        <v>0</v>
      </c>
      <c r="F116" s="193">
        <f t="shared" si="82"/>
        <v>0</v>
      </c>
      <c r="G116" s="191">
        <f t="shared" si="88"/>
        <v>0</v>
      </c>
      <c r="H116" s="192">
        <f t="shared" si="89"/>
        <v>0</v>
      </c>
      <c r="I116" s="193">
        <f t="shared" si="83"/>
        <v>0</v>
      </c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</row>
    <row r="117" spans="2:53" x14ac:dyDescent="0.25">
      <c r="B117" s="240" t="s">
        <v>300</v>
      </c>
      <c r="C117" s="240" t="s">
        <v>301</v>
      </c>
      <c r="D117" s="193">
        <f>SUM(D113:D116)</f>
        <v>105211</v>
      </c>
      <c r="E117" s="193">
        <f>SUM(E113:E116)</f>
        <v>0</v>
      </c>
      <c r="F117" s="193">
        <f>SUM(F113:F116)</f>
        <v>105211</v>
      </c>
      <c r="G117" s="191">
        <f t="shared" si="88"/>
        <v>103346</v>
      </c>
      <c r="H117" s="192">
        <f t="shared" si="89"/>
        <v>0</v>
      </c>
      <c r="I117" s="193">
        <f t="shared" ref="I117:BA117" si="90">SUM(I113:I116)</f>
        <v>103346</v>
      </c>
      <c r="J117" s="193">
        <f t="shared" si="90"/>
        <v>105211</v>
      </c>
      <c r="K117" s="193">
        <f t="shared" si="90"/>
        <v>103346</v>
      </c>
      <c r="L117" s="193">
        <f t="shared" si="90"/>
        <v>0</v>
      </c>
      <c r="M117" s="193">
        <f t="shared" si="90"/>
        <v>0</v>
      </c>
      <c r="N117" s="193">
        <f t="shared" si="90"/>
        <v>0</v>
      </c>
      <c r="O117" s="193">
        <f t="shared" si="90"/>
        <v>0</v>
      </c>
      <c r="P117" s="193">
        <f t="shared" si="90"/>
        <v>0</v>
      </c>
      <c r="Q117" s="193">
        <f t="shared" si="90"/>
        <v>0</v>
      </c>
      <c r="R117" s="193">
        <f t="shared" si="90"/>
        <v>0</v>
      </c>
      <c r="S117" s="193">
        <f t="shared" si="90"/>
        <v>0</v>
      </c>
      <c r="T117" s="193">
        <f t="shared" si="90"/>
        <v>0</v>
      </c>
      <c r="U117" s="193">
        <f t="shared" si="90"/>
        <v>0</v>
      </c>
      <c r="V117" s="193">
        <f t="shared" si="90"/>
        <v>0</v>
      </c>
      <c r="W117" s="193">
        <f t="shared" si="90"/>
        <v>0</v>
      </c>
      <c r="X117" s="193">
        <f t="shared" si="90"/>
        <v>0</v>
      </c>
      <c r="Y117" s="193">
        <f t="shared" si="90"/>
        <v>0</v>
      </c>
      <c r="Z117" s="193">
        <f t="shared" si="90"/>
        <v>0</v>
      </c>
      <c r="AA117" s="193">
        <f t="shared" si="90"/>
        <v>0</v>
      </c>
      <c r="AB117" s="193">
        <f t="shared" si="90"/>
        <v>0</v>
      </c>
      <c r="AC117" s="193">
        <f t="shared" si="90"/>
        <v>0</v>
      </c>
      <c r="AD117" s="193">
        <f t="shared" si="90"/>
        <v>0</v>
      </c>
      <c r="AE117" s="193">
        <f t="shared" si="90"/>
        <v>0</v>
      </c>
      <c r="AF117" s="193">
        <f t="shared" si="90"/>
        <v>0</v>
      </c>
      <c r="AG117" s="193">
        <f t="shared" si="90"/>
        <v>0</v>
      </c>
      <c r="AH117" s="193">
        <f t="shared" si="90"/>
        <v>0</v>
      </c>
      <c r="AI117" s="193">
        <f t="shared" si="90"/>
        <v>0</v>
      </c>
      <c r="AJ117" s="193">
        <f t="shared" si="90"/>
        <v>0</v>
      </c>
      <c r="AK117" s="193">
        <f t="shared" si="90"/>
        <v>0</v>
      </c>
      <c r="AL117" s="193">
        <f t="shared" si="90"/>
        <v>0</v>
      </c>
      <c r="AM117" s="193">
        <f t="shared" si="90"/>
        <v>0</v>
      </c>
      <c r="AN117" s="193">
        <f t="shared" si="90"/>
        <v>0</v>
      </c>
      <c r="AO117" s="193">
        <f t="shared" si="90"/>
        <v>0</v>
      </c>
      <c r="AP117" s="193">
        <f t="shared" si="90"/>
        <v>0</v>
      </c>
      <c r="AQ117" s="193">
        <f t="shared" si="90"/>
        <v>0</v>
      </c>
      <c r="AR117" s="193">
        <f t="shared" si="90"/>
        <v>0</v>
      </c>
      <c r="AS117" s="193">
        <f t="shared" si="90"/>
        <v>0</v>
      </c>
      <c r="AT117" s="193">
        <f t="shared" si="90"/>
        <v>0</v>
      </c>
      <c r="AU117" s="193">
        <f t="shared" si="90"/>
        <v>0</v>
      </c>
      <c r="AV117" s="193">
        <f t="shared" si="90"/>
        <v>0</v>
      </c>
      <c r="AW117" s="193">
        <f t="shared" si="90"/>
        <v>0</v>
      </c>
      <c r="AX117" s="193">
        <f t="shared" si="90"/>
        <v>0</v>
      </c>
      <c r="AY117" s="193">
        <f t="shared" si="90"/>
        <v>0</v>
      </c>
      <c r="AZ117" s="193">
        <f t="shared" si="90"/>
        <v>0</v>
      </c>
      <c r="BA117" s="193">
        <f t="shared" si="90"/>
        <v>0</v>
      </c>
    </row>
    <row r="118" spans="2:53" hidden="1" x14ac:dyDescent="0.25">
      <c r="B118" s="218" t="s">
        <v>302</v>
      </c>
      <c r="C118" s="195" t="s">
        <v>303</v>
      </c>
      <c r="D118" s="191">
        <f>+J118+L118+N118+P118+R118+T118+V118+X118+Z118+AB118+AD118+AF118+AH118+AJ118</f>
        <v>0</v>
      </c>
      <c r="E118" s="192">
        <f t="shared" ref="E118:E125" si="91">+AL118+AN118+AP118+AR118+AV118+AX118+AZ118+AT118</f>
        <v>0</v>
      </c>
      <c r="F118" s="193">
        <f t="shared" ref="F118:F125" si="92">+E118+D118</f>
        <v>0</v>
      </c>
      <c r="G118" s="191">
        <f t="shared" si="88"/>
        <v>0</v>
      </c>
      <c r="H118" s="192">
        <f t="shared" si="89"/>
        <v>0</v>
      </c>
      <c r="I118" s="193">
        <f t="shared" ref="I118:I125" si="93">+H118+G118</f>
        <v>0</v>
      </c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</row>
    <row r="119" spans="2:53" hidden="1" x14ac:dyDescent="0.25">
      <c r="B119" s="218" t="s">
        <v>304</v>
      </c>
      <c r="C119" s="195" t="s">
        <v>305</v>
      </c>
      <c r="D119" s="191">
        <f>+J119+L119+N119+P119+R119+T119+V119+X119+Z119+AB119+AD119+AF119+AH119+AJ119</f>
        <v>0</v>
      </c>
      <c r="E119" s="192">
        <f t="shared" si="91"/>
        <v>0</v>
      </c>
      <c r="F119" s="193">
        <f t="shared" si="92"/>
        <v>0</v>
      </c>
      <c r="G119" s="191">
        <f t="shared" si="88"/>
        <v>0</v>
      </c>
      <c r="H119" s="192">
        <f t="shared" si="89"/>
        <v>0</v>
      </c>
      <c r="I119" s="193">
        <f t="shared" si="93"/>
        <v>0</v>
      </c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</row>
    <row r="120" spans="2:53" hidden="1" x14ac:dyDescent="0.25">
      <c r="B120" s="218" t="s">
        <v>306</v>
      </c>
      <c r="C120" s="195" t="s">
        <v>307</v>
      </c>
      <c r="D120" s="191">
        <f>+J120+L120+N120+P120+R120+T120+V120+X120+Z120+AB120+AD120+AF120+AH120+AJ120</f>
        <v>0</v>
      </c>
      <c r="E120" s="192">
        <f t="shared" si="91"/>
        <v>0</v>
      </c>
      <c r="F120" s="193">
        <f t="shared" si="92"/>
        <v>0</v>
      </c>
      <c r="G120" s="191">
        <f t="shared" si="88"/>
        <v>0</v>
      </c>
      <c r="H120" s="192">
        <f t="shared" si="89"/>
        <v>0</v>
      </c>
      <c r="I120" s="193">
        <f t="shared" si="93"/>
        <v>0</v>
      </c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</row>
    <row r="121" spans="2:53" hidden="1" x14ac:dyDescent="0.25">
      <c r="B121" s="242" t="s">
        <v>661</v>
      </c>
      <c r="C121" s="195"/>
      <c r="D121" s="191"/>
      <c r="E121" s="192">
        <f t="shared" si="91"/>
        <v>0</v>
      </c>
      <c r="F121" s="193">
        <f t="shared" si="92"/>
        <v>0</v>
      </c>
      <c r="G121" s="191">
        <f t="shared" si="88"/>
        <v>0</v>
      </c>
      <c r="H121" s="192">
        <f t="shared" si="89"/>
        <v>0</v>
      </c>
      <c r="I121" s="193">
        <f t="shared" si="93"/>
        <v>0</v>
      </c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</row>
    <row r="122" spans="2:53" hidden="1" x14ac:dyDescent="0.25">
      <c r="B122" s="243" t="s">
        <v>662</v>
      </c>
      <c r="C122" s="195"/>
      <c r="D122" s="191">
        <f>+D120-D121</f>
        <v>0</v>
      </c>
      <c r="E122" s="192">
        <f t="shared" si="91"/>
        <v>0</v>
      </c>
      <c r="F122" s="193">
        <f t="shared" si="92"/>
        <v>0</v>
      </c>
      <c r="G122" s="191">
        <f t="shared" si="88"/>
        <v>0</v>
      </c>
      <c r="H122" s="192">
        <f t="shared" si="89"/>
        <v>0</v>
      </c>
      <c r="I122" s="193">
        <f t="shared" si="93"/>
        <v>0</v>
      </c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</row>
    <row r="123" spans="2:53" hidden="1" x14ac:dyDescent="0.25">
      <c r="B123" s="218" t="s">
        <v>308</v>
      </c>
      <c r="C123" s="195" t="s">
        <v>309</v>
      </c>
      <c r="D123" s="191">
        <f>+J123+L123+N123+P123+R123+T123+V123+X123+Z123+AB123+AD123+AF123+AH123+AJ123</f>
        <v>0</v>
      </c>
      <c r="E123" s="192">
        <f t="shared" si="91"/>
        <v>0</v>
      </c>
      <c r="F123" s="193">
        <f t="shared" si="92"/>
        <v>0</v>
      </c>
      <c r="G123" s="191">
        <f t="shared" si="88"/>
        <v>0</v>
      </c>
      <c r="H123" s="192">
        <f t="shared" si="89"/>
        <v>0</v>
      </c>
      <c r="I123" s="193">
        <f t="shared" si="93"/>
        <v>0</v>
      </c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</row>
    <row r="124" spans="2:53" hidden="1" x14ac:dyDescent="0.25">
      <c r="B124" s="214" t="s">
        <v>310</v>
      </c>
      <c r="C124" s="195" t="s">
        <v>311</v>
      </c>
      <c r="D124" s="191">
        <f>+J124+L124+N124+P124+R124+T124+V124+X124+Z124+AB124+AD124+AF124+AH124+AJ124</f>
        <v>0</v>
      </c>
      <c r="E124" s="192">
        <f t="shared" si="91"/>
        <v>0</v>
      </c>
      <c r="F124" s="193">
        <f t="shared" si="92"/>
        <v>0</v>
      </c>
      <c r="G124" s="191">
        <f t="shared" si="88"/>
        <v>0</v>
      </c>
      <c r="H124" s="192">
        <f t="shared" si="89"/>
        <v>0</v>
      </c>
      <c r="I124" s="193">
        <f t="shared" si="93"/>
        <v>0</v>
      </c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</row>
    <row r="125" spans="2:53" hidden="1" x14ac:dyDescent="0.25">
      <c r="B125" s="214" t="s">
        <v>312</v>
      </c>
      <c r="C125" s="195" t="s">
        <v>313</v>
      </c>
      <c r="D125" s="191">
        <f>+J125+L125+N125+P125+R125+T125+V125+X125+Z125+AB125+AD125+AF125+AH125+AJ125</f>
        <v>0</v>
      </c>
      <c r="E125" s="192">
        <f t="shared" si="91"/>
        <v>0</v>
      </c>
      <c r="F125" s="193">
        <f t="shared" si="92"/>
        <v>0</v>
      </c>
      <c r="G125" s="191">
        <f t="shared" si="88"/>
        <v>0</v>
      </c>
      <c r="H125" s="192">
        <f t="shared" si="89"/>
        <v>0</v>
      </c>
      <c r="I125" s="193">
        <f t="shared" si="93"/>
        <v>0</v>
      </c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</row>
    <row r="126" spans="2:53" s="196" customFormat="1" ht="12.75" x14ac:dyDescent="0.2">
      <c r="B126" s="205" t="s">
        <v>314</v>
      </c>
      <c r="C126" s="200" t="s">
        <v>315</v>
      </c>
      <c r="D126" s="199">
        <f t="shared" ref="D126:I126" si="94">SUM(D118:D125)+D117+D112+D111</f>
        <v>105211</v>
      </c>
      <c r="E126" s="199">
        <f t="shared" si="94"/>
        <v>0</v>
      </c>
      <c r="F126" s="199">
        <f t="shared" si="94"/>
        <v>105211</v>
      </c>
      <c r="G126" s="199">
        <f t="shared" si="94"/>
        <v>103346</v>
      </c>
      <c r="H126" s="199">
        <f t="shared" si="94"/>
        <v>0</v>
      </c>
      <c r="I126" s="199">
        <f t="shared" si="94"/>
        <v>103346</v>
      </c>
      <c r="J126" s="199">
        <f t="shared" ref="J126:BA126" si="95">SUM(J118:J124)+J117+J112+J111</f>
        <v>105211</v>
      </c>
      <c r="K126" s="199">
        <f t="shared" si="95"/>
        <v>103346</v>
      </c>
      <c r="L126" s="199">
        <f t="shared" si="95"/>
        <v>0</v>
      </c>
      <c r="M126" s="199">
        <f t="shared" si="95"/>
        <v>0</v>
      </c>
      <c r="N126" s="199">
        <f t="shared" si="95"/>
        <v>0</v>
      </c>
      <c r="O126" s="199">
        <f t="shared" si="95"/>
        <v>0</v>
      </c>
      <c r="P126" s="199">
        <f t="shared" si="95"/>
        <v>0</v>
      </c>
      <c r="Q126" s="199">
        <f t="shared" si="95"/>
        <v>0</v>
      </c>
      <c r="R126" s="199">
        <f t="shared" si="95"/>
        <v>0</v>
      </c>
      <c r="S126" s="199">
        <f t="shared" si="95"/>
        <v>0</v>
      </c>
      <c r="T126" s="199">
        <f t="shared" si="95"/>
        <v>0</v>
      </c>
      <c r="U126" s="199">
        <f t="shared" si="95"/>
        <v>0</v>
      </c>
      <c r="V126" s="199">
        <f t="shared" si="95"/>
        <v>0</v>
      </c>
      <c r="W126" s="199">
        <f t="shared" si="95"/>
        <v>0</v>
      </c>
      <c r="X126" s="199">
        <f t="shared" si="95"/>
        <v>0</v>
      </c>
      <c r="Y126" s="199">
        <f t="shared" si="95"/>
        <v>0</v>
      </c>
      <c r="Z126" s="199">
        <f t="shared" si="95"/>
        <v>0</v>
      </c>
      <c r="AA126" s="199">
        <f t="shared" si="95"/>
        <v>0</v>
      </c>
      <c r="AB126" s="199">
        <f t="shared" si="95"/>
        <v>0</v>
      </c>
      <c r="AC126" s="199">
        <f t="shared" si="95"/>
        <v>0</v>
      </c>
      <c r="AD126" s="199">
        <f t="shared" si="95"/>
        <v>0</v>
      </c>
      <c r="AE126" s="199">
        <f t="shared" si="95"/>
        <v>0</v>
      </c>
      <c r="AF126" s="199">
        <f t="shared" si="95"/>
        <v>0</v>
      </c>
      <c r="AG126" s="199">
        <f t="shared" si="95"/>
        <v>0</v>
      </c>
      <c r="AH126" s="199">
        <f t="shared" si="95"/>
        <v>0</v>
      </c>
      <c r="AI126" s="199">
        <f t="shared" si="95"/>
        <v>0</v>
      </c>
      <c r="AJ126" s="199">
        <f t="shared" si="95"/>
        <v>0</v>
      </c>
      <c r="AK126" s="199">
        <f t="shared" si="95"/>
        <v>0</v>
      </c>
      <c r="AL126" s="199">
        <f t="shared" si="95"/>
        <v>0</v>
      </c>
      <c r="AM126" s="199">
        <f t="shared" si="95"/>
        <v>0</v>
      </c>
      <c r="AN126" s="199">
        <f t="shared" si="95"/>
        <v>0</v>
      </c>
      <c r="AO126" s="199">
        <f t="shared" si="95"/>
        <v>0</v>
      </c>
      <c r="AP126" s="199">
        <f t="shared" si="95"/>
        <v>0</v>
      </c>
      <c r="AQ126" s="199">
        <f t="shared" si="95"/>
        <v>0</v>
      </c>
      <c r="AR126" s="199">
        <f t="shared" si="95"/>
        <v>0</v>
      </c>
      <c r="AS126" s="199">
        <f t="shared" si="95"/>
        <v>0</v>
      </c>
      <c r="AT126" s="199">
        <f t="shared" si="95"/>
        <v>0</v>
      </c>
      <c r="AU126" s="199">
        <f t="shared" si="95"/>
        <v>0</v>
      </c>
      <c r="AV126" s="199">
        <f t="shared" si="95"/>
        <v>0</v>
      </c>
      <c r="AW126" s="199">
        <f t="shared" si="95"/>
        <v>0</v>
      </c>
      <c r="AX126" s="199">
        <f t="shared" si="95"/>
        <v>0</v>
      </c>
      <c r="AY126" s="199">
        <f t="shared" si="95"/>
        <v>0</v>
      </c>
      <c r="AZ126" s="199">
        <f t="shared" si="95"/>
        <v>0</v>
      </c>
      <c r="BA126" s="199">
        <f t="shared" si="95"/>
        <v>0</v>
      </c>
    </row>
    <row r="127" spans="2:53" hidden="1" x14ac:dyDescent="0.25">
      <c r="B127" s="218" t="s">
        <v>316</v>
      </c>
      <c r="C127" s="195" t="s">
        <v>317</v>
      </c>
      <c r="D127" s="191">
        <f>+J127+L127+N127+P127+R127+T127+V127+X127+Z127+AB127+AD127+AF127+AH127+AJ127</f>
        <v>0</v>
      </c>
      <c r="E127" s="191">
        <f>+AL127+AN127+AP127+AR127+AV127+AX127+AZ127</f>
        <v>0</v>
      </c>
      <c r="F127" s="193">
        <f>+E127+D127</f>
        <v>0</v>
      </c>
      <c r="G127" s="191">
        <f>+P127+R127+T127+V127+X127+Z127+AB127+AD127+AF127+AH127+AJ127+AL127+AN127+AP127</f>
        <v>0</v>
      </c>
      <c r="H127" s="191">
        <f>+AR127+AT127+AV127+AX127+BB127+BC127+BD127</f>
        <v>0</v>
      </c>
      <c r="I127" s="193">
        <f>+H127+G127</f>
        <v>0</v>
      </c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</row>
    <row r="128" spans="2:53" hidden="1" x14ac:dyDescent="0.25">
      <c r="B128" s="214" t="s">
        <v>318</v>
      </c>
      <c r="C128" s="195" t="s">
        <v>319</v>
      </c>
      <c r="D128" s="191">
        <f>+J128+L128+N128+P128+R128+T128+V128+X128+Z128+AB128+AD128+AF128+AH128+AJ128</f>
        <v>0</v>
      </c>
      <c r="E128" s="191">
        <f>+AL128+AN128+AP128+AR128+AV128+AX128+AZ128</f>
        <v>0</v>
      </c>
      <c r="F128" s="193">
        <f>+E128+D128</f>
        <v>0</v>
      </c>
      <c r="G128" s="191">
        <f>+P128+R128+T128+V128+X128+Z128+AB128+AD128+AF128+AH128+AJ128+AL128+AN128+AP128</f>
        <v>0</v>
      </c>
      <c r="H128" s="191">
        <f>+AR128+AT128+AV128+AX128+BB128+BC128+BD128</f>
        <v>0</v>
      </c>
      <c r="I128" s="193">
        <f>+H128+G128</f>
        <v>0</v>
      </c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</row>
    <row r="129" spans="2:53" hidden="1" x14ac:dyDescent="0.25">
      <c r="B129" s="214" t="s">
        <v>320</v>
      </c>
      <c r="C129" s="195" t="s">
        <v>321</v>
      </c>
      <c r="D129" s="191">
        <f>+J129+L129+N129+P129+R129+T129+V129+X129+Z129+AB129+AD129+AF129+AH129+AJ129</f>
        <v>0</v>
      </c>
      <c r="E129" s="191">
        <f>+AL129+AN129+AP129+AR129+AV129+AX129+AZ129</f>
        <v>0</v>
      </c>
      <c r="F129" s="193">
        <f>+E129+D129</f>
        <v>0</v>
      </c>
      <c r="G129" s="191">
        <f>+P129+R129+T129+V129+X129+Z129+AB129+AD129+AF129+AH129+AJ129+AL129+AN129+AP129</f>
        <v>0</v>
      </c>
      <c r="H129" s="191">
        <f>+AR129+AT129+AV129+AX129+BB129+BC129+BD129</f>
        <v>0</v>
      </c>
      <c r="I129" s="193">
        <f>+H129+G129</f>
        <v>0</v>
      </c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</row>
    <row r="130" spans="2:53" x14ac:dyDescent="0.25">
      <c r="B130" s="221" t="s">
        <v>322</v>
      </c>
      <c r="C130" s="222" t="s">
        <v>323</v>
      </c>
      <c r="D130" s="217">
        <f t="shared" ref="D130:I130" si="96">+D128+D127+D126+D129</f>
        <v>105211</v>
      </c>
      <c r="E130" s="217">
        <f t="shared" si="96"/>
        <v>0</v>
      </c>
      <c r="F130" s="217">
        <f t="shared" si="96"/>
        <v>105211</v>
      </c>
      <c r="G130" s="217">
        <f t="shared" si="96"/>
        <v>103346</v>
      </c>
      <c r="H130" s="217">
        <f t="shared" si="96"/>
        <v>0</v>
      </c>
      <c r="I130" s="217">
        <f t="shared" si="96"/>
        <v>103346</v>
      </c>
      <c r="J130" s="217">
        <f t="shared" ref="J130:BA130" si="97">+J128+J127+J126</f>
        <v>105211</v>
      </c>
      <c r="K130" s="217">
        <f t="shared" si="97"/>
        <v>103346</v>
      </c>
      <c r="L130" s="217">
        <f t="shared" si="97"/>
        <v>0</v>
      </c>
      <c r="M130" s="217">
        <f t="shared" si="97"/>
        <v>0</v>
      </c>
      <c r="N130" s="217">
        <f t="shared" si="97"/>
        <v>0</v>
      </c>
      <c r="O130" s="217">
        <f t="shared" si="97"/>
        <v>0</v>
      </c>
      <c r="P130" s="217">
        <f t="shared" si="97"/>
        <v>0</v>
      </c>
      <c r="Q130" s="217">
        <f t="shared" si="97"/>
        <v>0</v>
      </c>
      <c r="R130" s="217">
        <f t="shared" si="97"/>
        <v>0</v>
      </c>
      <c r="S130" s="217">
        <f t="shared" si="97"/>
        <v>0</v>
      </c>
      <c r="T130" s="217">
        <f t="shared" si="97"/>
        <v>0</v>
      </c>
      <c r="U130" s="217">
        <f t="shared" si="97"/>
        <v>0</v>
      </c>
      <c r="V130" s="217">
        <f t="shared" si="97"/>
        <v>0</v>
      </c>
      <c r="W130" s="217">
        <f t="shared" si="97"/>
        <v>0</v>
      </c>
      <c r="X130" s="217">
        <f t="shared" si="97"/>
        <v>0</v>
      </c>
      <c r="Y130" s="217">
        <f t="shared" si="97"/>
        <v>0</v>
      </c>
      <c r="Z130" s="217">
        <f t="shared" si="97"/>
        <v>0</v>
      </c>
      <c r="AA130" s="217">
        <f t="shared" si="97"/>
        <v>0</v>
      </c>
      <c r="AB130" s="217">
        <f t="shared" si="97"/>
        <v>0</v>
      </c>
      <c r="AC130" s="217">
        <f t="shared" si="97"/>
        <v>0</v>
      </c>
      <c r="AD130" s="217">
        <f t="shared" si="97"/>
        <v>0</v>
      </c>
      <c r="AE130" s="217">
        <f t="shared" si="97"/>
        <v>0</v>
      </c>
      <c r="AF130" s="217">
        <f t="shared" si="97"/>
        <v>0</v>
      </c>
      <c r="AG130" s="217">
        <f t="shared" si="97"/>
        <v>0</v>
      </c>
      <c r="AH130" s="217">
        <f t="shared" si="97"/>
        <v>0</v>
      </c>
      <c r="AI130" s="217">
        <f t="shared" si="97"/>
        <v>0</v>
      </c>
      <c r="AJ130" s="217">
        <f t="shared" si="97"/>
        <v>0</v>
      </c>
      <c r="AK130" s="217">
        <f t="shared" si="97"/>
        <v>0</v>
      </c>
      <c r="AL130" s="217">
        <f t="shared" si="97"/>
        <v>0</v>
      </c>
      <c r="AM130" s="217">
        <f t="shared" si="97"/>
        <v>0</v>
      </c>
      <c r="AN130" s="217">
        <f t="shared" si="97"/>
        <v>0</v>
      </c>
      <c r="AO130" s="217">
        <f t="shared" si="97"/>
        <v>0</v>
      </c>
      <c r="AP130" s="217">
        <f t="shared" si="97"/>
        <v>0</v>
      </c>
      <c r="AQ130" s="217">
        <f t="shared" si="97"/>
        <v>0</v>
      </c>
      <c r="AR130" s="217">
        <f t="shared" si="97"/>
        <v>0</v>
      </c>
      <c r="AS130" s="217">
        <f t="shared" si="97"/>
        <v>0</v>
      </c>
      <c r="AT130" s="217">
        <f t="shared" si="97"/>
        <v>0</v>
      </c>
      <c r="AU130" s="217">
        <f t="shared" si="97"/>
        <v>0</v>
      </c>
      <c r="AV130" s="217">
        <f t="shared" si="97"/>
        <v>0</v>
      </c>
      <c r="AW130" s="217">
        <f t="shared" si="97"/>
        <v>0</v>
      </c>
      <c r="AX130" s="217">
        <f t="shared" si="97"/>
        <v>0</v>
      </c>
      <c r="AY130" s="217">
        <f t="shared" si="97"/>
        <v>0</v>
      </c>
      <c r="AZ130" s="217">
        <f t="shared" si="97"/>
        <v>0</v>
      </c>
      <c r="BA130" s="217">
        <f t="shared" si="97"/>
        <v>0</v>
      </c>
    </row>
    <row r="131" spans="2:53" s="231" customFormat="1" ht="12.75" x14ac:dyDescent="0.2">
      <c r="B131" s="224" t="s">
        <v>324</v>
      </c>
      <c r="C131" s="224" t="s">
        <v>325</v>
      </c>
      <c r="D131" s="225">
        <f t="shared" ref="D131:AI131" si="98">+D108+D130</f>
        <v>141364</v>
      </c>
      <c r="E131" s="225">
        <f t="shared" si="98"/>
        <v>381</v>
      </c>
      <c r="F131" s="225">
        <f t="shared" si="98"/>
        <v>141745</v>
      </c>
      <c r="G131" s="225">
        <f t="shared" si="98"/>
        <v>153896</v>
      </c>
      <c r="H131" s="225">
        <f t="shared" si="98"/>
        <v>381</v>
      </c>
      <c r="I131" s="225">
        <f t="shared" si="98"/>
        <v>154277</v>
      </c>
      <c r="J131" s="225">
        <f t="shared" si="98"/>
        <v>108332</v>
      </c>
      <c r="K131" s="225">
        <f t="shared" si="98"/>
        <v>120864</v>
      </c>
      <c r="L131" s="225">
        <f t="shared" si="98"/>
        <v>5086</v>
      </c>
      <c r="M131" s="225">
        <f t="shared" si="98"/>
        <v>5086</v>
      </c>
      <c r="N131" s="225">
        <f t="shared" si="98"/>
        <v>0</v>
      </c>
      <c r="O131" s="225">
        <f t="shared" si="98"/>
        <v>0</v>
      </c>
      <c r="P131" s="225">
        <f t="shared" si="98"/>
        <v>566</v>
      </c>
      <c r="Q131" s="225">
        <f t="shared" si="98"/>
        <v>566</v>
      </c>
      <c r="R131" s="225">
        <f t="shared" si="98"/>
        <v>0</v>
      </c>
      <c r="S131" s="225">
        <f t="shared" si="98"/>
        <v>0</v>
      </c>
      <c r="T131" s="225">
        <f t="shared" si="98"/>
        <v>0</v>
      </c>
      <c r="U131" s="225">
        <f t="shared" si="98"/>
        <v>0</v>
      </c>
      <c r="V131" s="225">
        <f t="shared" si="98"/>
        <v>1900</v>
      </c>
      <c r="W131" s="225">
        <f t="shared" si="98"/>
        <v>1900</v>
      </c>
      <c r="X131" s="225">
        <f t="shared" si="98"/>
        <v>25400</v>
      </c>
      <c r="Y131" s="225">
        <f t="shared" si="98"/>
        <v>25400</v>
      </c>
      <c r="Z131" s="225">
        <f t="shared" si="98"/>
        <v>0</v>
      </c>
      <c r="AA131" s="225">
        <f t="shared" si="98"/>
        <v>0</v>
      </c>
      <c r="AB131" s="225">
        <f t="shared" si="98"/>
        <v>0</v>
      </c>
      <c r="AC131" s="225">
        <f t="shared" si="98"/>
        <v>0</v>
      </c>
      <c r="AD131" s="225">
        <f t="shared" si="98"/>
        <v>80</v>
      </c>
      <c r="AE131" s="225">
        <f t="shared" si="98"/>
        <v>80</v>
      </c>
      <c r="AF131" s="225">
        <f t="shared" si="98"/>
        <v>0</v>
      </c>
      <c r="AG131" s="225">
        <f t="shared" si="98"/>
        <v>0</v>
      </c>
      <c r="AH131" s="225">
        <f t="shared" si="98"/>
        <v>0</v>
      </c>
      <c r="AI131" s="225">
        <f t="shared" si="98"/>
        <v>0</v>
      </c>
      <c r="AJ131" s="225">
        <f t="shared" ref="AJ131:BA131" si="99">+AJ108+AJ130</f>
        <v>0</v>
      </c>
      <c r="AK131" s="225">
        <f t="shared" si="99"/>
        <v>0</v>
      </c>
      <c r="AL131" s="225">
        <f t="shared" si="99"/>
        <v>0</v>
      </c>
      <c r="AM131" s="225">
        <f t="shared" si="99"/>
        <v>0</v>
      </c>
      <c r="AN131" s="225">
        <f t="shared" si="99"/>
        <v>0</v>
      </c>
      <c r="AO131" s="225">
        <f t="shared" si="99"/>
        <v>0</v>
      </c>
      <c r="AP131" s="225">
        <f t="shared" si="99"/>
        <v>0</v>
      </c>
      <c r="AQ131" s="225">
        <f t="shared" si="99"/>
        <v>0</v>
      </c>
      <c r="AR131" s="225">
        <f t="shared" si="99"/>
        <v>0</v>
      </c>
      <c r="AS131" s="225">
        <f t="shared" si="99"/>
        <v>0</v>
      </c>
      <c r="AT131" s="225">
        <f t="shared" si="99"/>
        <v>381</v>
      </c>
      <c r="AU131" s="225">
        <f t="shared" si="99"/>
        <v>381</v>
      </c>
      <c r="AV131" s="225">
        <f t="shared" si="99"/>
        <v>0</v>
      </c>
      <c r="AW131" s="225">
        <f t="shared" si="99"/>
        <v>0</v>
      </c>
      <c r="AX131" s="225">
        <f t="shared" si="99"/>
        <v>0</v>
      </c>
      <c r="AY131" s="225">
        <f t="shared" si="99"/>
        <v>0</v>
      </c>
      <c r="AZ131" s="225">
        <f t="shared" si="99"/>
        <v>0</v>
      </c>
      <c r="BA131" s="225">
        <f t="shared" si="99"/>
        <v>0</v>
      </c>
    </row>
    <row r="132" spans="2:53" s="231" customFormat="1" ht="12.75" x14ac:dyDescent="0.2">
      <c r="B132" s="175"/>
      <c r="C132" s="175"/>
      <c r="D132" s="175"/>
      <c r="E132" s="175"/>
      <c r="F132" s="175"/>
      <c r="G132" s="175"/>
      <c r="H132" s="175"/>
      <c r="I132" s="175"/>
    </row>
    <row r="133" spans="2:53" s="231" customFormat="1" ht="12.75" x14ac:dyDescent="0.2">
      <c r="B133" s="175"/>
      <c r="C133" s="175"/>
      <c r="D133" s="175"/>
      <c r="E133" s="175"/>
      <c r="F133" s="175"/>
      <c r="G133" s="175"/>
      <c r="H133" s="175"/>
      <c r="I133" s="175"/>
    </row>
    <row r="134" spans="2:53" s="231" customFormat="1" ht="12.75" x14ac:dyDescent="0.2">
      <c r="B134" s="175"/>
      <c r="C134" s="175"/>
      <c r="D134" s="175"/>
      <c r="E134" s="175"/>
      <c r="F134" s="175"/>
      <c r="G134" s="175"/>
      <c r="H134" s="175"/>
      <c r="I134" s="175"/>
    </row>
    <row r="135" spans="2:53" s="231" customFormat="1" ht="12.75" x14ac:dyDescent="0.2">
      <c r="B135" s="175"/>
      <c r="C135" s="175"/>
      <c r="D135" s="175"/>
      <c r="E135" s="175"/>
      <c r="F135" s="175"/>
      <c r="G135" s="175"/>
      <c r="H135" s="175"/>
      <c r="I135" s="175"/>
    </row>
    <row r="136" spans="2:53" s="231" customFormat="1" ht="12.75" x14ac:dyDescent="0.2">
      <c r="B136" s="175"/>
      <c r="C136" s="175"/>
      <c r="D136" s="175"/>
      <c r="E136" s="175"/>
      <c r="F136" s="175"/>
      <c r="G136" s="175"/>
      <c r="H136" s="175"/>
      <c r="I136" s="175"/>
    </row>
    <row r="137" spans="2:53" s="231" customFormat="1" ht="12.75" x14ac:dyDescent="0.2">
      <c r="B137" s="175"/>
      <c r="C137" s="175"/>
      <c r="D137" s="175"/>
      <c r="E137" s="175"/>
      <c r="F137" s="175"/>
      <c r="G137" s="175"/>
      <c r="H137" s="175"/>
      <c r="I137" s="175"/>
    </row>
    <row r="138" spans="2:53" s="231" customFormat="1" ht="12.75" x14ac:dyDescent="0.2">
      <c r="B138" s="175"/>
      <c r="C138" s="175"/>
      <c r="D138" s="175"/>
      <c r="E138" s="175"/>
      <c r="F138" s="175"/>
      <c r="G138" s="175"/>
      <c r="H138" s="175"/>
      <c r="I138" s="175"/>
    </row>
    <row r="139" spans="2:53" s="231" customFormat="1" ht="12.75" x14ac:dyDescent="0.2">
      <c r="B139" s="175"/>
      <c r="C139" s="175"/>
      <c r="D139" s="175"/>
      <c r="E139" s="175"/>
      <c r="F139" s="175"/>
      <c r="G139" s="175"/>
      <c r="H139" s="175"/>
      <c r="I139" s="175"/>
    </row>
    <row r="140" spans="2:53" s="231" customFormat="1" ht="12.75" x14ac:dyDescent="0.2">
      <c r="B140" s="175"/>
      <c r="C140" s="175"/>
      <c r="D140" s="175"/>
      <c r="E140" s="175"/>
      <c r="F140" s="175"/>
      <c r="G140" s="175"/>
      <c r="H140" s="175"/>
      <c r="I140" s="175"/>
    </row>
    <row r="141" spans="2:53" s="231" customFormat="1" ht="12.75" x14ac:dyDescent="0.2">
      <c r="B141" s="175"/>
      <c r="C141" s="175"/>
      <c r="D141" s="175"/>
      <c r="E141" s="175"/>
      <c r="F141" s="175"/>
      <c r="G141" s="175"/>
      <c r="H141" s="175"/>
      <c r="I141" s="175"/>
    </row>
    <row r="142" spans="2:53" s="231" customFormat="1" ht="12.75" x14ac:dyDescent="0.2">
      <c r="B142" s="175"/>
      <c r="C142" s="175"/>
      <c r="D142" s="175"/>
      <c r="E142" s="175"/>
      <c r="F142" s="175"/>
      <c r="G142" s="175"/>
      <c r="H142" s="175"/>
      <c r="I142" s="175"/>
    </row>
    <row r="143" spans="2:53" s="231" customFormat="1" ht="12.75" x14ac:dyDescent="0.2">
      <c r="B143" s="175"/>
      <c r="C143" s="175"/>
      <c r="D143" s="175"/>
      <c r="E143" s="175"/>
      <c r="F143" s="175"/>
      <c r="G143" s="175"/>
      <c r="H143" s="175"/>
      <c r="I143" s="175"/>
    </row>
    <row r="144" spans="2:53" s="231" customFormat="1" ht="12.75" x14ac:dyDescent="0.2">
      <c r="B144" s="175"/>
      <c r="C144" s="175"/>
      <c r="D144" s="175"/>
      <c r="E144" s="175"/>
      <c r="F144" s="175"/>
      <c r="G144" s="175"/>
      <c r="H144" s="175"/>
      <c r="I144" s="175"/>
    </row>
    <row r="145" spans="2:9" s="231" customFormat="1" ht="12.75" x14ac:dyDescent="0.2">
      <c r="B145" s="175"/>
      <c r="C145" s="175"/>
      <c r="D145" s="175"/>
      <c r="E145" s="175"/>
      <c r="F145" s="175"/>
      <c r="G145" s="175"/>
      <c r="H145" s="175"/>
      <c r="I145" s="175"/>
    </row>
    <row r="146" spans="2:9" s="231" customFormat="1" ht="12.75" x14ac:dyDescent="0.2">
      <c r="B146" s="175"/>
      <c r="C146" s="175"/>
      <c r="D146" s="175"/>
      <c r="E146" s="175"/>
      <c r="F146" s="175"/>
      <c r="G146" s="175"/>
      <c r="H146" s="175"/>
      <c r="I146" s="175"/>
    </row>
    <row r="147" spans="2:9" s="231" customFormat="1" ht="12.75" x14ac:dyDescent="0.2">
      <c r="B147" s="175"/>
      <c r="C147" s="175"/>
      <c r="D147" s="175"/>
      <c r="E147" s="175"/>
      <c r="F147" s="175"/>
      <c r="G147" s="175"/>
      <c r="H147" s="175"/>
      <c r="I147" s="175"/>
    </row>
    <row r="148" spans="2:9" s="231" customFormat="1" ht="12.75" x14ac:dyDescent="0.2">
      <c r="B148" s="175"/>
      <c r="C148" s="175"/>
      <c r="D148" s="175"/>
      <c r="E148" s="175"/>
      <c r="F148" s="175"/>
      <c r="G148" s="175"/>
      <c r="H148" s="175"/>
      <c r="I148" s="175"/>
    </row>
    <row r="149" spans="2:9" s="231" customFormat="1" ht="12.75" x14ac:dyDescent="0.2">
      <c r="B149" s="175"/>
      <c r="C149" s="175"/>
      <c r="D149" s="175"/>
      <c r="E149" s="175"/>
      <c r="F149" s="175"/>
      <c r="G149" s="175"/>
      <c r="H149" s="175"/>
      <c r="I149" s="175"/>
    </row>
    <row r="150" spans="2:9" s="231" customFormat="1" ht="12.75" x14ac:dyDescent="0.2">
      <c r="B150" s="175"/>
      <c r="C150" s="175"/>
      <c r="D150" s="175"/>
      <c r="E150" s="175"/>
      <c r="F150" s="175"/>
      <c r="G150" s="175"/>
      <c r="H150" s="175"/>
      <c r="I150" s="175"/>
    </row>
    <row r="151" spans="2:9" s="231" customFormat="1" ht="12.75" x14ac:dyDescent="0.2">
      <c r="B151" s="175"/>
      <c r="C151" s="175"/>
      <c r="D151" s="175"/>
      <c r="E151" s="175"/>
      <c r="F151" s="175"/>
      <c r="G151" s="175"/>
      <c r="H151" s="175"/>
      <c r="I151" s="175"/>
    </row>
    <row r="152" spans="2:9" s="231" customFormat="1" ht="12.75" x14ac:dyDescent="0.2">
      <c r="B152" s="175"/>
      <c r="C152" s="175"/>
      <c r="D152" s="175"/>
      <c r="E152" s="175"/>
      <c r="F152" s="175"/>
      <c r="G152" s="175"/>
      <c r="H152" s="175"/>
      <c r="I152" s="175"/>
    </row>
    <row r="153" spans="2:9" s="231" customFormat="1" ht="12.75" x14ac:dyDescent="0.2">
      <c r="B153" s="175"/>
      <c r="C153" s="175"/>
      <c r="D153" s="175"/>
      <c r="E153" s="175"/>
      <c r="F153" s="175"/>
      <c r="G153" s="175"/>
      <c r="H153" s="175"/>
      <c r="I153" s="175"/>
    </row>
    <row r="154" spans="2:9" s="231" customFormat="1" ht="12.75" x14ac:dyDescent="0.2">
      <c r="B154" s="175"/>
      <c r="C154" s="175"/>
      <c r="D154" s="175"/>
      <c r="E154" s="175"/>
      <c r="F154" s="175"/>
      <c r="G154" s="175"/>
      <c r="H154" s="175"/>
      <c r="I154" s="175"/>
    </row>
    <row r="155" spans="2:9" s="231" customFormat="1" ht="12.75" x14ac:dyDescent="0.2">
      <c r="B155" s="175"/>
      <c r="C155" s="175"/>
      <c r="D155" s="175"/>
      <c r="E155" s="175"/>
      <c r="F155" s="175"/>
      <c r="G155" s="175"/>
      <c r="H155" s="175"/>
      <c r="I155" s="175"/>
    </row>
    <row r="156" spans="2:9" s="231" customFormat="1" ht="12.75" x14ac:dyDescent="0.2">
      <c r="B156" s="175"/>
      <c r="C156" s="175"/>
      <c r="D156" s="175"/>
      <c r="E156" s="175"/>
      <c r="F156" s="175"/>
      <c r="G156" s="175"/>
      <c r="H156" s="175"/>
      <c r="I156" s="175"/>
    </row>
    <row r="157" spans="2:9" s="231" customFormat="1" ht="12.75" x14ac:dyDescent="0.2">
      <c r="B157" s="175"/>
      <c r="C157" s="175"/>
      <c r="D157" s="175"/>
      <c r="E157" s="175"/>
      <c r="F157" s="175"/>
      <c r="G157" s="175"/>
      <c r="H157" s="175"/>
      <c r="I157" s="175"/>
    </row>
    <row r="158" spans="2:9" s="231" customFormat="1" ht="12.75" x14ac:dyDescent="0.2">
      <c r="B158" s="175"/>
      <c r="C158" s="175"/>
      <c r="D158" s="175"/>
      <c r="E158" s="175"/>
      <c r="F158" s="175"/>
      <c r="G158" s="175"/>
      <c r="H158" s="175"/>
      <c r="I158" s="175"/>
    </row>
    <row r="159" spans="2:9" s="231" customFormat="1" ht="12.75" x14ac:dyDescent="0.2">
      <c r="B159" s="175"/>
      <c r="C159" s="175"/>
      <c r="D159" s="175"/>
      <c r="E159" s="175"/>
      <c r="F159" s="175"/>
      <c r="G159" s="175"/>
      <c r="H159" s="175"/>
      <c r="I159" s="175"/>
    </row>
    <row r="160" spans="2:9" s="231" customFormat="1" ht="12.75" x14ac:dyDescent="0.2">
      <c r="B160" s="175"/>
      <c r="C160" s="175"/>
      <c r="D160" s="175"/>
      <c r="E160" s="175"/>
      <c r="F160" s="175"/>
      <c r="G160" s="175"/>
      <c r="H160" s="175"/>
      <c r="I160" s="175"/>
    </row>
    <row r="161" spans="2:9" s="231" customFormat="1" ht="12.75" x14ac:dyDescent="0.2">
      <c r="B161" s="175"/>
      <c r="C161" s="175"/>
      <c r="D161" s="175"/>
      <c r="E161" s="175"/>
      <c r="F161" s="175"/>
      <c r="G161" s="175"/>
      <c r="H161" s="175"/>
      <c r="I161" s="175"/>
    </row>
    <row r="162" spans="2:9" s="231" customFormat="1" ht="12.75" x14ac:dyDescent="0.2">
      <c r="B162" s="175"/>
      <c r="C162" s="175"/>
      <c r="D162" s="175"/>
      <c r="E162" s="175"/>
      <c r="F162" s="175"/>
      <c r="G162" s="175"/>
      <c r="H162" s="175"/>
      <c r="I162" s="175"/>
    </row>
    <row r="163" spans="2:9" s="231" customFormat="1" ht="12.75" x14ac:dyDescent="0.2">
      <c r="B163" s="175"/>
      <c r="C163" s="175"/>
      <c r="D163" s="175"/>
      <c r="E163" s="175"/>
      <c r="F163" s="175"/>
      <c r="G163" s="175"/>
      <c r="H163" s="175"/>
      <c r="I163" s="175"/>
    </row>
    <row r="164" spans="2:9" s="231" customFormat="1" ht="12.75" x14ac:dyDescent="0.2">
      <c r="B164" s="175"/>
      <c r="C164" s="175"/>
      <c r="D164" s="175"/>
      <c r="E164" s="175"/>
      <c r="F164" s="175"/>
      <c r="G164" s="175"/>
      <c r="H164" s="175"/>
      <c r="I164" s="175"/>
    </row>
    <row r="165" spans="2:9" s="231" customFormat="1" ht="12.75" x14ac:dyDescent="0.2">
      <c r="B165" s="175"/>
      <c r="C165" s="175"/>
      <c r="D165" s="175"/>
      <c r="E165" s="175"/>
      <c r="F165" s="175"/>
      <c r="G165" s="175"/>
      <c r="H165" s="175"/>
      <c r="I165" s="175"/>
    </row>
    <row r="166" spans="2:9" s="231" customFormat="1" ht="12.75" x14ac:dyDescent="0.2">
      <c r="B166" s="175"/>
      <c r="C166" s="175"/>
      <c r="D166" s="175"/>
      <c r="E166" s="175"/>
      <c r="F166" s="175"/>
      <c r="G166" s="175"/>
      <c r="H166" s="175"/>
      <c r="I166" s="175"/>
    </row>
    <row r="167" spans="2:9" s="231" customFormat="1" ht="12.75" x14ac:dyDescent="0.2">
      <c r="B167" s="175"/>
      <c r="C167" s="175"/>
      <c r="D167" s="175"/>
      <c r="E167" s="175"/>
      <c r="F167" s="175"/>
      <c r="G167" s="175"/>
      <c r="H167" s="175"/>
      <c r="I167" s="175"/>
    </row>
    <row r="168" spans="2:9" s="231" customFormat="1" ht="12.75" x14ac:dyDescent="0.2">
      <c r="B168" s="175"/>
      <c r="C168" s="175"/>
      <c r="D168" s="175"/>
      <c r="E168" s="175"/>
      <c r="F168" s="175"/>
      <c r="G168" s="175"/>
      <c r="H168" s="175"/>
      <c r="I168" s="175"/>
    </row>
    <row r="169" spans="2:9" s="231" customFormat="1" ht="12.75" x14ac:dyDescent="0.2">
      <c r="B169" s="175"/>
      <c r="C169" s="175"/>
      <c r="D169" s="175"/>
      <c r="E169" s="175"/>
      <c r="F169" s="175"/>
      <c r="G169" s="175"/>
      <c r="H169" s="175"/>
      <c r="I169" s="175"/>
    </row>
    <row r="170" spans="2:9" s="231" customFormat="1" ht="12.75" x14ac:dyDescent="0.2">
      <c r="B170" s="175"/>
      <c r="C170" s="175"/>
      <c r="D170" s="175"/>
      <c r="E170" s="175"/>
      <c r="F170" s="175"/>
      <c r="G170" s="175"/>
      <c r="H170" s="175"/>
      <c r="I170" s="175"/>
    </row>
    <row r="171" spans="2:9" s="231" customFormat="1" ht="12.75" x14ac:dyDescent="0.2">
      <c r="B171" s="175"/>
      <c r="C171" s="175"/>
      <c r="D171" s="175"/>
      <c r="E171" s="175"/>
      <c r="F171" s="175"/>
      <c r="G171" s="175"/>
      <c r="H171" s="175"/>
      <c r="I171" s="175"/>
    </row>
    <row r="172" spans="2:9" s="231" customFormat="1" ht="12.75" x14ac:dyDescent="0.2">
      <c r="B172" s="175"/>
      <c r="C172" s="175"/>
      <c r="D172" s="175"/>
      <c r="E172" s="175"/>
      <c r="F172" s="175"/>
      <c r="G172" s="175"/>
      <c r="H172" s="175"/>
      <c r="I172" s="175"/>
    </row>
    <row r="173" spans="2:9" s="231" customFormat="1" ht="12.75" x14ac:dyDescent="0.2">
      <c r="B173" s="175"/>
      <c r="C173" s="175"/>
      <c r="D173" s="175"/>
      <c r="E173" s="175"/>
      <c r="F173" s="175"/>
      <c r="G173" s="175"/>
      <c r="H173" s="175"/>
      <c r="I173" s="175"/>
    </row>
    <row r="174" spans="2:9" s="231" customFormat="1" ht="12.75" x14ac:dyDescent="0.2">
      <c r="B174" s="175"/>
      <c r="C174" s="175"/>
      <c r="D174" s="175"/>
      <c r="E174" s="175"/>
      <c r="F174" s="175"/>
      <c r="G174" s="175"/>
      <c r="H174" s="175"/>
      <c r="I174" s="175"/>
    </row>
    <row r="175" spans="2:9" s="231" customFormat="1" ht="12.75" x14ac:dyDescent="0.2">
      <c r="B175" s="175"/>
      <c r="C175" s="175"/>
      <c r="D175" s="175"/>
      <c r="E175" s="175"/>
      <c r="F175" s="175"/>
      <c r="G175" s="175"/>
      <c r="H175" s="175"/>
      <c r="I175" s="175"/>
    </row>
    <row r="176" spans="2:9" s="231" customFormat="1" ht="12.75" x14ac:dyDescent="0.2">
      <c r="B176" s="175"/>
      <c r="C176" s="175"/>
      <c r="D176" s="175"/>
      <c r="E176" s="175"/>
      <c r="F176" s="175"/>
      <c r="G176" s="175"/>
      <c r="H176" s="175"/>
      <c r="I176" s="175"/>
    </row>
    <row r="177" spans="2:9" s="231" customFormat="1" ht="12.75" x14ac:dyDescent="0.2">
      <c r="B177" s="175"/>
      <c r="C177" s="175"/>
      <c r="D177" s="175"/>
      <c r="E177" s="175"/>
      <c r="F177" s="175"/>
      <c r="G177" s="175"/>
      <c r="H177" s="175"/>
      <c r="I177" s="175"/>
    </row>
    <row r="178" spans="2:9" s="231" customFormat="1" ht="12.75" x14ac:dyDescent="0.2">
      <c r="B178" s="175"/>
      <c r="C178" s="175"/>
      <c r="D178" s="175"/>
      <c r="E178" s="175"/>
      <c r="F178" s="175"/>
      <c r="G178" s="175"/>
      <c r="H178" s="175"/>
      <c r="I178" s="175"/>
    </row>
    <row r="179" spans="2:9" s="231" customFormat="1" ht="12.75" x14ac:dyDescent="0.2">
      <c r="B179" s="175"/>
      <c r="C179" s="175"/>
      <c r="D179" s="175"/>
      <c r="E179" s="175"/>
      <c r="F179" s="175"/>
      <c r="G179" s="175"/>
      <c r="H179" s="175"/>
      <c r="I179" s="175"/>
    </row>
    <row r="180" spans="2:9" s="231" customFormat="1" ht="12.75" x14ac:dyDescent="0.2">
      <c r="B180" s="175"/>
      <c r="C180" s="175"/>
      <c r="D180" s="175"/>
      <c r="E180" s="175"/>
      <c r="F180" s="175"/>
      <c r="G180" s="175"/>
      <c r="H180" s="175"/>
      <c r="I180" s="175"/>
    </row>
    <row r="181" spans="2:9" s="231" customFormat="1" ht="12.75" x14ac:dyDescent="0.2">
      <c r="B181" s="175"/>
      <c r="C181" s="175"/>
      <c r="D181" s="175"/>
      <c r="E181" s="175"/>
      <c r="F181" s="175"/>
      <c r="G181" s="175"/>
      <c r="H181" s="175"/>
      <c r="I181" s="175"/>
    </row>
    <row r="182" spans="2:9" s="231" customFormat="1" ht="12.75" x14ac:dyDescent="0.2">
      <c r="B182" s="175"/>
      <c r="C182" s="175"/>
      <c r="D182" s="175"/>
      <c r="E182" s="175"/>
      <c r="F182" s="175"/>
      <c r="G182" s="175"/>
      <c r="H182" s="175"/>
      <c r="I182" s="175"/>
    </row>
    <row r="183" spans="2:9" s="231" customFormat="1" ht="12.75" x14ac:dyDescent="0.2">
      <c r="B183" s="175"/>
      <c r="C183" s="175"/>
      <c r="D183" s="175"/>
      <c r="E183" s="175"/>
      <c r="F183" s="175"/>
      <c r="G183" s="175"/>
      <c r="H183" s="175"/>
      <c r="I183" s="175"/>
    </row>
    <row r="184" spans="2:9" s="231" customFormat="1" ht="12.75" x14ac:dyDescent="0.2">
      <c r="B184" s="175"/>
      <c r="C184" s="175"/>
      <c r="D184" s="175"/>
      <c r="E184" s="175"/>
      <c r="F184" s="175"/>
      <c r="G184" s="175"/>
      <c r="H184" s="175"/>
      <c r="I184" s="175"/>
    </row>
    <row r="185" spans="2:9" s="231" customFormat="1" ht="12.75" x14ac:dyDescent="0.2">
      <c r="B185" s="175"/>
      <c r="C185" s="175"/>
      <c r="D185" s="175"/>
      <c r="E185" s="175"/>
      <c r="F185" s="175"/>
      <c r="G185" s="175"/>
      <c r="H185" s="175"/>
      <c r="I185" s="175"/>
    </row>
    <row r="186" spans="2:9" s="231" customFormat="1" ht="12.75" x14ac:dyDescent="0.2">
      <c r="B186" s="175"/>
      <c r="C186" s="175"/>
      <c r="D186" s="175"/>
      <c r="E186" s="175"/>
      <c r="F186" s="175"/>
      <c r="G186" s="175"/>
      <c r="H186" s="175"/>
      <c r="I186" s="175"/>
    </row>
    <row r="187" spans="2:9" s="231" customFormat="1" ht="12.75" x14ac:dyDescent="0.2">
      <c r="B187" s="175"/>
      <c r="C187" s="175"/>
      <c r="D187" s="175"/>
      <c r="E187" s="175"/>
      <c r="F187" s="175"/>
      <c r="G187" s="175"/>
      <c r="H187" s="175"/>
      <c r="I187" s="175"/>
    </row>
    <row r="188" spans="2:9" s="231" customFormat="1" ht="12.75" x14ac:dyDescent="0.2">
      <c r="B188" s="175"/>
      <c r="C188" s="175"/>
      <c r="D188" s="175"/>
      <c r="E188" s="175"/>
      <c r="F188" s="175"/>
      <c r="G188" s="175"/>
      <c r="H188" s="175"/>
      <c r="I188" s="175"/>
    </row>
    <row r="189" spans="2:9" s="231" customFormat="1" ht="12.75" x14ac:dyDescent="0.2">
      <c r="B189" s="175"/>
      <c r="C189" s="175"/>
      <c r="D189" s="175"/>
      <c r="E189" s="175"/>
      <c r="F189" s="175"/>
      <c r="G189" s="175"/>
      <c r="H189" s="175"/>
      <c r="I189" s="175"/>
    </row>
    <row r="190" spans="2:9" s="231" customFormat="1" ht="12.75" x14ac:dyDescent="0.2">
      <c r="B190" s="175"/>
      <c r="C190" s="175"/>
      <c r="D190" s="175"/>
      <c r="E190" s="175"/>
      <c r="F190" s="175"/>
      <c r="G190" s="175"/>
      <c r="H190" s="175"/>
      <c r="I190" s="175"/>
    </row>
    <row r="191" spans="2:9" s="231" customFormat="1" ht="12.75" x14ac:dyDescent="0.2">
      <c r="B191" s="175"/>
      <c r="C191" s="175"/>
      <c r="D191" s="175"/>
      <c r="E191" s="175"/>
      <c r="F191" s="175"/>
      <c r="G191" s="175"/>
      <c r="H191" s="175"/>
      <c r="I191" s="175"/>
    </row>
    <row r="192" spans="2:9" s="231" customFormat="1" ht="12.75" x14ac:dyDescent="0.2">
      <c r="B192" s="175"/>
      <c r="C192" s="175"/>
      <c r="D192" s="175"/>
      <c r="E192" s="175"/>
      <c r="F192" s="175"/>
      <c r="G192" s="175"/>
      <c r="H192" s="175"/>
      <c r="I192" s="175"/>
    </row>
    <row r="193" spans="2:9" s="231" customFormat="1" ht="12.75" x14ac:dyDescent="0.2">
      <c r="B193" s="175"/>
      <c r="C193" s="175"/>
      <c r="D193" s="175"/>
      <c r="E193" s="175"/>
      <c r="F193" s="175"/>
      <c r="G193" s="175"/>
      <c r="H193" s="175"/>
      <c r="I193" s="175"/>
    </row>
    <row r="194" spans="2:9" s="231" customFormat="1" ht="12.75" x14ac:dyDescent="0.2">
      <c r="B194" s="175"/>
      <c r="C194" s="175"/>
      <c r="D194" s="175"/>
      <c r="E194" s="175"/>
      <c r="F194" s="175"/>
      <c r="G194" s="175"/>
      <c r="H194" s="175"/>
      <c r="I194" s="175"/>
    </row>
    <row r="195" spans="2:9" s="231" customFormat="1" ht="12.75" x14ac:dyDescent="0.2">
      <c r="B195" s="175"/>
      <c r="C195" s="175"/>
      <c r="D195" s="175"/>
      <c r="E195" s="175"/>
      <c r="F195" s="175"/>
      <c r="G195" s="175"/>
      <c r="H195" s="175"/>
      <c r="I195" s="175"/>
    </row>
    <row r="196" spans="2:9" s="231" customFormat="1" ht="12.75" x14ac:dyDescent="0.2">
      <c r="B196" s="175"/>
      <c r="C196" s="175"/>
      <c r="D196" s="175"/>
      <c r="E196" s="175"/>
      <c r="F196" s="175"/>
      <c r="G196" s="175"/>
      <c r="H196" s="175"/>
      <c r="I196" s="175"/>
    </row>
    <row r="197" spans="2:9" s="231" customFormat="1" ht="12.75" x14ac:dyDescent="0.2">
      <c r="B197" s="175"/>
      <c r="C197" s="175"/>
      <c r="D197" s="175"/>
      <c r="E197" s="175"/>
      <c r="F197" s="175"/>
      <c r="G197" s="175"/>
      <c r="H197" s="175"/>
      <c r="I197" s="175"/>
    </row>
    <row r="198" spans="2:9" s="231" customFormat="1" ht="12.75" x14ac:dyDescent="0.2">
      <c r="B198" s="175"/>
      <c r="C198" s="175"/>
      <c r="D198" s="175"/>
      <c r="E198" s="175"/>
      <c r="F198" s="175"/>
      <c r="G198" s="175"/>
      <c r="H198" s="175"/>
      <c r="I198" s="175"/>
    </row>
    <row r="199" spans="2:9" s="231" customFormat="1" ht="12.75" x14ac:dyDescent="0.2">
      <c r="B199" s="175"/>
      <c r="C199" s="175"/>
      <c r="D199" s="175"/>
      <c r="E199" s="175"/>
      <c r="F199" s="175"/>
      <c r="G199" s="175"/>
      <c r="H199" s="175"/>
      <c r="I199" s="175"/>
    </row>
    <row r="200" spans="2:9" s="231" customFormat="1" ht="12.75" x14ac:dyDescent="0.2">
      <c r="B200" s="175"/>
      <c r="C200" s="175"/>
      <c r="D200" s="175"/>
      <c r="E200" s="175"/>
      <c r="F200" s="175"/>
      <c r="G200" s="175"/>
      <c r="H200" s="175"/>
      <c r="I200" s="175"/>
    </row>
    <row r="201" spans="2:9" s="231" customFormat="1" ht="12.75" x14ac:dyDescent="0.2">
      <c r="B201" s="175"/>
      <c r="C201" s="175"/>
      <c r="D201" s="175"/>
      <c r="E201" s="175"/>
      <c r="F201" s="175"/>
      <c r="G201" s="175"/>
      <c r="H201" s="175"/>
      <c r="I201" s="175"/>
    </row>
    <row r="202" spans="2:9" s="231" customFormat="1" ht="12.75" x14ac:dyDescent="0.2">
      <c r="B202" s="175"/>
      <c r="C202" s="175"/>
      <c r="D202" s="175"/>
      <c r="E202" s="175"/>
      <c r="F202" s="175"/>
      <c r="G202" s="175"/>
      <c r="H202" s="175"/>
      <c r="I202" s="175"/>
    </row>
    <row r="203" spans="2:9" s="231" customFormat="1" ht="12.75" x14ac:dyDescent="0.2">
      <c r="B203" s="175"/>
      <c r="C203" s="175"/>
      <c r="D203" s="175"/>
      <c r="E203" s="175"/>
      <c r="F203" s="175"/>
      <c r="G203" s="175"/>
      <c r="H203" s="175"/>
      <c r="I203" s="175"/>
    </row>
    <row r="204" spans="2:9" s="231" customFormat="1" ht="12.75" x14ac:dyDescent="0.2">
      <c r="B204" s="175"/>
      <c r="C204" s="175"/>
      <c r="D204" s="175"/>
      <c r="E204" s="175"/>
      <c r="F204" s="175"/>
      <c r="G204" s="175"/>
      <c r="H204" s="175"/>
      <c r="I204" s="175"/>
    </row>
    <row r="205" spans="2:9" s="231" customFormat="1" ht="12.75" x14ac:dyDescent="0.2">
      <c r="B205" s="175"/>
      <c r="C205" s="175"/>
      <c r="D205" s="175"/>
      <c r="E205" s="175"/>
      <c r="F205" s="175"/>
      <c r="G205" s="175"/>
      <c r="H205" s="175"/>
      <c r="I205" s="175"/>
    </row>
    <row r="206" spans="2:9" s="231" customFormat="1" ht="12.75" x14ac:dyDescent="0.2">
      <c r="B206" s="175"/>
      <c r="C206" s="175"/>
      <c r="D206" s="175"/>
      <c r="E206" s="175"/>
      <c r="F206" s="175"/>
      <c r="G206" s="175"/>
      <c r="H206" s="175"/>
      <c r="I206" s="175"/>
    </row>
    <row r="207" spans="2:9" s="231" customFormat="1" ht="12.75" x14ac:dyDescent="0.2">
      <c r="B207" s="175"/>
      <c r="C207" s="175"/>
      <c r="D207" s="175"/>
      <c r="E207" s="175"/>
      <c r="F207" s="175"/>
      <c r="G207" s="175"/>
      <c r="H207" s="175"/>
      <c r="I207" s="175"/>
    </row>
    <row r="208" spans="2:9" s="231" customFormat="1" ht="12.75" x14ac:dyDescent="0.2">
      <c r="B208" s="175"/>
      <c r="C208" s="175"/>
      <c r="D208" s="175"/>
      <c r="E208" s="175"/>
      <c r="F208" s="175"/>
      <c r="G208" s="175"/>
      <c r="H208" s="175"/>
      <c r="I208" s="175"/>
    </row>
    <row r="209" spans="2:9" s="231" customFormat="1" ht="12.75" x14ac:dyDescent="0.2">
      <c r="B209" s="175"/>
      <c r="C209" s="175"/>
      <c r="D209" s="175"/>
      <c r="E209" s="175"/>
      <c r="F209" s="175"/>
      <c r="G209" s="175"/>
      <c r="H209" s="175"/>
      <c r="I209" s="175"/>
    </row>
    <row r="210" spans="2:9" s="231" customFormat="1" ht="12.75" x14ac:dyDescent="0.2">
      <c r="B210" s="175"/>
      <c r="C210" s="175"/>
      <c r="D210" s="175"/>
      <c r="E210" s="175"/>
      <c r="F210" s="175"/>
      <c r="G210" s="175"/>
      <c r="H210" s="175"/>
      <c r="I210" s="175"/>
    </row>
    <row r="211" spans="2:9" s="231" customFormat="1" ht="12.75" x14ac:dyDescent="0.2">
      <c r="B211" s="175"/>
      <c r="C211" s="175"/>
      <c r="D211" s="175"/>
      <c r="E211" s="175"/>
      <c r="F211" s="175"/>
      <c r="G211" s="175"/>
      <c r="H211" s="175"/>
      <c r="I211" s="175"/>
    </row>
    <row r="212" spans="2:9" s="231" customFormat="1" ht="12.75" x14ac:dyDescent="0.2">
      <c r="B212" s="175"/>
      <c r="C212" s="175"/>
      <c r="D212" s="175"/>
      <c r="E212" s="175"/>
      <c r="F212" s="175"/>
      <c r="G212" s="175"/>
      <c r="H212" s="175"/>
      <c r="I212" s="175"/>
    </row>
    <row r="213" spans="2:9" s="231" customFormat="1" ht="12.75" x14ac:dyDescent="0.2">
      <c r="B213" s="175"/>
      <c r="C213" s="175"/>
      <c r="D213" s="175"/>
      <c r="E213" s="175"/>
      <c r="F213" s="175"/>
      <c r="G213" s="175"/>
      <c r="H213" s="175"/>
      <c r="I213" s="175"/>
    </row>
    <row r="214" spans="2:9" s="231" customFormat="1" ht="12.75" x14ac:dyDescent="0.2">
      <c r="B214" s="175"/>
      <c r="C214" s="175"/>
      <c r="D214" s="175"/>
      <c r="E214" s="175"/>
      <c r="F214" s="175"/>
      <c r="G214" s="175"/>
      <c r="H214" s="175"/>
      <c r="I214" s="175"/>
    </row>
    <row r="215" spans="2:9" s="231" customFormat="1" ht="12.75" x14ac:dyDescent="0.2">
      <c r="B215" s="175"/>
      <c r="C215" s="175"/>
      <c r="D215" s="175"/>
      <c r="E215" s="175"/>
      <c r="F215" s="175"/>
      <c r="G215" s="175"/>
      <c r="H215" s="175"/>
      <c r="I215" s="175"/>
    </row>
    <row r="216" spans="2:9" s="231" customFormat="1" ht="12.75" x14ac:dyDescent="0.2">
      <c r="B216" s="175"/>
      <c r="C216" s="175"/>
      <c r="D216" s="175"/>
      <c r="E216" s="175"/>
      <c r="F216" s="175"/>
      <c r="G216" s="175"/>
      <c r="H216" s="175"/>
      <c r="I216" s="175"/>
    </row>
    <row r="217" spans="2:9" s="231" customFormat="1" ht="12.75" x14ac:dyDescent="0.2">
      <c r="B217" s="175"/>
      <c r="C217" s="175"/>
      <c r="D217" s="175"/>
      <c r="E217" s="175"/>
      <c r="F217" s="175"/>
      <c r="G217" s="175"/>
      <c r="H217" s="175"/>
      <c r="I217" s="175"/>
    </row>
    <row r="218" spans="2:9" s="231" customFormat="1" ht="12.75" x14ac:dyDescent="0.2">
      <c r="B218" s="175"/>
      <c r="C218" s="175"/>
      <c r="D218" s="175"/>
      <c r="E218" s="175"/>
      <c r="F218" s="175"/>
      <c r="G218" s="175"/>
      <c r="H218" s="175"/>
      <c r="I218" s="175"/>
    </row>
    <row r="219" spans="2:9" s="231" customFormat="1" ht="12.75" x14ac:dyDescent="0.2">
      <c r="B219" s="175"/>
      <c r="C219" s="175"/>
      <c r="D219" s="175"/>
      <c r="E219" s="175"/>
      <c r="F219" s="175"/>
      <c r="G219" s="175"/>
      <c r="H219" s="175"/>
      <c r="I219" s="175"/>
    </row>
    <row r="220" spans="2:9" s="231" customFormat="1" ht="12.75" x14ac:dyDescent="0.2">
      <c r="B220" s="175"/>
      <c r="C220" s="175"/>
      <c r="D220" s="175"/>
      <c r="E220" s="175"/>
      <c r="F220" s="175"/>
      <c r="G220" s="175"/>
      <c r="H220" s="175"/>
      <c r="I220" s="175"/>
    </row>
    <row r="221" spans="2:9" s="231" customFormat="1" ht="12.75" x14ac:dyDescent="0.2">
      <c r="B221" s="175"/>
      <c r="C221" s="175"/>
      <c r="D221" s="175"/>
      <c r="E221" s="175"/>
      <c r="F221" s="175"/>
      <c r="G221" s="175"/>
      <c r="H221" s="175"/>
      <c r="I221" s="175"/>
    </row>
    <row r="222" spans="2:9" s="231" customFormat="1" ht="12.75" x14ac:dyDescent="0.2">
      <c r="B222" s="175"/>
      <c r="C222" s="175"/>
      <c r="D222" s="175"/>
      <c r="E222" s="175"/>
      <c r="F222" s="175"/>
      <c r="G222" s="175"/>
      <c r="H222" s="175"/>
      <c r="I222" s="175"/>
    </row>
    <row r="223" spans="2:9" s="231" customFormat="1" ht="12.75" x14ac:dyDescent="0.2">
      <c r="B223" s="175"/>
      <c r="C223" s="175"/>
      <c r="D223" s="175"/>
      <c r="E223" s="175"/>
      <c r="F223" s="175"/>
      <c r="G223" s="175"/>
      <c r="H223" s="175"/>
      <c r="I223" s="175"/>
    </row>
    <row r="224" spans="2:9" s="231" customFormat="1" ht="12.75" x14ac:dyDescent="0.2">
      <c r="B224" s="175"/>
      <c r="C224" s="175"/>
      <c r="D224" s="175"/>
      <c r="E224" s="175"/>
      <c r="F224" s="175"/>
      <c r="G224" s="175"/>
      <c r="H224" s="175"/>
      <c r="I224" s="175"/>
    </row>
    <row r="225" spans="2:9" s="231" customFormat="1" ht="12.75" x14ac:dyDescent="0.2">
      <c r="B225" s="175"/>
      <c r="C225" s="175"/>
      <c r="D225" s="175"/>
      <c r="E225" s="175"/>
      <c r="F225" s="175"/>
      <c r="G225" s="175"/>
      <c r="H225" s="175"/>
      <c r="I225" s="175"/>
    </row>
    <row r="226" spans="2:9" s="231" customFormat="1" ht="12.75" x14ac:dyDescent="0.2">
      <c r="B226" s="175"/>
      <c r="C226" s="175"/>
      <c r="D226" s="175"/>
      <c r="E226" s="175"/>
      <c r="F226" s="175"/>
      <c r="G226" s="175"/>
      <c r="H226" s="175"/>
      <c r="I226" s="175"/>
    </row>
    <row r="227" spans="2:9" s="231" customFormat="1" ht="12.75" x14ac:dyDescent="0.2">
      <c r="B227" s="175"/>
      <c r="C227" s="175"/>
      <c r="D227" s="175"/>
      <c r="E227" s="175"/>
      <c r="F227" s="175"/>
      <c r="G227" s="175"/>
      <c r="H227" s="175"/>
      <c r="I227" s="175"/>
    </row>
    <row r="228" spans="2:9" s="231" customFormat="1" ht="12.75" x14ac:dyDescent="0.2">
      <c r="B228" s="175"/>
      <c r="C228" s="175"/>
      <c r="D228" s="175"/>
      <c r="E228" s="175"/>
      <c r="F228" s="175"/>
      <c r="G228" s="175"/>
      <c r="H228" s="175"/>
      <c r="I228" s="175"/>
    </row>
    <row r="229" spans="2:9" s="231" customFormat="1" ht="12.75" x14ac:dyDescent="0.2">
      <c r="B229" s="175"/>
      <c r="C229" s="175"/>
      <c r="D229" s="175"/>
      <c r="E229" s="175"/>
      <c r="F229" s="175"/>
      <c r="G229" s="175"/>
      <c r="H229" s="175"/>
      <c r="I229" s="175"/>
    </row>
    <row r="230" spans="2:9" s="231" customFormat="1" ht="12.75" x14ac:dyDescent="0.2">
      <c r="B230" s="175"/>
      <c r="C230" s="175"/>
      <c r="D230" s="175"/>
      <c r="E230" s="175"/>
      <c r="F230" s="175"/>
      <c r="G230" s="175"/>
      <c r="H230" s="175"/>
      <c r="I230" s="175"/>
    </row>
    <row r="231" spans="2:9" s="231" customFormat="1" ht="12.75" x14ac:dyDescent="0.2">
      <c r="B231" s="175"/>
      <c r="C231" s="175"/>
      <c r="D231" s="175"/>
      <c r="E231" s="175"/>
      <c r="F231" s="175"/>
      <c r="G231" s="175"/>
      <c r="H231" s="175"/>
      <c r="I231" s="175"/>
    </row>
    <row r="232" spans="2:9" s="231" customFormat="1" ht="12.75" x14ac:dyDescent="0.2">
      <c r="B232" s="175"/>
      <c r="C232" s="175"/>
      <c r="D232" s="175"/>
      <c r="E232" s="175"/>
      <c r="F232" s="175"/>
      <c r="G232" s="175"/>
      <c r="H232" s="175"/>
      <c r="I232" s="175"/>
    </row>
    <row r="233" spans="2:9" s="231" customFormat="1" ht="12.75" x14ac:dyDescent="0.2">
      <c r="B233" s="175"/>
      <c r="C233" s="175"/>
      <c r="D233" s="175"/>
      <c r="E233" s="175"/>
      <c r="F233" s="175"/>
      <c r="G233" s="175"/>
      <c r="H233" s="175"/>
      <c r="I233" s="175"/>
    </row>
    <row r="234" spans="2:9" s="231" customFormat="1" ht="12.75" x14ac:dyDescent="0.2">
      <c r="B234" s="175"/>
      <c r="C234" s="175"/>
      <c r="D234" s="175"/>
      <c r="E234" s="175"/>
      <c r="F234" s="175"/>
      <c r="G234" s="175"/>
      <c r="H234" s="175"/>
      <c r="I234" s="175"/>
    </row>
    <row r="235" spans="2:9" s="231" customFormat="1" ht="12.75" x14ac:dyDescent="0.2">
      <c r="B235" s="175"/>
      <c r="C235" s="175"/>
      <c r="D235" s="175"/>
      <c r="E235" s="175"/>
      <c r="F235" s="175"/>
      <c r="G235" s="175"/>
      <c r="H235" s="175"/>
      <c r="I235" s="175"/>
    </row>
    <row r="236" spans="2:9" s="231" customFormat="1" ht="12.75" x14ac:dyDescent="0.2">
      <c r="B236" s="175"/>
      <c r="C236" s="175"/>
      <c r="D236" s="175"/>
      <c r="E236" s="175"/>
      <c r="F236" s="175"/>
      <c r="G236" s="175"/>
      <c r="H236" s="175"/>
      <c r="I236" s="175"/>
    </row>
    <row r="237" spans="2:9" s="231" customFormat="1" ht="12.75" x14ac:dyDescent="0.2">
      <c r="B237" s="175"/>
      <c r="C237" s="175"/>
      <c r="D237" s="175"/>
      <c r="E237" s="175"/>
      <c r="F237" s="175"/>
      <c r="G237" s="175"/>
      <c r="H237" s="175"/>
      <c r="I237" s="175"/>
    </row>
    <row r="238" spans="2:9" s="231" customFormat="1" ht="12.75" x14ac:dyDescent="0.2">
      <c r="B238" s="175"/>
      <c r="C238" s="175"/>
      <c r="D238" s="175"/>
      <c r="E238" s="175"/>
      <c r="F238" s="175"/>
      <c r="G238" s="175"/>
      <c r="H238" s="175"/>
      <c r="I238" s="175"/>
    </row>
    <row r="239" spans="2:9" s="231" customFormat="1" ht="12.75" x14ac:dyDescent="0.2">
      <c r="B239" s="175"/>
      <c r="C239" s="175"/>
      <c r="D239" s="175"/>
      <c r="E239" s="175"/>
      <c r="F239" s="175"/>
      <c r="G239" s="175"/>
      <c r="H239" s="175"/>
      <c r="I239" s="175"/>
    </row>
    <row r="240" spans="2:9" s="231" customFormat="1" ht="12.75" x14ac:dyDescent="0.2">
      <c r="B240" s="175"/>
      <c r="C240" s="175"/>
      <c r="D240" s="175"/>
      <c r="E240" s="175"/>
      <c r="F240" s="175"/>
      <c r="G240" s="175"/>
      <c r="H240" s="175"/>
      <c r="I240" s="175"/>
    </row>
    <row r="241" spans="2:9" s="231" customFormat="1" ht="12.75" x14ac:dyDescent="0.2">
      <c r="B241" s="175"/>
      <c r="C241" s="175"/>
      <c r="D241" s="175"/>
      <c r="E241" s="175"/>
      <c r="F241" s="175"/>
      <c r="G241" s="175"/>
      <c r="H241" s="175"/>
      <c r="I241" s="175"/>
    </row>
    <row r="242" spans="2:9" s="231" customFormat="1" ht="12.75" x14ac:dyDescent="0.2">
      <c r="B242" s="175"/>
      <c r="C242" s="175"/>
      <c r="D242" s="175"/>
      <c r="E242" s="175"/>
      <c r="F242" s="175"/>
      <c r="G242" s="175"/>
      <c r="H242" s="175"/>
      <c r="I242" s="175"/>
    </row>
    <row r="243" spans="2:9" s="231" customFormat="1" ht="12.75" x14ac:dyDescent="0.2">
      <c r="B243" s="175"/>
      <c r="C243" s="175"/>
      <c r="D243" s="175"/>
      <c r="E243" s="175"/>
      <c r="F243" s="175"/>
      <c r="G243" s="175"/>
      <c r="H243" s="175"/>
      <c r="I243" s="175"/>
    </row>
    <row r="244" spans="2:9" s="231" customFormat="1" ht="12.75" x14ac:dyDescent="0.2">
      <c r="B244" s="175"/>
      <c r="C244" s="175"/>
      <c r="D244" s="175"/>
      <c r="E244" s="175"/>
      <c r="F244" s="175"/>
      <c r="G244" s="175"/>
      <c r="H244" s="175"/>
      <c r="I244" s="175"/>
    </row>
    <row r="245" spans="2:9" s="231" customFormat="1" ht="12.75" x14ac:dyDescent="0.2">
      <c r="B245" s="175"/>
      <c r="C245" s="175"/>
      <c r="D245" s="175"/>
      <c r="E245" s="175"/>
      <c r="F245" s="175"/>
      <c r="G245" s="175"/>
      <c r="H245" s="175"/>
      <c r="I245" s="175"/>
    </row>
    <row r="246" spans="2:9" s="231" customFormat="1" ht="12.75" x14ac:dyDescent="0.2">
      <c r="B246" s="175"/>
      <c r="C246" s="175"/>
      <c r="D246" s="175"/>
      <c r="E246" s="175"/>
      <c r="F246" s="175"/>
      <c r="G246" s="175"/>
      <c r="H246" s="175"/>
      <c r="I246" s="175"/>
    </row>
    <row r="247" spans="2:9" s="231" customFormat="1" ht="12.75" x14ac:dyDescent="0.2">
      <c r="B247" s="175"/>
      <c r="C247" s="175"/>
      <c r="D247" s="175"/>
      <c r="E247" s="175"/>
      <c r="F247" s="175"/>
      <c r="G247" s="175"/>
      <c r="H247" s="175"/>
      <c r="I247" s="175"/>
    </row>
    <row r="248" spans="2:9" s="231" customFormat="1" ht="12.75" x14ac:dyDescent="0.2">
      <c r="B248" s="175"/>
      <c r="C248" s="175"/>
      <c r="D248" s="175"/>
      <c r="E248" s="175"/>
      <c r="F248" s="175"/>
      <c r="G248" s="175"/>
      <c r="H248" s="175"/>
      <c r="I248" s="175"/>
    </row>
    <row r="249" spans="2:9" s="231" customFormat="1" ht="12.75" x14ac:dyDescent="0.2">
      <c r="B249" s="175"/>
      <c r="C249" s="175"/>
      <c r="D249" s="175"/>
      <c r="E249" s="175"/>
      <c r="F249" s="175"/>
      <c r="G249" s="175"/>
      <c r="H249" s="175"/>
      <c r="I249" s="175"/>
    </row>
    <row r="250" spans="2:9" s="231" customFormat="1" ht="12.75" x14ac:dyDescent="0.2">
      <c r="B250" s="175"/>
      <c r="C250" s="175"/>
      <c r="D250" s="175"/>
      <c r="E250" s="175"/>
      <c r="F250" s="175"/>
      <c r="G250" s="175"/>
      <c r="H250" s="175"/>
      <c r="I250" s="175"/>
    </row>
    <row r="251" spans="2:9" s="231" customFormat="1" ht="12.75" x14ac:dyDescent="0.2">
      <c r="B251" s="175"/>
      <c r="C251" s="175"/>
      <c r="D251" s="175"/>
      <c r="E251" s="175"/>
      <c r="F251" s="175"/>
      <c r="G251" s="175"/>
      <c r="H251" s="175"/>
      <c r="I251" s="175"/>
    </row>
    <row r="252" spans="2:9" s="231" customFormat="1" ht="12.75" x14ac:dyDescent="0.2">
      <c r="B252" s="175"/>
      <c r="C252" s="175"/>
      <c r="D252" s="175"/>
      <c r="E252" s="175"/>
      <c r="F252" s="175"/>
      <c r="G252" s="175"/>
      <c r="H252" s="175"/>
      <c r="I252" s="175"/>
    </row>
    <row r="253" spans="2:9" s="231" customFormat="1" ht="12.75" x14ac:dyDescent="0.2">
      <c r="B253" s="175"/>
      <c r="C253" s="175"/>
      <c r="D253" s="175"/>
      <c r="E253" s="175"/>
      <c r="F253" s="175"/>
      <c r="G253" s="175"/>
      <c r="H253" s="175"/>
      <c r="I253" s="175"/>
    </row>
    <row r="254" spans="2:9" s="231" customFormat="1" ht="12.75" x14ac:dyDescent="0.2">
      <c r="B254" s="175"/>
      <c r="C254" s="175"/>
      <c r="D254" s="175"/>
      <c r="E254" s="175"/>
      <c r="F254" s="175"/>
      <c r="G254" s="175"/>
      <c r="H254" s="175"/>
      <c r="I254" s="175"/>
    </row>
    <row r="255" spans="2:9" s="231" customFormat="1" ht="12.75" x14ac:dyDescent="0.2">
      <c r="B255" s="175"/>
      <c r="C255" s="175"/>
      <c r="D255" s="175"/>
      <c r="E255" s="175"/>
      <c r="F255" s="175"/>
      <c r="G255" s="175"/>
      <c r="H255" s="175"/>
      <c r="I255" s="175"/>
    </row>
    <row r="256" spans="2:9" s="231" customFormat="1" ht="12.75" x14ac:dyDescent="0.2">
      <c r="B256" s="175"/>
      <c r="C256" s="175"/>
      <c r="D256" s="175"/>
      <c r="E256" s="175"/>
      <c r="F256" s="175"/>
      <c r="G256" s="175"/>
      <c r="H256" s="175"/>
      <c r="I256" s="175"/>
    </row>
    <row r="257" spans="2:9" s="231" customFormat="1" ht="12.75" x14ac:dyDescent="0.2">
      <c r="B257" s="175"/>
      <c r="C257" s="175"/>
      <c r="D257" s="175"/>
      <c r="E257" s="175"/>
      <c r="F257" s="175"/>
      <c r="G257" s="175"/>
      <c r="H257" s="175"/>
      <c r="I257" s="175"/>
    </row>
    <row r="258" spans="2:9" s="231" customFormat="1" x14ac:dyDescent="0.25">
      <c r="B258"/>
      <c r="C258"/>
      <c r="D258"/>
      <c r="E258"/>
      <c r="F258"/>
      <c r="G258"/>
      <c r="H258"/>
      <c r="I258"/>
    </row>
    <row r="259" spans="2:9" s="231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N4:AS4"/>
    <mergeCell ref="AT4:BA4"/>
    <mergeCell ref="AT6:AU6"/>
    <mergeCell ref="AV6:AW6"/>
    <mergeCell ref="AX6:AY6"/>
    <mergeCell ref="AZ6:BA6"/>
    <mergeCell ref="J4:O4"/>
    <mergeCell ref="P4:U4"/>
    <mergeCell ref="D5:F5"/>
    <mergeCell ref="G5:I5"/>
    <mergeCell ref="J6:K6"/>
    <mergeCell ref="L6:M6"/>
    <mergeCell ref="N6:O6"/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59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19" customWidth="1"/>
    <col min="2" max="2" width="72" style="19" customWidth="1"/>
    <col min="3" max="3" width="11.28515625" style="19" customWidth="1"/>
    <col min="4" max="4" width="10.140625" style="19" customWidth="1"/>
    <col min="5" max="5" width="9.5703125" style="19" customWidth="1"/>
    <col min="6" max="6" width="10.71093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663</v>
      </c>
    </row>
    <row r="2" spans="2:9" s="2" customFormat="1" ht="20.25" x14ac:dyDescent="0.3">
      <c r="B2" s="244" t="s">
        <v>0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f>133182+1000+10612</f>
        <v>144794</v>
      </c>
      <c r="E7" s="13"/>
      <c r="F7" s="14">
        <f>+D7+E7</f>
        <v>144794</v>
      </c>
      <c r="G7" s="13">
        <v>147397</v>
      </c>
      <c r="H7" s="13"/>
      <c r="I7" s="14">
        <f>+G7+H7</f>
        <v>147397</v>
      </c>
    </row>
    <row r="8" spans="2:9" x14ac:dyDescent="0.25">
      <c r="B8" s="44" t="s">
        <v>42</v>
      </c>
      <c r="C8" s="43" t="s">
        <v>43</v>
      </c>
      <c r="D8" s="13">
        <v>2400</v>
      </c>
      <c r="E8" s="13"/>
      <c r="F8" s="14">
        <f>+D8+E8</f>
        <v>2400</v>
      </c>
      <c r="G8" s="13">
        <v>2400</v>
      </c>
      <c r="H8" s="13"/>
      <c r="I8" s="14">
        <f>+G8+H8</f>
        <v>2400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147194</v>
      </c>
      <c r="E9" s="14">
        <f t="shared" si="0"/>
        <v>0</v>
      </c>
      <c r="F9" s="14">
        <f t="shared" si="0"/>
        <v>147194</v>
      </c>
      <c r="G9" s="14">
        <f t="shared" ref="G9" si="1">SUM(G7:G8)</f>
        <v>149797</v>
      </c>
      <c r="H9" s="14">
        <f t="shared" si="0"/>
        <v>0</v>
      </c>
      <c r="I9" s="14">
        <f t="shared" si="0"/>
        <v>149797</v>
      </c>
    </row>
    <row r="10" spans="2:9" x14ac:dyDescent="0.25">
      <c r="B10" s="47" t="s">
        <v>46</v>
      </c>
      <c r="C10" s="46" t="s">
        <v>47</v>
      </c>
      <c r="D10" s="13">
        <f>31161+497+3050</f>
        <v>34708</v>
      </c>
      <c r="E10" s="13"/>
      <c r="F10" s="14">
        <f t="shared" ref="F10:F15" si="2">+D10+E10</f>
        <v>34708</v>
      </c>
      <c r="G10" s="13">
        <v>35285</v>
      </c>
      <c r="H10" s="13"/>
      <c r="I10" s="14">
        <f t="shared" ref="I10:I15" si="3">+G10+H10</f>
        <v>35285</v>
      </c>
    </row>
    <row r="11" spans="2:9" x14ac:dyDescent="0.25">
      <c r="B11" s="44" t="s">
        <v>48</v>
      </c>
      <c r="C11" s="43" t="s">
        <v>49</v>
      </c>
      <c r="D11" s="13">
        <f>20+400+310+300+1500+1200+300</f>
        <v>4030</v>
      </c>
      <c r="E11" s="13"/>
      <c r="F11" s="14">
        <f t="shared" si="2"/>
        <v>4030</v>
      </c>
      <c r="G11" s="13">
        <f>20+400+310+300+1500+1200+300</f>
        <v>4030</v>
      </c>
      <c r="H11" s="13"/>
      <c r="I11" s="14">
        <f t="shared" si="3"/>
        <v>4030</v>
      </c>
    </row>
    <row r="12" spans="2:9" x14ac:dyDescent="0.25">
      <c r="B12" s="44" t="s">
        <v>50</v>
      </c>
      <c r="C12" s="43" t="s">
        <v>51</v>
      </c>
      <c r="D12" s="13">
        <f>400+300+100+1500+500</f>
        <v>2800</v>
      </c>
      <c r="E12" s="13"/>
      <c r="F12" s="14">
        <f t="shared" si="2"/>
        <v>2800</v>
      </c>
      <c r="G12" s="13">
        <v>2850</v>
      </c>
      <c r="H12" s="13"/>
      <c r="I12" s="14">
        <f t="shared" si="3"/>
        <v>2850</v>
      </c>
    </row>
    <row r="13" spans="2:9" x14ac:dyDescent="0.25">
      <c r="B13" s="44" t="s">
        <v>52</v>
      </c>
      <c r="C13" s="43" t="s">
        <v>53</v>
      </c>
      <c r="D13" s="13">
        <f>3000+1000+4000+500+1766+100+300+914+1500+1500+1200+650+190+100+260+2000+1500+668+400</f>
        <v>21548</v>
      </c>
      <c r="E13" s="13"/>
      <c r="F13" s="14">
        <f t="shared" si="2"/>
        <v>21548</v>
      </c>
      <c r="G13" s="13">
        <v>21408</v>
      </c>
      <c r="H13" s="13"/>
      <c r="I13" s="14">
        <f t="shared" si="3"/>
        <v>21408</v>
      </c>
    </row>
    <row r="14" spans="2:9" x14ac:dyDescent="0.25">
      <c r="B14" s="44" t="s">
        <v>54</v>
      </c>
      <c r="C14" s="43" t="s">
        <v>55</v>
      </c>
      <c r="D14" s="13">
        <v>240</v>
      </c>
      <c r="E14" s="13"/>
      <c r="F14" s="14">
        <f t="shared" si="2"/>
        <v>240</v>
      </c>
      <c r="G14" s="13">
        <v>330</v>
      </c>
      <c r="H14" s="13"/>
      <c r="I14" s="14">
        <f t="shared" si="3"/>
        <v>330</v>
      </c>
    </row>
    <row r="15" spans="2:9" x14ac:dyDescent="0.25">
      <c r="B15" s="44" t="s">
        <v>56</v>
      </c>
      <c r="C15" s="43" t="s">
        <v>57</v>
      </c>
      <c r="D15" s="13">
        <f>7800+200+132</f>
        <v>8132</v>
      </c>
      <c r="E15" s="13"/>
      <c r="F15" s="14">
        <f t="shared" si="2"/>
        <v>8132</v>
      </c>
      <c r="G15" s="13">
        <v>8476</v>
      </c>
      <c r="H15" s="13"/>
      <c r="I15" s="14">
        <f t="shared" si="3"/>
        <v>8476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36750</v>
      </c>
      <c r="E16" s="14">
        <f t="shared" si="4"/>
        <v>0</v>
      </c>
      <c r="F16" s="14">
        <f t="shared" si="4"/>
        <v>36750</v>
      </c>
      <c r="G16" s="14">
        <f t="shared" ref="G16" si="5">SUM(G11:G15)</f>
        <v>37094</v>
      </c>
      <c r="H16" s="14">
        <f t="shared" si="4"/>
        <v>0</v>
      </c>
      <c r="I16" s="14">
        <f t="shared" si="4"/>
        <v>37094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218652</v>
      </c>
      <c r="E33" s="53">
        <f t="shared" si="10"/>
        <v>0</v>
      </c>
      <c r="F33" s="53">
        <f t="shared" si="10"/>
        <v>218652</v>
      </c>
      <c r="G33" s="53">
        <f t="shared" ref="G33" si="11">+G32+G17+G16+G10+G9</f>
        <v>222176</v>
      </c>
      <c r="H33" s="53">
        <f t="shared" si="10"/>
        <v>0</v>
      </c>
      <c r="I33" s="53">
        <f t="shared" si="10"/>
        <v>222176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/>
      <c r="F36" s="14">
        <f t="shared" si="12"/>
        <v>0</v>
      </c>
      <c r="G36" s="13"/>
      <c r="H36" s="13"/>
      <c r="I36" s="14">
        <f t="shared" si="13"/>
        <v>0</v>
      </c>
    </row>
    <row r="37" spans="2:9" x14ac:dyDescent="0.25">
      <c r="B37" s="54" t="s">
        <v>99</v>
      </c>
      <c r="C37" s="43" t="s">
        <v>100</v>
      </c>
      <c r="D37" s="13">
        <v>737</v>
      </c>
      <c r="E37" s="13"/>
      <c r="F37" s="14">
        <f t="shared" si="12"/>
        <v>737</v>
      </c>
      <c r="G37" s="13">
        <v>737</v>
      </c>
      <c r="H37" s="13"/>
      <c r="I37" s="14">
        <f t="shared" si="13"/>
        <v>737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199</v>
      </c>
      <c r="E40" s="13"/>
      <c r="F40" s="14">
        <f t="shared" si="12"/>
        <v>199</v>
      </c>
      <c r="G40" s="13">
        <v>199</v>
      </c>
      <c r="H40" s="13"/>
      <c r="I40" s="14">
        <f t="shared" si="13"/>
        <v>199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936</v>
      </c>
      <c r="E41" s="14">
        <f t="shared" si="14"/>
        <v>0</v>
      </c>
      <c r="F41" s="14">
        <f t="shared" si="14"/>
        <v>936</v>
      </c>
      <c r="G41" s="14">
        <f t="shared" si="14"/>
        <v>936</v>
      </c>
      <c r="H41" s="14">
        <f t="shared" si="14"/>
        <v>0</v>
      </c>
      <c r="I41" s="14">
        <f t="shared" si="14"/>
        <v>936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t="31.5" hidden="1" x14ac:dyDescent="0.25">
      <c r="B48" s="57" t="s">
        <v>668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936</v>
      </c>
      <c r="E57" s="53">
        <f t="shared" si="19"/>
        <v>0</v>
      </c>
      <c r="F57" s="53">
        <f t="shared" si="19"/>
        <v>936</v>
      </c>
      <c r="G57" s="53">
        <f t="shared" si="19"/>
        <v>936</v>
      </c>
      <c r="H57" s="53">
        <f t="shared" si="19"/>
        <v>0</v>
      </c>
      <c r="I57" s="53">
        <f t="shared" si="19"/>
        <v>936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219588</v>
      </c>
      <c r="E58" s="60">
        <f t="shared" si="20"/>
        <v>0</v>
      </c>
      <c r="F58" s="60">
        <f t="shared" si="20"/>
        <v>219588</v>
      </c>
      <c r="G58" s="60">
        <f t="shared" si="20"/>
        <v>223112</v>
      </c>
      <c r="H58" s="60">
        <f t="shared" si="20"/>
        <v>0</v>
      </c>
      <c r="I58" s="60">
        <f t="shared" si="20"/>
        <v>223112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219588</v>
      </c>
      <c r="E64" s="18">
        <f t="shared" si="22"/>
        <v>0</v>
      </c>
      <c r="F64" s="18">
        <f t="shared" si="22"/>
        <v>219588</v>
      </c>
      <c r="G64" s="18">
        <f t="shared" si="22"/>
        <v>223112</v>
      </c>
      <c r="H64" s="18">
        <f t="shared" si="22"/>
        <v>0</v>
      </c>
      <c r="I64" s="18">
        <f t="shared" si="22"/>
        <v>223112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7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f>5011+1000</f>
        <v>6011</v>
      </c>
      <c r="E73" s="13"/>
      <c r="F73" s="14">
        <f t="shared" si="23"/>
        <v>6011</v>
      </c>
      <c r="G73" s="13">
        <v>7416</v>
      </c>
      <c r="H73" s="13"/>
      <c r="I73" s="14">
        <f t="shared" si="24"/>
        <v>7416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6011</v>
      </c>
      <c r="E74" s="14">
        <f t="shared" si="25"/>
        <v>0</v>
      </c>
      <c r="F74" s="14">
        <f t="shared" si="25"/>
        <v>6011</v>
      </c>
      <c r="G74" s="14">
        <f t="shared" ref="G74" si="26">+G73+G72+G71+G70+G69+G68</f>
        <v>7416</v>
      </c>
      <c r="H74" s="14">
        <f t="shared" si="25"/>
        <v>0</v>
      </c>
      <c r="I74" s="14">
        <f t="shared" si="25"/>
        <v>7416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" si="30">SUM(G76:G81)</f>
        <v>0</v>
      </c>
      <c r="H82" s="14">
        <f t="shared" si="29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/>
      <c r="E83" s="13"/>
      <c r="F83" s="14">
        <f t="shared" ref="F83:F93" si="31">+E83+D83</f>
        <v>0</v>
      </c>
      <c r="G83" s="13"/>
      <c r="H83" s="13"/>
      <c r="I83" s="14">
        <f t="shared" ref="I83:I93" si="32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250+3013</f>
        <v>3263</v>
      </c>
      <c r="E84" s="13"/>
      <c r="F84" s="14">
        <f t="shared" si="31"/>
        <v>3263</v>
      </c>
      <c r="G84" s="13">
        <f>250+3013</f>
        <v>3263</v>
      </c>
      <c r="H84" s="13"/>
      <c r="I84" s="14">
        <f t="shared" si="32"/>
        <v>3263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1"/>
        <v>0</v>
      </c>
      <c r="G85" s="13"/>
      <c r="H85" s="13"/>
      <c r="I85" s="14">
        <f t="shared" si="32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1"/>
        <v>0</v>
      </c>
      <c r="G87" s="13"/>
      <c r="H87" s="13"/>
      <c r="I87" s="14">
        <f t="shared" si="32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814</v>
      </c>
      <c r="E88" s="13"/>
      <c r="F88" s="14">
        <f t="shared" si="31"/>
        <v>814</v>
      </c>
      <c r="G88" s="13">
        <v>814</v>
      </c>
      <c r="H88" s="13"/>
      <c r="I88" s="14">
        <f t="shared" si="32"/>
        <v>814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1"/>
        <v>0</v>
      </c>
      <c r="G90" s="13"/>
      <c r="H90" s="13"/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/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1"/>
        <v>0</v>
      </c>
      <c r="G93" s="13"/>
      <c r="H93" s="13"/>
      <c r="I93" s="14">
        <f t="shared" si="32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4077</v>
      </c>
      <c r="E94" s="14">
        <f t="shared" si="33"/>
        <v>0</v>
      </c>
      <c r="F94" s="14">
        <f t="shared" si="33"/>
        <v>4077</v>
      </c>
      <c r="G94" s="14">
        <f t="shared" si="33"/>
        <v>4077</v>
      </c>
      <c r="H94" s="14">
        <f t="shared" si="33"/>
        <v>0</v>
      </c>
      <c r="I94" s="14">
        <f t="shared" si="33"/>
        <v>4077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 t="shared" ref="F101:F106" si="35">+E101+D101</f>
        <v>0</v>
      </c>
      <c r="G101" s="13"/>
      <c r="H101" s="13"/>
      <c r="I101" s="14">
        <f t="shared" ref="I101:I106" si="36"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 t="shared" si="35"/>
        <v>0</v>
      </c>
      <c r="G102" s="13"/>
      <c r="H102" s="13"/>
      <c r="I102" s="14">
        <f t="shared" si="36"/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>
        <f t="shared" si="35"/>
        <v>0</v>
      </c>
      <c r="G103" s="13"/>
      <c r="H103" s="13"/>
      <c r="I103" s="14">
        <f t="shared" si="36"/>
        <v>0</v>
      </c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>
        <f t="shared" si="35"/>
        <v>0</v>
      </c>
      <c r="G104" s="13"/>
      <c r="H104" s="13"/>
      <c r="I104" s="14">
        <f t="shared" si="36"/>
        <v>0</v>
      </c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 t="shared" si="35"/>
        <v>0</v>
      </c>
      <c r="G105" s="13"/>
      <c r="H105" s="13"/>
      <c r="I105" s="14">
        <f t="shared" si="36"/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hidden="1" x14ac:dyDescent="0.25">
      <c r="B106" s="57" t="s">
        <v>268</v>
      </c>
      <c r="C106" s="55" t="s">
        <v>269</v>
      </c>
      <c r="D106" s="13"/>
      <c r="E106" s="13"/>
      <c r="F106" s="14">
        <f t="shared" si="35"/>
        <v>0</v>
      </c>
      <c r="G106" s="13"/>
      <c r="H106" s="13"/>
      <c r="I106" s="14">
        <f t="shared" si="36"/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7">SUM(D102:D106)</f>
        <v>0</v>
      </c>
      <c r="E107" s="14">
        <f t="shared" si="37"/>
        <v>0</v>
      </c>
      <c r="F107" s="14">
        <f t="shared" si="37"/>
        <v>0</v>
      </c>
      <c r="G107" s="14">
        <f t="shared" si="37"/>
        <v>0</v>
      </c>
      <c r="H107" s="14">
        <f t="shared" si="37"/>
        <v>0</v>
      </c>
      <c r="I107" s="14">
        <f t="shared" si="37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8">+D107+D101+D100+D94+D82+D75+D74</f>
        <v>10088</v>
      </c>
      <c r="E108" s="60">
        <f t="shared" si="38"/>
        <v>0</v>
      </c>
      <c r="F108" s="60">
        <f t="shared" si="38"/>
        <v>10088</v>
      </c>
      <c r="G108" s="60">
        <f t="shared" si="38"/>
        <v>11493</v>
      </c>
      <c r="H108" s="60">
        <f t="shared" si="38"/>
        <v>0</v>
      </c>
      <c r="I108" s="60">
        <f t="shared" si="38"/>
        <v>11493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-208564</v>
      </c>
      <c r="E109" s="75">
        <f>+E101+E94+E82+E74-E33</f>
        <v>0</v>
      </c>
      <c r="F109" s="75">
        <f t="shared" ref="F109:F116" si="39">+E109+D109</f>
        <v>-208564</v>
      </c>
      <c r="G109" s="75">
        <f>+G101+G94+G82+G74-G33</f>
        <v>-210683</v>
      </c>
      <c r="H109" s="75">
        <f>+H101+H94+H82+H74-H33</f>
        <v>0</v>
      </c>
      <c r="I109" s="75">
        <f t="shared" ref="I109:I116" si="40">+H109+G109</f>
        <v>-210683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-936</v>
      </c>
      <c r="E110" s="75">
        <f>+E107+E100+E75-E57</f>
        <v>0</v>
      </c>
      <c r="F110" s="75">
        <f t="shared" si="39"/>
        <v>-936</v>
      </c>
      <c r="G110" s="75">
        <f>+G107+G100+G75-G57</f>
        <v>-936</v>
      </c>
      <c r="H110" s="75">
        <f>+H107+H100+H75-H57</f>
        <v>0</v>
      </c>
      <c r="I110" s="75">
        <f t="shared" si="40"/>
        <v>-936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39"/>
        <v>0</v>
      </c>
      <c r="G111" s="13"/>
      <c r="H111" s="13"/>
      <c r="I111" s="14">
        <f t="shared" si="40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39"/>
        <v>0</v>
      </c>
      <c r="G112" s="13"/>
      <c r="H112" s="13"/>
      <c r="I112" s="14">
        <f t="shared" si="40"/>
        <v>0</v>
      </c>
    </row>
    <row r="113" spans="1:9" x14ac:dyDescent="0.25">
      <c r="A113" s="79" t="s">
        <v>332</v>
      </c>
      <c r="B113" s="44" t="s">
        <v>294</v>
      </c>
      <c r="C113" s="44" t="s">
        <v>295</v>
      </c>
      <c r="D113" s="13"/>
      <c r="E113" s="13"/>
      <c r="F113" s="14">
        <f t="shared" si="39"/>
        <v>0</v>
      </c>
      <c r="G113" s="13">
        <v>344</v>
      </c>
      <c r="H113" s="13"/>
      <c r="I113" s="14">
        <f t="shared" si="40"/>
        <v>344</v>
      </c>
    </row>
    <row r="114" spans="1:9" x14ac:dyDescent="0.25">
      <c r="A114" s="79" t="s">
        <v>670</v>
      </c>
      <c r="B114" s="44" t="s">
        <v>296</v>
      </c>
      <c r="C114" s="44" t="s">
        <v>295</v>
      </c>
      <c r="D114" s="13"/>
      <c r="E114" s="13"/>
      <c r="F114" s="14">
        <f t="shared" si="39"/>
        <v>0</v>
      </c>
      <c r="G114" s="13"/>
      <c r="H114" s="13"/>
      <c r="I114" s="14">
        <f t="shared" si="40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9"/>
        <v>0</v>
      </c>
      <c r="G115" s="13"/>
      <c r="H115" s="13"/>
      <c r="I115" s="14">
        <f t="shared" si="40"/>
        <v>0</v>
      </c>
    </row>
    <row r="116" spans="1:9" hidden="1" x14ac:dyDescent="0.25">
      <c r="B116" s="44" t="s">
        <v>299</v>
      </c>
      <c r="C116" s="44" t="s">
        <v>298</v>
      </c>
      <c r="D116" s="13"/>
      <c r="E116" s="13"/>
      <c r="F116" s="14">
        <f t="shared" si="39"/>
        <v>0</v>
      </c>
      <c r="G116" s="13"/>
      <c r="H116" s="13"/>
      <c r="I116" s="14">
        <f t="shared" si="40"/>
        <v>0</v>
      </c>
    </row>
    <row r="117" spans="1:9" x14ac:dyDescent="0.25">
      <c r="A117"/>
      <c r="B117" s="47" t="s">
        <v>300</v>
      </c>
      <c r="C117" s="47" t="s">
        <v>301</v>
      </c>
      <c r="D117" s="14">
        <f t="shared" ref="D117:I117" si="41">SUM(D113:D116)</f>
        <v>0</v>
      </c>
      <c r="E117" s="14">
        <f t="shared" si="41"/>
        <v>0</v>
      </c>
      <c r="F117" s="14">
        <f t="shared" si="41"/>
        <v>0</v>
      </c>
      <c r="G117" s="14">
        <f t="shared" si="41"/>
        <v>344</v>
      </c>
      <c r="H117" s="14">
        <f t="shared" si="41"/>
        <v>0</v>
      </c>
      <c r="I117" s="14">
        <f t="shared" si="41"/>
        <v>344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2">+E118+D118</f>
        <v>0</v>
      </c>
      <c r="G118" s="13"/>
      <c r="H118" s="13"/>
      <c r="I118" s="14">
        <f t="shared" ref="I118:I125" si="43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2"/>
        <v>0</v>
      </c>
      <c r="G119" s="13"/>
      <c r="H119" s="13"/>
      <c r="I119" s="14">
        <f t="shared" si="43"/>
        <v>0</v>
      </c>
    </row>
    <row r="120" spans="1:9" x14ac:dyDescent="0.25">
      <c r="A120" s="19" t="s">
        <v>671</v>
      </c>
      <c r="B120" s="63" t="s">
        <v>306</v>
      </c>
      <c r="C120" s="44" t="s">
        <v>307</v>
      </c>
      <c r="D120" s="13">
        <v>209500</v>
      </c>
      <c r="E120" s="13"/>
      <c r="F120" s="14">
        <f t="shared" si="42"/>
        <v>209500</v>
      </c>
      <c r="G120" s="13">
        <v>211275</v>
      </c>
      <c r="H120" s="13"/>
      <c r="I120" s="14">
        <f t="shared" si="43"/>
        <v>211275</v>
      </c>
    </row>
    <row r="121" spans="1:9" s="249" customFormat="1" x14ac:dyDescent="0.25">
      <c r="B121" s="250" t="s">
        <v>672</v>
      </c>
      <c r="C121" s="145"/>
      <c r="D121" s="94">
        <v>136209</v>
      </c>
      <c r="E121" s="94"/>
      <c r="F121" s="127">
        <f t="shared" si="42"/>
        <v>136209</v>
      </c>
      <c r="G121" s="94">
        <v>136209</v>
      </c>
      <c r="H121" s="94"/>
      <c r="I121" s="127">
        <f t="shared" si="43"/>
        <v>136209</v>
      </c>
    </row>
    <row r="122" spans="1:9" s="249" customFormat="1" x14ac:dyDescent="0.25">
      <c r="B122" s="251" t="s">
        <v>662</v>
      </c>
      <c r="C122" s="145"/>
      <c r="D122" s="94">
        <f>+D120-D121</f>
        <v>73291</v>
      </c>
      <c r="E122" s="94">
        <f>+E120-E121</f>
        <v>0</v>
      </c>
      <c r="F122" s="127">
        <f t="shared" si="42"/>
        <v>73291</v>
      </c>
      <c r="G122" s="94">
        <f>+G120-G121</f>
        <v>75066</v>
      </c>
      <c r="H122" s="94">
        <f>+H120-H121</f>
        <v>0</v>
      </c>
      <c r="I122" s="127">
        <f t="shared" si="43"/>
        <v>75066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2"/>
        <v>0</v>
      </c>
      <c r="G123" s="13"/>
      <c r="H123" s="13"/>
      <c r="I123" s="14">
        <f t="shared" si="43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2"/>
        <v>0</v>
      </c>
      <c r="G124" s="13"/>
      <c r="H124" s="13"/>
      <c r="I124" s="14">
        <f t="shared" si="43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2"/>
        <v>0</v>
      </c>
      <c r="G125" s="13"/>
      <c r="H125" s="13"/>
      <c r="I125" s="14">
        <f t="shared" si="43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209500</v>
      </c>
      <c r="E126" s="14">
        <f>SUM(E118:E125)+E117+E112+E111-E121-E122</f>
        <v>0</v>
      </c>
      <c r="F126" s="14">
        <f>SUM(F118:F124)+F117+F112+F111-F121-F122</f>
        <v>209500</v>
      </c>
      <c r="G126" s="14">
        <f>SUM(G118:G125)+G117+G112+G111-G121-G122</f>
        <v>211619</v>
      </c>
      <c r="H126" s="14">
        <f>SUM(H118:H125)+H117+H112+H111-H121-H122</f>
        <v>0</v>
      </c>
      <c r="I126" s="14">
        <f>SUM(I118:I124)+I117+I112+I111-I121-I122</f>
        <v>211619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209500</v>
      </c>
      <c r="E130" s="60">
        <f>+E128+E127+E126+E129</f>
        <v>0</v>
      </c>
      <c r="F130" s="60">
        <f>+F128+F127+F126</f>
        <v>209500</v>
      </c>
      <c r="G130" s="60">
        <f>+G128+G127+G126+G129</f>
        <v>211619</v>
      </c>
      <c r="H130" s="60">
        <f>+H128+H127+H126+H129</f>
        <v>0</v>
      </c>
      <c r="I130" s="60">
        <f>+I128+I127+I126</f>
        <v>211619</v>
      </c>
    </row>
    <row r="131" spans="2:9" x14ac:dyDescent="0.25">
      <c r="B131" s="17" t="s">
        <v>324</v>
      </c>
      <c r="C131" s="17" t="s">
        <v>325</v>
      </c>
      <c r="D131" s="18">
        <f t="shared" ref="D131:I131" si="44">+D108+D130</f>
        <v>219588</v>
      </c>
      <c r="E131" s="18">
        <f t="shared" si="44"/>
        <v>0</v>
      </c>
      <c r="F131" s="18">
        <f t="shared" si="44"/>
        <v>219588</v>
      </c>
      <c r="G131" s="18">
        <f t="shared" si="44"/>
        <v>223112</v>
      </c>
      <c r="H131" s="18">
        <f t="shared" si="44"/>
        <v>0</v>
      </c>
      <c r="I131" s="18">
        <f t="shared" si="44"/>
        <v>223112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5">+D108-D58</f>
        <v>-209500</v>
      </c>
      <c r="E133" s="14">
        <f t="shared" si="45"/>
        <v>0</v>
      </c>
      <c r="F133" s="14">
        <f t="shared" si="45"/>
        <v>-209500</v>
      </c>
      <c r="G133" s="14">
        <f t="shared" si="45"/>
        <v>-211619</v>
      </c>
      <c r="H133" s="14">
        <f t="shared" si="45"/>
        <v>0</v>
      </c>
      <c r="I133" s="14">
        <f t="shared" si="45"/>
        <v>-211619</v>
      </c>
    </row>
    <row r="134" spans="2:9" x14ac:dyDescent="0.25">
      <c r="B134" s="15" t="s">
        <v>327</v>
      </c>
      <c r="C134" s="15"/>
      <c r="D134" s="14">
        <f t="shared" ref="D134:I134" si="46">+D130-D63</f>
        <v>209500</v>
      </c>
      <c r="E134" s="14">
        <f t="shared" si="46"/>
        <v>0</v>
      </c>
      <c r="F134" s="14">
        <f t="shared" si="46"/>
        <v>209500</v>
      </c>
      <c r="G134" s="14">
        <f t="shared" si="46"/>
        <v>211619</v>
      </c>
      <c r="H134" s="14">
        <f t="shared" si="46"/>
        <v>0</v>
      </c>
      <c r="I134" s="14">
        <f t="shared" si="46"/>
        <v>211619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7">+D131-D64</f>
        <v>0</v>
      </c>
      <c r="E136" s="3">
        <f t="shared" si="47"/>
        <v>0</v>
      </c>
      <c r="F136" s="3">
        <f t="shared" si="47"/>
        <v>0</v>
      </c>
      <c r="G136" s="3">
        <f t="shared" si="47"/>
        <v>0</v>
      </c>
      <c r="H136" s="3">
        <f t="shared" si="47"/>
        <v>0</v>
      </c>
      <c r="I136" s="3">
        <f t="shared" si="47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4" width="10.140625" style="19" customWidth="1"/>
    <col min="5" max="5" width="9.5703125" style="19" customWidth="1"/>
    <col min="6" max="6" width="10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673</v>
      </c>
    </row>
    <row r="2" spans="2:9" s="2" customFormat="1" ht="20.25" x14ac:dyDescent="0.3">
      <c r="B2" s="244" t="s">
        <v>674</v>
      </c>
      <c r="F2" s="5"/>
      <c r="I2" s="5" t="s">
        <v>827</v>
      </c>
    </row>
    <row r="3" spans="2:9" s="2" customFormat="1" x14ac:dyDescent="0.25">
      <c r="B3" s="33" t="s">
        <v>664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20" t="s">
        <v>10</v>
      </c>
      <c r="E5" s="320"/>
      <c r="F5" s="320"/>
      <c r="G5" s="320" t="s">
        <v>11</v>
      </c>
      <c r="H5" s="320"/>
      <c r="I5" s="320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586</v>
      </c>
      <c r="G6" s="38" t="s">
        <v>13</v>
      </c>
      <c r="H6" s="38" t="s">
        <v>14</v>
      </c>
      <c r="I6" s="164" t="s">
        <v>586</v>
      </c>
    </row>
    <row r="7" spans="2:9" x14ac:dyDescent="0.25">
      <c r="B7" s="42" t="s">
        <v>40</v>
      </c>
      <c r="C7" s="43" t="s">
        <v>41</v>
      </c>
      <c r="D7" s="13">
        <v>238308</v>
      </c>
      <c r="E7" s="13">
        <v>122004</v>
      </c>
      <c r="F7" s="14">
        <f>+D7+E7</f>
        <v>360312</v>
      </c>
      <c r="G7" s="13">
        <f>375756-H7</f>
        <v>253752</v>
      </c>
      <c r="H7" s="13">
        <v>122004</v>
      </c>
      <c r="I7" s="14">
        <f>+G7+H7</f>
        <v>375756</v>
      </c>
    </row>
    <row r="8" spans="2:9" x14ac:dyDescent="0.25">
      <c r="B8" s="44" t="s">
        <v>42</v>
      </c>
      <c r="C8" s="43" t="s">
        <v>43</v>
      </c>
      <c r="D8" s="13">
        <v>8399</v>
      </c>
      <c r="E8" s="13">
        <v>2240</v>
      </c>
      <c r="F8" s="14">
        <f>+D8+E8</f>
        <v>10639</v>
      </c>
      <c r="G8" s="13">
        <v>8399</v>
      </c>
      <c r="H8" s="13">
        <v>2240</v>
      </c>
      <c r="I8" s="14">
        <f>+G8+H8</f>
        <v>10639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246707</v>
      </c>
      <c r="E9" s="14">
        <f t="shared" si="0"/>
        <v>124244</v>
      </c>
      <c r="F9" s="14">
        <f t="shared" si="0"/>
        <v>370951</v>
      </c>
      <c r="G9" s="14">
        <f t="shared" ref="G9:H9" si="1">SUM(G7:G8)</f>
        <v>262151</v>
      </c>
      <c r="H9" s="14">
        <f t="shared" si="1"/>
        <v>124244</v>
      </c>
      <c r="I9" s="14">
        <f t="shared" si="0"/>
        <v>386395</v>
      </c>
    </row>
    <row r="10" spans="2:9" x14ac:dyDescent="0.25">
      <c r="B10" s="47" t="s">
        <v>46</v>
      </c>
      <c r="C10" s="46" t="s">
        <v>47</v>
      </c>
      <c r="D10" s="13">
        <v>40537</v>
      </c>
      <c r="E10" s="13">
        <v>23485</v>
      </c>
      <c r="F10" s="14">
        <f t="shared" ref="F10:F15" si="2">+D10+E10</f>
        <v>64022</v>
      </c>
      <c r="G10" s="13">
        <v>40583</v>
      </c>
      <c r="H10" s="13">
        <v>23485</v>
      </c>
      <c r="I10" s="14">
        <f t="shared" ref="I10:I15" si="3">+G10+H10</f>
        <v>64068</v>
      </c>
    </row>
    <row r="11" spans="2:9" x14ac:dyDescent="0.25">
      <c r="B11" s="44" t="s">
        <v>48</v>
      </c>
      <c r="C11" s="43" t="s">
        <v>49</v>
      </c>
      <c r="D11" s="13">
        <v>31059</v>
      </c>
      <c r="E11" s="13">
        <v>25275</v>
      </c>
      <c r="F11" s="14">
        <f t="shared" si="2"/>
        <v>56334</v>
      </c>
      <c r="G11" s="13">
        <v>31059</v>
      </c>
      <c r="H11" s="13">
        <v>25275</v>
      </c>
      <c r="I11" s="14">
        <f t="shared" si="3"/>
        <v>56334</v>
      </c>
    </row>
    <row r="12" spans="2:9" x14ac:dyDescent="0.25">
      <c r="B12" s="44" t="s">
        <v>50</v>
      </c>
      <c r="C12" s="43" t="s">
        <v>51</v>
      </c>
      <c r="D12" s="13">
        <v>865</v>
      </c>
      <c r="E12" s="13">
        <v>710</v>
      </c>
      <c r="F12" s="14">
        <f t="shared" si="2"/>
        <v>1575</v>
      </c>
      <c r="G12" s="13">
        <v>905</v>
      </c>
      <c r="H12" s="13">
        <v>710</v>
      </c>
      <c r="I12" s="14">
        <f t="shared" si="3"/>
        <v>1615</v>
      </c>
    </row>
    <row r="13" spans="2:9" x14ac:dyDescent="0.25">
      <c r="B13" s="44" t="s">
        <v>52</v>
      </c>
      <c r="C13" s="43" t="s">
        <v>53</v>
      </c>
      <c r="D13" s="13">
        <v>28337</v>
      </c>
      <c r="E13" s="13">
        <v>52582</v>
      </c>
      <c r="F13" s="14">
        <f t="shared" si="2"/>
        <v>80919</v>
      </c>
      <c r="G13" s="13">
        <v>28337</v>
      </c>
      <c r="H13" s="13">
        <v>52582</v>
      </c>
      <c r="I13" s="14">
        <f t="shared" si="3"/>
        <v>80919</v>
      </c>
    </row>
    <row r="14" spans="2:9" x14ac:dyDescent="0.25">
      <c r="B14" s="44" t="s">
        <v>54</v>
      </c>
      <c r="C14" s="43" t="s">
        <v>55</v>
      </c>
      <c r="D14" s="13">
        <v>200</v>
      </c>
      <c r="E14" s="13">
        <v>2050</v>
      </c>
      <c r="F14" s="14">
        <f t="shared" si="2"/>
        <v>2250</v>
      </c>
      <c r="G14" s="13">
        <v>200</v>
      </c>
      <c r="H14" s="13">
        <v>2050</v>
      </c>
      <c r="I14" s="14">
        <f t="shared" si="3"/>
        <v>2250</v>
      </c>
    </row>
    <row r="15" spans="2:9" x14ac:dyDescent="0.25">
      <c r="B15" s="44" t="s">
        <v>56</v>
      </c>
      <c r="C15" s="43" t="s">
        <v>57</v>
      </c>
      <c r="D15" s="13">
        <v>17126</v>
      </c>
      <c r="E15" s="13">
        <v>41668</v>
      </c>
      <c r="F15" s="14">
        <f t="shared" si="2"/>
        <v>58794</v>
      </c>
      <c r="G15" s="13">
        <f>17126-940</f>
        <v>16186</v>
      </c>
      <c r="H15" s="13">
        <v>41668</v>
      </c>
      <c r="I15" s="14">
        <f t="shared" si="3"/>
        <v>57854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77587</v>
      </c>
      <c r="E16" s="14">
        <f t="shared" si="4"/>
        <v>122285</v>
      </c>
      <c r="F16" s="14">
        <f t="shared" si="4"/>
        <v>199872</v>
      </c>
      <c r="G16" s="14">
        <f t="shared" ref="G16:H16" si="5">SUM(G11:G15)</f>
        <v>76687</v>
      </c>
      <c r="H16" s="14">
        <f t="shared" si="5"/>
        <v>122285</v>
      </c>
      <c r="I16" s="14">
        <f t="shared" si="4"/>
        <v>198972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>
        <v>0</v>
      </c>
      <c r="E19" s="13">
        <v>0</v>
      </c>
      <c r="F19" s="14">
        <f t="shared" si="6"/>
        <v>0</v>
      </c>
      <c r="G19" s="13">
        <v>0</v>
      </c>
      <c r="H19" s="13">
        <v>0</v>
      </c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665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x14ac:dyDescent="0.25">
      <c r="B23" s="49" t="s">
        <v>72</v>
      </c>
      <c r="C23" s="43" t="s">
        <v>73</v>
      </c>
      <c r="D23" s="13">
        <v>0</v>
      </c>
      <c r="E23" s="13"/>
      <c r="F23" s="14">
        <f t="shared" si="6"/>
        <v>0</v>
      </c>
      <c r="G23" s="13">
        <v>0</v>
      </c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666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x14ac:dyDescent="0.25">
      <c r="B29" s="49" t="s">
        <v>84</v>
      </c>
      <c r="C29" s="43" t="s">
        <v>85</v>
      </c>
      <c r="D29" s="13">
        <v>5100</v>
      </c>
      <c r="E29" s="13"/>
      <c r="F29" s="14">
        <f t="shared" si="6"/>
        <v>5100</v>
      </c>
      <c r="G29" s="13">
        <v>5100</v>
      </c>
      <c r="H29" s="13"/>
      <c r="I29" s="14">
        <f t="shared" si="7"/>
        <v>5100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5100</v>
      </c>
      <c r="E32" s="14">
        <f t="shared" si="8"/>
        <v>0</v>
      </c>
      <c r="F32" s="14">
        <f t="shared" si="8"/>
        <v>5100</v>
      </c>
      <c r="G32" s="14">
        <f t="shared" ref="G32:H32" si="9">SUM(G18:G31)</f>
        <v>5100</v>
      </c>
      <c r="H32" s="14">
        <f t="shared" si="9"/>
        <v>0</v>
      </c>
      <c r="I32" s="14">
        <f t="shared" si="8"/>
        <v>5100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369931</v>
      </c>
      <c r="E33" s="53">
        <f t="shared" si="10"/>
        <v>270014</v>
      </c>
      <c r="F33" s="53">
        <f t="shared" si="10"/>
        <v>639945</v>
      </c>
      <c r="G33" s="53">
        <f t="shared" ref="G33:H33" si="11">+G32+G17+G16+G10+G9</f>
        <v>384521</v>
      </c>
      <c r="H33" s="53">
        <f t="shared" si="11"/>
        <v>270014</v>
      </c>
      <c r="I33" s="53">
        <f t="shared" si="10"/>
        <v>654535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550</v>
      </c>
      <c r="E36" s="13"/>
      <c r="F36" s="14">
        <f t="shared" si="12"/>
        <v>550</v>
      </c>
      <c r="G36" s="13">
        <v>550</v>
      </c>
      <c r="H36" s="13"/>
      <c r="I36" s="14">
        <f t="shared" si="13"/>
        <v>550</v>
      </c>
    </row>
    <row r="37" spans="2:9" x14ac:dyDescent="0.25">
      <c r="B37" s="54" t="s">
        <v>99</v>
      </c>
      <c r="C37" s="43" t="s">
        <v>100</v>
      </c>
      <c r="D37" s="13">
        <v>8850</v>
      </c>
      <c r="E37" s="13">
        <v>2800</v>
      </c>
      <c r="F37" s="14">
        <f t="shared" si="12"/>
        <v>11650</v>
      </c>
      <c r="G37" s="13">
        <v>8850</v>
      </c>
      <c r="H37" s="13">
        <v>2800</v>
      </c>
      <c r="I37" s="14">
        <f t="shared" si="13"/>
        <v>11650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2390</v>
      </c>
      <c r="E40" s="13">
        <v>756</v>
      </c>
      <c r="F40" s="14">
        <f t="shared" si="12"/>
        <v>3146</v>
      </c>
      <c r="G40" s="13">
        <v>2390</v>
      </c>
      <c r="H40" s="13">
        <v>756</v>
      </c>
      <c r="I40" s="14">
        <f t="shared" si="13"/>
        <v>3146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11790</v>
      </c>
      <c r="E41" s="14">
        <f t="shared" si="14"/>
        <v>3556</v>
      </c>
      <c r="F41" s="14">
        <f t="shared" si="14"/>
        <v>15346</v>
      </c>
      <c r="G41" s="14">
        <f t="shared" ref="G41:H41" si="15">SUM(G34:G40)</f>
        <v>11790</v>
      </c>
      <c r="H41" s="14">
        <f t="shared" si="15"/>
        <v>3556</v>
      </c>
      <c r="I41" s="14">
        <f t="shared" si="14"/>
        <v>15346</v>
      </c>
    </row>
    <row r="42" spans="2:9" x14ac:dyDescent="0.25">
      <c r="B42" s="57" t="s">
        <v>109</v>
      </c>
      <c r="C42" s="43" t="s">
        <v>110</v>
      </c>
      <c r="D42" s="13">
        <v>550</v>
      </c>
      <c r="E42" s="13">
        <v>5000</v>
      </c>
      <c r="F42" s="14">
        <f>+D42+E42</f>
        <v>5550</v>
      </c>
      <c r="G42" s="13">
        <v>550</v>
      </c>
      <c r="H42" s="13">
        <v>5000</v>
      </c>
      <c r="I42" s="14">
        <f>+G42+H42</f>
        <v>5550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>
        <v>0</v>
      </c>
      <c r="E44" s="13">
        <v>0</v>
      </c>
      <c r="F44" s="14">
        <f>+D44+E44</f>
        <v>0</v>
      </c>
      <c r="G44" s="13">
        <v>0</v>
      </c>
      <c r="H44" s="13">
        <v>0</v>
      </c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>
        <v>148</v>
      </c>
      <c r="E45" s="13">
        <v>1350</v>
      </c>
      <c r="F45" s="14">
        <f>+D45+E45</f>
        <v>1498</v>
      </c>
      <c r="G45" s="13">
        <v>148</v>
      </c>
      <c r="H45" s="13">
        <v>1350</v>
      </c>
      <c r="I45" s="14">
        <f>+G45+H45</f>
        <v>1498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698</v>
      </c>
      <c r="E46" s="14">
        <f t="shared" si="16"/>
        <v>6350</v>
      </c>
      <c r="F46" s="14">
        <f t="shared" si="16"/>
        <v>7048</v>
      </c>
      <c r="G46" s="14">
        <f t="shared" si="16"/>
        <v>698</v>
      </c>
      <c r="H46" s="14">
        <f t="shared" si="16"/>
        <v>6350</v>
      </c>
      <c r="I46" s="14">
        <f t="shared" si="16"/>
        <v>7048</v>
      </c>
    </row>
    <row r="47" spans="2:9" hidden="1" x14ac:dyDescent="0.25">
      <c r="B47" s="57" t="s">
        <v>667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668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669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12488</v>
      </c>
      <c r="E57" s="53">
        <f t="shared" si="20"/>
        <v>9906</v>
      </c>
      <c r="F57" s="53">
        <f t="shared" si="20"/>
        <v>22394</v>
      </c>
      <c r="G57" s="53">
        <f t="shared" si="20"/>
        <v>12488</v>
      </c>
      <c r="H57" s="53">
        <f t="shared" si="20"/>
        <v>9906</v>
      </c>
      <c r="I57" s="53">
        <f t="shared" si="20"/>
        <v>22394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382419</v>
      </c>
      <c r="E58" s="60">
        <f t="shared" si="21"/>
        <v>279920</v>
      </c>
      <c r="F58" s="60">
        <f t="shared" si="21"/>
        <v>662339</v>
      </c>
      <c r="G58" s="60">
        <f t="shared" si="21"/>
        <v>397009</v>
      </c>
      <c r="H58" s="60">
        <f t="shared" si="21"/>
        <v>279920</v>
      </c>
      <c r="I58" s="60">
        <f t="shared" si="21"/>
        <v>676929</v>
      </c>
    </row>
    <row r="59" spans="2:18" hidden="1" x14ac:dyDescent="0.25">
      <c r="B59" s="63" t="s">
        <v>648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382419</v>
      </c>
      <c r="E64" s="18">
        <f t="shared" si="23"/>
        <v>279920</v>
      </c>
      <c r="F64" s="18">
        <f t="shared" si="23"/>
        <v>662339</v>
      </c>
      <c r="G64" s="18">
        <f t="shared" si="23"/>
        <v>397009</v>
      </c>
      <c r="H64" s="18">
        <f t="shared" si="23"/>
        <v>279920</v>
      </c>
      <c r="I64" s="18">
        <f t="shared" si="23"/>
        <v>676929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20" t="s">
        <v>11</v>
      </c>
      <c r="E66" s="320"/>
      <c r="F66" s="320"/>
      <c r="G66" s="320" t="s">
        <v>11</v>
      </c>
      <c r="H66" s="320"/>
      <c r="I66" s="320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586</v>
      </c>
      <c r="G67" s="38" t="s">
        <v>13</v>
      </c>
      <c r="H67" s="38" t="s">
        <v>14</v>
      </c>
      <c r="I67" s="164" t="s">
        <v>586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649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650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159984</v>
      </c>
      <c r="E73" s="13">
        <v>74347</v>
      </c>
      <c r="F73" s="14">
        <f t="shared" si="24"/>
        <v>234331</v>
      </c>
      <c r="G73" s="13">
        <v>159984</v>
      </c>
      <c r="H73" s="13">
        <v>74347</v>
      </c>
      <c r="I73" s="14">
        <f t="shared" si="25"/>
        <v>234331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159984</v>
      </c>
      <c r="E74" s="14">
        <f t="shared" si="26"/>
        <v>74347</v>
      </c>
      <c r="F74" s="14">
        <f t="shared" si="26"/>
        <v>234331</v>
      </c>
      <c r="G74" s="14">
        <f t="shared" ref="G74:H74" si="27">+G73+G72+G71+G70+G69+G68</f>
        <v>159984</v>
      </c>
      <c r="H74" s="14">
        <f t="shared" si="27"/>
        <v>74347</v>
      </c>
      <c r="I74" s="14">
        <f t="shared" si="26"/>
        <v>234331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:H82" si="31">SUM(G76:G81)</f>
        <v>0</v>
      </c>
      <c r="H82" s="14">
        <f t="shared" si="31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653</v>
      </c>
      <c r="C83" s="55" t="s">
        <v>223</v>
      </c>
      <c r="D83" s="13">
        <v>473</v>
      </c>
      <c r="E83" s="13"/>
      <c r="F83" s="14">
        <f t="shared" ref="F83:F93" si="32">+E83+D83</f>
        <v>473</v>
      </c>
      <c r="G83" s="13">
        <v>473</v>
      </c>
      <c r="H83" s="13"/>
      <c r="I83" s="14">
        <f t="shared" ref="I83:I93" si="33">+H83+G83</f>
        <v>473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23661</v>
      </c>
      <c r="E84" s="13">
        <v>113587</v>
      </c>
      <c r="F84" s="14">
        <f t="shared" si="32"/>
        <v>137248</v>
      </c>
      <c r="G84" s="13">
        <v>23661</v>
      </c>
      <c r="H84" s="13">
        <v>113587</v>
      </c>
      <c r="I84" s="14">
        <f t="shared" si="33"/>
        <v>137248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>
        <v>252</v>
      </c>
      <c r="F85" s="14">
        <f t="shared" si="32"/>
        <v>252</v>
      </c>
      <c r="G85" s="13"/>
      <c r="H85" s="13">
        <v>252</v>
      </c>
      <c r="I85" s="14">
        <f t="shared" si="33"/>
        <v>252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6516</v>
      </c>
      <c r="E88" s="13">
        <v>30736</v>
      </c>
      <c r="F88" s="14">
        <f t="shared" si="32"/>
        <v>37252</v>
      </c>
      <c r="G88" s="13">
        <v>6516</v>
      </c>
      <c r="H88" s="13">
        <v>30736</v>
      </c>
      <c r="I88" s="14">
        <f t="shared" si="33"/>
        <v>37252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>
        <v>10</v>
      </c>
      <c r="F91" s="14">
        <f t="shared" si="32"/>
        <v>10</v>
      </c>
      <c r="G91" s="13"/>
      <c r="H91" s="13">
        <v>0</v>
      </c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/>
      <c r="H93" s="13">
        <v>10</v>
      </c>
      <c r="I93" s="14">
        <f t="shared" si="33"/>
        <v>10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30650</v>
      </c>
      <c r="E94" s="14">
        <f t="shared" si="34"/>
        <v>144585</v>
      </c>
      <c r="F94" s="14">
        <f t="shared" si="34"/>
        <v>175235</v>
      </c>
      <c r="G94" s="14">
        <f t="shared" ref="G94:H94" si="35">SUM(G83:G93)</f>
        <v>30650</v>
      </c>
      <c r="H94" s="14">
        <f t="shared" si="35"/>
        <v>144585</v>
      </c>
      <c r="I94" s="14">
        <f t="shared" si="34"/>
        <v>175235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6">SUM(D95:D99)</f>
        <v>0</v>
      </c>
      <c r="E100" s="14">
        <f t="shared" si="36"/>
        <v>0</v>
      </c>
      <c r="F100" s="14">
        <f t="shared" si="36"/>
        <v>0</v>
      </c>
      <c r="G100" s="14">
        <f t="shared" ref="G100:H100" si="37">SUM(G95:G99)</f>
        <v>0</v>
      </c>
      <c r="H100" s="14">
        <f t="shared" si="37"/>
        <v>0</v>
      </c>
      <c r="I100" s="14">
        <f t="shared" si="36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>
        <v>4000</v>
      </c>
      <c r="E106" s="13"/>
      <c r="F106" s="14">
        <f>+E106+D106</f>
        <v>4000</v>
      </c>
      <c r="G106" s="13">
        <v>4000</v>
      </c>
      <c r="H106" s="13"/>
      <c r="I106" s="14">
        <f>+H106+G106</f>
        <v>4000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8">SUM(D102:D106)</f>
        <v>4000</v>
      </c>
      <c r="E107" s="14">
        <f t="shared" si="38"/>
        <v>0</v>
      </c>
      <c r="F107" s="14">
        <f t="shared" si="38"/>
        <v>4000</v>
      </c>
      <c r="G107" s="14">
        <f t="shared" si="38"/>
        <v>4000</v>
      </c>
      <c r="H107" s="14">
        <f t="shared" si="38"/>
        <v>0</v>
      </c>
      <c r="I107" s="14">
        <f t="shared" si="38"/>
        <v>4000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9">+D107+D101+D100+D94+D82+D75+D74</f>
        <v>194634</v>
      </c>
      <c r="E108" s="60">
        <f t="shared" si="39"/>
        <v>218932</v>
      </c>
      <c r="F108" s="60">
        <f t="shared" si="39"/>
        <v>413566</v>
      </c>
      <c r="G108" s="60">
        <f t="shared" si="39"/>
        <v>194634</v>
      </c>
      <c r="H108" s="60">
        <f t="shared" si="39"/>
        <v>218932</v>
      </c>
      <c r="I108" s="60">
        <f t="shared" si="39"/>
        <v>413566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-179297</v>
      </c>
      <c r="E109" s="75">
        <f>+E101+E94+E82+E74-E33</f>
        <v>-51082</v>
      </c>
      <c r="F109" s="75">
        <f t="shared" ref="F109:F116" si="40">+E109+D109</f>
        <v>-230379</v>
      </c>
      <c r="G109" s="75">
        <f>+G101+G94+G82+G74-G33</f>
        <v>-193887</v>
      </c>
      <c r="H109" s="75">
        <f>+H101+H94+H82+H74-H33</f>
        <v>-51082</v>
      </c>
      <c r="I109" s="75">
        <f t="shared" ref="I109:I116" si="41">+H109+G109</f>
        <v>-244969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-8488</v>
      </c>
      <c r="E110" s="75">
        <f>+E107+E100+E75-E57</f>
        <v>-9906</v>
      </c>
      <c r="F110" s="75">
        <f t="shared" si="40"/>
        <v>-18394</v>
      </c>
      <c r="G110" s="75">
        <f>+G107+G100+G75-G57</f>
        <v>-8488</v>
      </c>
      <c r="H110" s="75">
        <f>+H107+H100+H75-H57</f>
        <v>-9906</v>
      </c>
      <c r="I110" s="75">
        <f t="shared" si="41"/>
        <v>-18394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657</v>
      </c>
      <c r="C111" s="47" t="s">
        <v>283</v>
      </c>
      <c r="D111" s="13"/>
      <c r="E111" s="13"/>
      <c r="F111" s="14">
        <f t="shared" si="40"/>
        <v>0</v>
      </c>
      <c r="G111" s="13"/>
      <c r="H111" s="13"/>
      <c r="I111" s="14">
        <f t="shared" si="41"/>
        <v>0</v>
      </c>
    </row>
    <row r="112" spans="2:18" hidden="1" x14ac:dyDescent="0.25">
      <c r="B112" s="65" t="s">
        <v>658</v>
      </c>
      <c r="C112" s="47" t="s">
        <v>293</v>
      </c>
      <c r="D112" s="13"/>
      <c r="E112" s="13"/>
      <c r="F112" s="14">
        <f t="shared" si="40"/>
        <v>0</v>
      </c>
      <c r="G112" s="13"/>
      <c r="H112" s="13"/>
      <c r="I112" s="14">
        <f t="shared" si="41"/>
        <v>0</v>
      </c>
    </row>
    <row r="113" spans="1:9" x14ac:dyDescent="0.25">
      <c r="B113" s="44" t="s">
        <v>294</v>
      </c>
      <c r="C113" s="44" t="s">
        <v>295</v>
      </c>
      <c r="D113" s="13">
        <v>48224</v>
      </c>
      <c r="E113" s="13">
        <v>25734</v>
      </c>
      <c r="F113" s="14">
        <f t="shared" si="40"/>
        <v>73958</v>
      </c>
      <c r="G113" s="13">
        <f>48224+14468-142</f>
        <v>62550</v>
      </c>
      <c r="H113" s="13">
        <v>25734</v>
      </c>
      <c r="I113" s="14">
        <f t="shared" si="41"/>
        <v>88284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>
        <v>11827</v>
      </c>
      <c r="E114" s="13"/>
      <c r="F114" s="14">
        <f t="shared" si="40"/>
        <v>11827</v>
      </c>
      <c r="G114" s="13">
        <v>11827</v>
      </c>
      <c r="H114" s="13"/>
      <c r="I114" s="14">
        <f t="shared" si="41"/>
        <v>11827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40"/>
        <v>0</v>
      </c>
      <c r="G115" s="13"/>
      <c r="H115" s="13"/>
      <c r="I115" s="14">
        <f t="shared" si="41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40"/>
        <v>0</v>
      </c>
      <c r="G116" s="13"/>
      <c r="H116" s="13"/>
      <c r="I116" s="14">
        <f t="shared" si="41"/>
        <v>0</v>
      </c>
    </row>
    <row r="117" spans="1:9" x14ac:dyDescent="0.25">
      <c r="A117" s="79" t="s">
        <v>670</v>
      </c>
      <c r="B117" s="47" t="s">
        <v>300</v>
      </c>
      <c r="C117" s="47" t="s">
        <v>301</v>
      </c>
      <c r="D117" s="14">
        <f t="shared" ref="D117:I117" si="42">SUM(D113:D116)</f>
        <v>60051</v>
      </c>
      <c r="E117" s="14">
        <f t="shared" si="42"/>
        <v>25734</v>
      </c>
      <c r="F117" s="14">
        <f t="shared" si="42"/>
        <v>85785</v>
      </c>
      <c r="G117" s="14">
        <f t="shared" ref="G117:H117" si="43">SUM(G113:G116)</f>
        <v>74377</v>
      </c>
      <c r="H117" s="14">
        <f t="shared" si="43"/>
        <v>25734</v>
      </c>
      <c r="I117" s="14">
        <f t="shared" si="42"/>
        <v>100111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4">+E118+D118</f>
        <v>0</v>
      </c>
      <c r="G118" s="13"/>
      <c r="H118" s="13"/>
      <c r="I118" s="14">
        <f t="shared" ref="I118:I125" si="45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4"/>
        <v>0</v>
      </c>
      <c r="G119" s="13"/>
      <c r="H119" s="13"/>
      <c r="I119" s="14">
        <f t="shared" si="45"/>
        <v>0</v>
      </c>
    </row>
    <row r="120" spans="1:9" x14ac:dyDescent="0.25">
      <c r="A120" s="19" t="s">
        <v>675</v>
      </c>
      <c r="B120" s="63" t="s">
        <v>306</v>
      </c>
      <c r="C120" s="44" t="s">
        <v>307</v>
      </c>
      <c r="D120" s="13">
        <v>127734</v>
      </c>
      <c r="E120" s="13">
        <v>35254</v>
      </c>
      <c r="F120" s="14">
        <f t="shared" si="44"/>
        <v>162988</v>
      </c>
      <c r="G120" s="13">
        <v>127998</v>
      </c>
      <c r="H120" s="13">
        <v>35254</v>
      </c>
      <c r="I120" s="14">
        <f t="shared" si="45"/>
        <v>163252</v>
      </c>
    </row>
    <row r="121" spans="1:9" s="249" customFormat="1" x14ac:dyDescent="0.25">
      <c r="B121" s="250" t="s">
        <v>672</v>
      </c>
      <c r="C121" s="145"/>
      <c r="D121" s="94">
        <v>0</v>
      </c>
      <c r="E121" s="94">
        <v>0</v>
      </c>
      <c r="F121" s="127">
        <f t="shared" si="44"/>
        <v>0</v>
      </c>
      <c r="G121" s="94">
        <v>0</v>
      </c>
      <c r="H121" s="94">
        <v>0</v>
      </c>
      <c r="I121" s="127">
        <f t="shared" si="45"/>
        <v>0</v>
      </c>
    </row>
    <row r="122" spans="1:9" s="249" customFormat="1" x14ac:dyDescent="0.25">
      <c r="B122" s="251" t="s">
        <v>662</v>
      </c>
      <c r="C122" s="145"/>
      <c r="D122" s="94">
        <f>+D120-D121</f>
        <v>127734</v>
      </c>
      <c r="E122" s="94">
        <f>+E120-E121</f>
        <v>35254</v>
      </c>
      <c r="F122" s="127">
        <f t="shared" si="44"/>
        <v>162988</v>
      </c>
      <c r="G122" s="94">
        <f>+G120-G121</f>
        <v>127998</v>
      </c>
      <c r="H122" s="94">
        <f>+H120-H121</f>
        <v>35254</v>
      </c>
      <c r="I122" s="127">
        <f t="shared" si="45"/>
        <v>163252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4"/>
        <v>0</v>
      </c>
      <c r="G123" s="13"/>
      <c r="H123" s="13"/>
      <c r="I123" s="14">
        <f t="shared" si="45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4"/>
        <v>0</v>
      </c>
      <c r="G124" s="13"/>
      <c r="H124" s="13"/>
      <c r="I124" s="14">
        <f t="shared" si="45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4"/>
        <v>0</v>
      </c>
      <c r="G125" s="13"/>
      <c r="H125" s="13"/>
      <c r="I125" s="14">
        <f t="shared" si="45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187785</v>
      </c>
      <c r="E126" s="14">
        <f>SUM(E118:E125)+E117+E112+E111-E121-E122</f>
        <v>60988</v>
      </c>
      <c r="F126" s="14">
        <f>SUM(F118:F124)+F117+F112+F111-F121-F122</f>
        <v>248773</v>
      </c>
      <c r="G126" s="14">
        <f>SUM(G118:G125)+G117+G112+G111-G121-G122</f>
        <v>202375</v>
      </c>
      <c r="H126" s="14">
        <f>SUM(H118:H125)+H117+H112+H111-H121-H122</f>
        <v>60988</v>
      </c>
      <c r="I126" s="14">
        <f>SUM(I118:I124)+I117+I112+I111-I121-I122</f>
        <v>263363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187785</v>
      </c>
      <c r="E130" s="60">
        <f>+E128+E127+E126+E129</f>
        <v>60988</v>
      </c>
      <c r="F130" s="60">
        <f>+F129+F127+F126</f>
        <v>248773</v>
      </c>
      <c r="G130" s="60">
        <f>+G128+G127+G126+G129</f>
        <v>202375</v>
      </c>
      <c r="H130" s="60">
        <f>+H128+H127+H126+H129</f>
        <v>60988</v>
      </c>
      <c r="I130" s="60">
        <f>+I129+I127+I126</f>
        <v>263363</v>
      </c>
    </row>
    <row r="131" spans="2:9" x14ac:dyDescent="0.25">
      <c r="B131" s="17" t="s">
        <v>324</v>
      </c>
      <c r="C131" s="17" t="s">
        <v>325</v>
      </c>
      <c r="D131" s="18">
        <f t="shared" ref="D131:I131" si="46">+D108+D130</f>
        <v>382419</v>
      </c>
      <c r="E131" s="18">
        <f t="shared" si="46"/>
        <v>279920</v>
      </c>
      <c r="F131" s="18">
        <f t="shared" si="46"/>
        <v>662339</v>
      </c>
      <c r="G131" s="18">
        <f t="shared" si="46"/>
        <v>397009</v>
      </c>
      <c r="H131" s="18">
        <f t="shared" si="46"/>
        <v>279920</v>
      </c>
      <c r="I131" s="18">
        <f t="shared" si="46"/>
        <v>676929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7">+D108-D58</f>
        <v>-187785</v>
      </c>
      <c r="E133" s="14">
        <f t="shared" si="47"/>
        <v>-60988</v>
      </c>
      <c r="F133" s="14">
        <f t="shared" si="47"/>
        <v>-248773</v>
      </c>
      <c r="G133" s="14">
        <f t="shared" si="47"/>
        <v>-202375</v>
      </c>
      <c r="H133" s="14">
        <f t="shared" si="47"/>
        <v>-60988</v>
      </c>
      <c r="I133" s="14">
        <f t="shared" si="47"/>
        <v>-263363</v>
      </c>
    </row>
    <row r="134" spans="2:9" x14ac:dyDescent="0.25">
      <c r="B134" s="15" t="s">
        <v>327</v>
      </c>
      <c r="C134" s="15"/>
      <c r="D134" s="14">
        <f t="shared" ref="D134:I134" si="48">+D130-D63</f>
        <v>187785</v>
      </c>
      <c r="E134" s="14">
        <f t="shared" si="48"/>
        <v>60988</v>
      </c>
      <c r="F134" s="14">
        <f t="shared" si="48"/>
        <v>248773</v>
      </c>
      <c r="G134" s="14">
        <f t="shared" si="48"/>
        <v>202375</v>
      </c>
      <c r="H134" s="14">
        <f t="shared" si="48"/>
        <v>60988</v>
      </c>
      <c r="I134" s="14">
        <f t="shared" si="48"/>
        <v>263363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9">+D131-D64</f>
        <v>0</v>
      </c>
      <c r="E136" s="3">
        <f t="shared" si="49"/>
        <v>0</v>
      </c>
      <c r="F136" s="3">
        <f t="shared" si="49"/>
        <v>0</v>
      </c>
      <c r="G136" s="3">
        <f t="shared" si="49"/>
        <v>0</v>
      </c>
      <c r="H136" s="3">
        <f t="shared" si="49"/>
        <v>0</v>
      </c>
      <c r="I136" s="3">
        <f t="shared" si="49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58</vt:i4>
      </vt:variant>
    </vt:vector>
  </HeadingPairs>
  <TitlesOfParts>
    <vt:vector size="75" baseType="lpstr"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'2 Össz'!Excel_BuiltIn_Print_Area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'2 Össz'!Nyomtatási_cím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'2 Össz'!Nyomtatási_terület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2018-02-27T11:30:55Z</cp:lastPrinted>
  <dcterms:created xsi:type="dcterms:W3CDTF">2017-08-02T05:49:51Z</dcterms:created>
  <dcterms:modified xsi:type="dcterms:W3CDTF">2018-03-13T11:49:54Z</dcterms:modified>
</cp:coreProperties>
</file>