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45" windowWidth="5940" windowHeight="5415" tabRatio="598" firstSheet="7" activeTab="12"/>
  </bookViews>
  <sheets>
    <sheet name="bor.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mell - átadások" sheetId="7" r:id="rId7"/>
    <sheet name="7.mell. - ellátottak jutt." sheetId="8" r:id="rId8"/>
    <sheet name="8.mell. - beruházások" sheetId="9" r:id="rId9"/>
    <sheet name="9.mell.-felújítások" sheetId="10" r:id="rId10"/>
    <sheet name="10.mell. - közgazd.mérleg" sheetId="11" r:id="rId11"/>
    <sheet name="11.mell. -ei.felh.ütemt." sheetId="12" r:id="rId12"/>
    <sheet name="12.mell." sheetId="13" r:id="rId13"/>
  </sheets>
  <definedNames>
    <definedName name="_xlnm.Print_Titles" localSheetId="2">'2.mell - bevétel'!$10:$12</definedName>
    <definedName name="_xlnm.Print_Area" localSheetId="2">'2.mell - bevétel'!$A$1:$I$121</definedName>
  </definedNames>
  <calcPr fullCalcOnLoad="1"/>
</workbook>
</file>

<file path=xl/sharedStrings.xml><?xml version="1.0" encoding="utf-8"?>
<sst xmlns="http://schemas.openxmlformats.org/spreadsheetml/2006/main" count="943" uniqueCount="535">
  <si>
    <t>Megnevezés</t>
  </si>
  <si>
    <t>Ft</t>
  </si>
  <si>
    <t>Összesen:</t>
  </si>
  <si>
    <t>létszám</t>
  </si>
  <si>
    <t>Sitke község Önkormányzata</t>
  </si>
  <si>
    <t>e Ft</t>
  </si>
  <si>
    <t>TÁMOGATÁSOK ÖSSZESEN:</t>
  </si>
  <si>
    <t>állandó</t>
  </si>
  <si>
    <t>juttatások</t>
  </si>
  <si>
    <t>előirányzat</t>
  </si>
  <si>
    <t>tervezett előirányzat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</si>
  <si>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</si>
  <si>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</si>
  <si>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</si>
  <si>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</si>
  <si>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</si>
  <si>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</si>
  <si>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</si>
  <si>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</si>
  <si>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Citerazenekar támogatása</t>
  </si>
  <si>
    <t>Hímzőszakkör támogatása</t>
  </si>
  <si>
    <t>2.</t>
  </si>
  <si>
    <t>Kistérségi tagsági díj</t>
  </si>
  <si>
    <t>Eseti társadalom, szociálpolitikai és egyéb társadalombiztosítási</t>
  </si>
  <si>
    <t>juttatások összesen:</t>
  </si>
  <si>
    <t>Működési célú szociális támogatások összesen:</t>
  </si>
  <si>
    <t>Társadalom-, szociálispolitikai és egyéb társadalom-</t>
  </si>
  <si>
    <t>biztosítási juttatások mindösszesen:</t>
  </si>
  <si>
    <t>Háziorvosi alapellátás</t>
  </si>
  <si>
    <t>Civil szervezetek működési támogatása</t>
  </si>
  <si>
    <t>Köztemető-fenntartás és működtetés</t>
  </si>
  <si>
    <t>Könyvtári szolgáltatások</t>
  </si>
  <si>
    <t>Bevételei forrásonként</t>
  </si>
  <si>
    <t xml:space="preserve">Sitke község Önkormányzata   </t>
  </si>
  <si>
    <t>Társadalom-, szociálpolitikai  és egyéb társadalombiztosítási kiadásai</t>
  </si>
  <si>
    <t>SITKE KÖZSÉG ÖNKORMÁNYZATA</t>
  </si>
  <si>
    <t>sor-</t>
  </si>
  <si>
    <t>szám</t>
  </si>
  <si>
    <t>1.</t>
  </si>
  <si>
    <t>3.</t>
  </si>
  <si>
    <t>TÁRGYÉVI BEVÉTELEK ÖSSZESEN:</t>
  </si>
  <si>
    <t xml:space="preserve">Tekeszakosztály 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</si>
  <si>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</si>
  <si>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</si>
  <si>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</si>
  <si>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</si>
  <si>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</si>
  <si>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II.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</si>
  <si>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</si>
  <si>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</si>
  <si>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</si>
  <si>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</si>
  <si>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</si>
  <si>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</si>
  <si>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</si>
  <si>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VII.</t>
  </si>
  <si>
    <t>KÖZHATALMI BEVÉTELEK ÖSSZESEN:</t>
  </si>
  <si>
    <t>vendégebéd térítési díja</t>
  </si>
  <si>
    <t>működési kiadások</t>
  </si>
  <si>
    <t>felhalmozási kiadások</t>
  </si>
  <si>
    <t>felújítások</t>
  </si>
  <si>
    <t>Labdarugó Szakosztály támogatása</t>
  </si>
  <si>
    <t xml:space="preserve">Tanévkezdési támogatás </t>
  </si>
  <si>
    <t xml:space="preserve">       - egyéb működési kiadások</t>
  </si>
  <si>
    <t xml:space="preserve">       - egyéb felhalmozási kiadások</t>
  </si>
  <si>
    <t>szociális étkeztetés térítési díja</t>
  </si>
  <si>
    <t>táborozás támogatása</t>
  </si>
  <si>
    <t>talajterhelési díj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</si>
  <si>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</si>
  <si>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</si>
  <si>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</si>
  <si>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</si>
  <si>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</si>
  <si>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</si>
  <si>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</si>
  <si>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</si>
  <si>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</si>
  <si>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</si>
  <si>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</si>
  <si>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</si>
  <si>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</si>
  <si>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</si>
  <si>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Nem közművel összegyűjtött háztartási szennyvíz ártalmatlanítása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</si>
  <si>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</si>
  <si>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</si>
  <si>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</si>
  <si>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</si>
  <si>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</si>
  <si>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Gyermekétkeztetés támogatása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</si>
  <si>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</si>
  <si>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</si>
  <si>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</si>
  <si>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</si>
  <si>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</si>
  <si>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üdülőhelyi feladatok támogatása</t>
  </si>
  <si>
    <t>Helyi önkormányzatok  működésének  általános támogatása összesen:</t>
  </si>
  <si>
    <t>Egyéb működési célú támogatások bevételei államháztartáson belülről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</si>
  <si>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</si>
  <si>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</si>
  <si>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</si>
  <si>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KÖZHATALMI BEVÉTELEK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</si>
  <si>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</si>
  <si>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</si>
  <si>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</si>
  <si>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</si>
  <si>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</si>
  <si>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</si>
  <si>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</si>
  <si>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Idegenforgalmi adó</t>
  </si>
  <si>
    <t>Egyéb közhatalmi bevételek</t>
  </si>
  <si>
    <t>Igazgatási szolgáltatási díjak</t>
  </si>
  <si>
    <t>Helyi adópótlék, adóbírság</t>
  </si>
  <si>
    <t xml:space="preserve">IV. </t>
  </si>
  <si>
    <t>Szolgáltatások ellenértéke</t>
  </si>
  <si>
    <t>temetkezési szolgáltatás(sírhely megváltás)</t>
  </si>
  <si>
    <t>óvodai étkeztetés nyújtása</t>
  </si>
  <si>
    <t xml:space="preserve">bérleti és lízing díjbevételek </t>
  </si>
  <si>
    <t>önkormányzati helyiségek bérbeadása</t>
  </si>
  <si>
    <t>lakbérbevételek</t>
  </si>
  <si>
    <t>közterületfogalási díjak</t>
  </si>
  <si>
    <t>földbéreleti díjak</t>
  </si>
  <si>
    <t>Tulajdonosi bevételek</t>
  </si>
  <si>
    <t>szennyvízcsatornahasználati díj</t>
  </si>
  <si>
    <t>Ellátási díjak</t>
  </si>
  <si>
    <t>alkalmazottak térítési díja</t>
  </si>
  <si>
    <t>Kiszámlázott általános forgalmi adó</t>
  </si>
  <si>
    <t>Általános forgalmi adó visszatérítése</t>
  </si>
  <si>
    <t>Kamatbevételek</t>
  </si>
  <si>
    <t>FELHALMOZÁSI CÉLÚ ÁTVETT PÉNZESZKÖZÖK</t>
  </si>
  <si>
    <t>felhalmozási célú visszatérítendő támogatások, kölcsönök visszatérülése államháztartáson kívülről</t>
  </si>
  <si>
    <t>Első lakáshoz jutók lakásépítési és -vásárlási kölcsönének törlesztése</t>
  </si>
  <si>
    <t>FELHALMOZÁSI CÉLÚ ÁTVETT PÉNZESZKÖZÖK ÖSSZESEN:</t>
  </si>
  <si>
    <t>KÖLTSÉGVETÉSI BEVÉTELEK</t>
  </si>
  <si>
    <t>VIII.</t>
  </si>
  <si>
    <t>FINANSZÍROZÁSI BEVÉTELEK</t>
  </si>
  <si>
    <t>Előző évi költségvetési maradvány igénybevétele</t>
  </si>
  <si>
    <t>BEVÉTELEK ÖSSZESEN: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</si>
  <si>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</si>
  <si>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</si>
  <si>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</si>
  <si>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</si>
  <si>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egyéb szolgáltatások nyújtása miatti bevételek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</si>
  <si>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</si>
  <si>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</si>
  <si>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</si>
  <si>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</si>
  <si>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</si>
  <si>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</si>
  <si>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</si>
  <si>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</si>
  <si>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</si>
  <si>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</si>
  <si>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</si>
  <si>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</si>
  <si>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</si>
  <si>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</si>
  <si>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</si>
  <si>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</si>
  <si>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Ellátottak juttatásai</t>
  </si>
  <si>
    <t xml:space="preserve">       - Beruházások</t>
  </si>
  <si>
    <t xml:space="preserve">       - Felújítások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</si>
  <si>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</si>
  <si>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</si>
  <si>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</si>
  <si>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</si>
  <si>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</si>
  <si>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</si>
  <si>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</si>
  <si>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</si>
  <si>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</si>
  <si>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</si>
  <si>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</si>
  <si>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</si>
  <si>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</si>
  <si>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</si>
  <si>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</si>
  <si>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</si>
  <si>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</si>
  <si>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</si>
  <si>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</si>
  <si>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</si>
  <si>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</si>
  <si>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</si>
  <si>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</si>
  <si>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</si>
  <si>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</si>
  <si>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</si>
  <si>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051030</t>
  </si>
  <si>
    <t>Nem veszélyes (települési) hulladék vegyes (ömlesztett ) begyűjtése, szállítása, átrakás</t>
  </si>
  <si>
    <t>052080</t>
  </si>
  <si>
    <t>Szennyvízcsatorna építése, fenntartása, üzemeltetése</t>
  </si>
  <si>
    <t>061030</t>
  </si>
  <si>
    <t>Lakáshoz jutást segítő támogatások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</si>
  <si>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</si>
  <si>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</si>
  <si>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</si>
  <si>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</si>
  <si>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</si>
  <si>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</si>
  <si>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</si>
  <si>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081041</t>
  </si>
  <si>
    <t>Versenysport és utánpótlás-nevelési tevékenység és támogatása</t>
  </si>
  <si>
    <t>082044</t>
  </si>
  <si>
    <t>084031</t>
  </si>
  <si>
    <t>094260</t>
  </si>
  <si>
    <t>Hallgatói és oktatói ösztöndíjak, egyéb juttatások</t>
  </si>
  <si>
    <t>107051</t>
  </si>
  <si>
    <t>Házi segítségnyújtás</t>
  </si>
  <si>
    <t>Egyéb szociális természetbeni és pénzbeni ellátások</t>
  </si>
  <si>
    <t>EGYÉB MŰKÖDÉSI KIADÁSOK</t>
  </si>
  <si>
    <t>EGYÉB MŰKÖDÉSI CÉLÚ TÁMOGATÁSOK ÁLLAMHÁZTARTÁSON BELÜLRE</t>
  </si>
  <si>
    <t>EGYÉB MŰKÖDÉSI CÉLÚ TÁMOGATÁSOK ÁLLAMHÁZTARTÁSON BELÜLRE ÖSSZESEN:</t>
  </si>
  <si>
    <t>EGYÉB MŰKÖDÉSI CÉLÚ TÁMOGATÁSOK ÁLLAMHÁZTARTÁSON KÍVÜLRE</t>
  </si>
  <si>
    <t>EGYÉB MŰKÖDÉSI CÉLÚ TÁMOGATÁSOK ÁLLAMHÁZTARTÁSON KÍVÜLRE ÖSSZESEN:</t>
  </si>
  <si>
    <t>EGYÉB MŰKÖDÉSI KIADÁSOK ÖSSZESEN: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</si>
  <si>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</si>
  <si>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</si>
  <si>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</si>
  <si>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</si>
  <si>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</si>
  <si>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</si>
  <si>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</si>
  <si>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</si>
  <si>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</si>
  <si>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</si>
  <si>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</si>
  <si>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</si>
  <si>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</si>
  <si>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</si>
  <si>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</si>
  <si>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</si>
  <si>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</si>
  <si>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</si>
  <si>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</si>
  <si>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működési célú visszatérítendő támogatások, kölcsönök nyújtása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</si>
  <si>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</si>
  <si>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</si>
  <si>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</si>
  <si>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</si>
  <si>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</si>
  <si>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</si>
  <si>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</si>
  <si>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</si>
  <si>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</si>
  <si>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</si>
  <si>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</si>
  <si>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</si>
  <si>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</si>
  <si>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</si>
  <si>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</si>
  <si>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</si>
  <si>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</si>
  <si>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</si>
  <si>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</si>
  <si>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</si>
  <si>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</si>
  <si>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</si>
  <si>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</si>
  <si>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</si>
  <si>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</si>
  <si>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</si>
  <si>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</si>
  <si>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Hitel-, kölcsöntörlesztés államháztartáson kívülre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</si>
  <si>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</si>
  <si>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</si>
  <si>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</si>
  <si>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</si>
  <si>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</si>
  <si>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Egyéb felhalmozási kiadások államháztartáson kívülre</t>
  </si>
  <si>
    <t>Első lakáshoz jutók lakásépítésének és -vásárlásnak viszza nem térítendő támogatása</t>
  </si>
  <si>
    <t>Egyéb felhalmozási kiadások államháztartáson kívülre összesen:</t>
  </si>
  <si>
    <t>Költségvetési (működési és felhalmozási ) mérlege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</si>
  <si>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</si>
  <si>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</si>
  <si>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</si>
  <si>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</si>
  <si>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</si>
  <si>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</si>
  <si>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</si>
  <si>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</si>
  <si>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</si>
  <si>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096015</t>
  </si>
  <si>
    <t>Gyermekétkeztetés köznevelési intézményben</t>
  </si>
  <si>
    <t>096025</t>
  </si>
  <si>
    <t>Munkahelyi étkeztetés köznevelési intézményekben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</si>
  <si>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</si>
  <si>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</si>
  <si>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</si>
  <si>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</si>
  <si>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</si>
  <si>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</si>
  <si>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</si>
  <si>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 xml:space="preserve">SITKE KÖZSÉG ÖNKORMÁNYZATA   </t>
  </si>
  <si>
    <t>BERUHÁZÁSOK ÉS FELHALMOZÁSI KIADÁSOK</t>
  </si>
  <si>
    <t>M e g n e v e z é s:</t>
  </si>
  <si>
    <t>Előzetesen felszámított általános forgalmi adó</t>
  </si>
  <si>
    <t>BERUHÁZÁSOK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</si>
  <si>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</si>
  <si>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</si>
  <si>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</si>
  <si>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</si>
  <si>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</si>
  <si>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</si>
  <si>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</si>
  <si>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</si>
  <si>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</si>
  <si>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</si>
  <si>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</si>
  <si>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</si>
  <si>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</si>
  <si>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</si>
  <si>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</si>
  <si>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</si>
  <si>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</si>
  <si>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</si>
  <si>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</si>
  <si>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</si>
  <si>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</si>
  <si>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</si>
  <si>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</si>
  <si>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</si>
  <si>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</si>
  <si>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</si>
  <si>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</si>
  <si>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</si>
  <si>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</si>
  <si>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</si>
  <si>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</si>
  <si>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</si>
  <si>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</si>
  <si>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</si>
  <si>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</si>
  <si>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</si>
  <si>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</si>
  <si>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</si>
  <si>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</si>
  <si>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</si>
  <si>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</si>
  <si>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Szociális étkeztetés (889921)</t>
  </si>
  <si>
    <t>107052</t>
  </si>
  <si>
    <t>Gyermekvédelmi pénzbeni és természetbeni ellátások</t>
  </si>
  <si>
    <t>lakhatáshoz kapcsolódó rendszeres kiadások viseléséhez nyújtható települési támogatás</t>
  </si>
  <si>
    <t>rendkívüli települési támogatás</t>
  </si>
  <si>
    <t>újszülöttek támogatása</t>
  </si>
  <si>
    <t>Rendszeres gyermekvédelmi kedvezményben részesülők részére Erzsébet utalvány</t>
  </si>
  <si>
    <t>Rendszeres gyermekvédelmi kedvezményben részesülők Erzsébet utalványa támogatása</t>
  </si>
  <si>
    <t>költségvetése</t>
  </si>
  <si>
    <t>Munkahelyi étk.köznev.int. (562920) (Vendég)</t>
  </si>
  <si>
    <t>Áht-n belüli megelőlegezések visszafizetése</t>
  </si>
  <si>
    <t>082092</t>
  </si>
  <si>
    <t>Közművelődés - Hagyományos közösségi, kulturális értékek gondozása</t>
  </si>
  <si>
    <t>082093</t>
  </si>
  <si>
    <t>Közművelődés - Amatőr művészetek</t>
  </si>
  <si>
    <t>Munkahelyi étk.közn. Int.  (562920) ( Vendég)</t>
  </si>
  <si>
    <t>052020</t>
  </si>
  <si>
    <t>Szennyvíz gyűjtése, tisztítása, elhelyezése</t>
  </si>
  <si>
    <t>Közművelődés -Hagyományos közösségi, kulturális értékek gondozása</t>
  </si>
  <si>
    <t>0820093</t>
  </si>
  <si>
    <t>Közművelődés - amatőr művészetek</t>
  </si>
  <si>
    <t xml:space="preserve"> egyéb működési és felhalmozási kiadásai</t>
  </si>
  <si>
    <t>időskoruak támogatása</t>
  </si>
  <si>
    <t>Egyéb gép, berendezés, felszerelés beszerzése</t>
  </si>
  <si>
    <t>096015 Gyermekétkeztetés köznevelési intézményben</t>
  </si>
  <si>
    <t>096025 Munkahelyi étkeztetés köznevelési intézményekben</t>
  </si>
  <si>
    <t>107051 Szociális étkeztetés (889921)</t>
  </si>
  <si>
    <t>Könyvtári infrastruktúra fejlesztés támogatása, eszközbeszerzés</t>
  </si>
  <si>
    <t>Áht-n belüli megelőlegezések viszafizetése</t>
  </si>
  <si>
    <t xml:space="preserve">          Áht-n belüli megelőlegezések visszafizetése</t>
  </si>
  <si>
    <t>-Áht-n belüli megelőlegezések visszafizetése</t>
  </si>
  <si>
    <t>FELÚJÍTÁSI KIADÁSOK</t>
  </si>
  <si>
    <t xml:space="preserve">Összesen: </t>
  </si>
  <si>
    <t>FELÚJÍTÁSOK ÖSSZESEN:</t>
  </si>
  <si>
    <t>Felújítási célú előzetesen felszámított le nem vonható általános forgalmi adóra</t>
  </si>
  <si>
    <t>2017. év</t>
  </si>
  <si>
    <t>( Ft-ban)</t>
  </si>
  <si>
    <t>2016. évről áthúzódó bérkompenzáció támogatása</t>
  </si>
  <si>
    <t>kiegészítés - I.1. jogcímhez kapcsolódóan</t>
  </si>
  <si>
    <t xml:space="preserve"> Ft</t>
  </si>
  <si>
    <t>sorszám</t>
  </si>
  <si>
    <t>(Ft-ban)</t>
  </si>
  <si>
    <t>018030</t>
  </si>
  <si>
    <t>Támogatási célú finanszírozási műveletek</t>
  </si>
  <si>
    <t>045160</t>
  </si>
  <si>
    <t>Közutak, hidak, alagutak üzemeltetése, fenntartása</t>
  </si>
  <si>
    <t>Egyéb különféle működési bevételek</t>
  </si>
  <si>
    <t>21.</t>
  </si>
  <si>
    <t>22.</t>
  </si>
  <si>
    <t>23.</t>
  </si>
  <si>
    <t>24.</t>
  </si>
  <si>
    <t>25.</t>
  </si>
  <si>
    <t>26.</t>
  </si>
  <si>
    <t>27.</t>
  </si>
  <si>
    <t>Sorszám</t>
  </si>
  <si>
    <t>adósságkonszolidációban nem részerült település önkormányzatok támogatása 2016. évről</t>
  </si>
  <si>
    <t>megelőlegezett állami támogatás igénybevétele</t>
  </si>
  <si>
    <t>1.1.</t>
  </si>
  <si>
    <t>1.1.1.</t>
  </si>
  <si>
    <t>1.1.2.</t>
  </si>
  <si>
    <t>1.2.</t>
  </si>
  <si>
    <t>1.3.</t>
  </si>
  <si>
    <t>1.4.</t>
  </si>
  <si>
    <t>1.5.</t>
  </si>
  <si>
    <t>1.6.</t>
  </si>
  <si>
    <t>1.6.1.</t>
  </si>
  <si>
    <t>1.7.</t>
  </si>
  <si>
    <t>1.7.1.</t>
  </si>
  <si>
    <t>1.7.2.</t>
  </si>
  <si>
    <t>3.1.</t>
  </si>
  <si>
    <t>3.1.1.</t>
  </si>
  <si>
    <t>3.1.2</t>
  </si>
  <si>
    <t>3.1.3.</t>
  </si>
  <si>
    <t>3.1.4.</t>
  </si>
  <si>
    <t>3.2</t>
  </si>
  <si>
    <t>3.2.2.</t>
  </si>
  <si>
    <t>3.2.3</t>
  </si>
  <si>
    <t>4.1.</t>
  </si>
  <si>
    <t>4.2.</t>
  </si>
  <si>
    <t>4.3.</t>
  </si>
  <si>
    <t>3.1.5.</t>
  </si>
  <si>
    <t>3.2.1.</t>
  </si>
  <si>
    <t>28.</t>
  </si>
  <si>
    <t>TÁRGYÉVI KÖLTSÉGVETÉS EGYENLEGE</t>
  </si>
  <si>
    <t>Egyéb építmény felújítása</t>
  </si>
  <si>
    <t>045160 Közutak, hidak, alagutak üzemeltetése, fenntartása</t>
  </si>
  <si>
    <t>(  Ft-ban )</t>
  </si>
  <si>
    <t xml:space="preserve"> 011130 Önkormányzatok és önk. hivatalok jogalkotó és ált. igaztatási tevékenysége</t>
  </si>
  <si>
    <t>Egyéb gép, berendezés,felszerelés, konyhai eszközök pótlására</t>
  </si>
  <si>
    <t xml:space="preserve">       - Általános tartalék</t>
  </si>
  <si>
    <t>3.1.6.</t>
  </si>
  <si>
    <t>2.1.</t>
  </si>
  <si>
    <t>5.1</t>
  </si>
  <si>
    <t>6.1</t>
  </si>
  <si>
    <t>Bursa Hungarica ösztöndíj pályázat  támogatása</t>
  </si>
  <si>
    <t xml:space="preserve">2018. évi </t>
  </si>
  <si>
    <t>2018. évre</t>
  </si>
  <si>
    <t>2018. év</t>
  </si>
  <si>
    <t>2018.évre</t>
  </si>
  <si>
    <t>2018.év</t>
  </si>
  <si>
    <t>Polgármesteri illetmény támogatása</t>
  </si>
  <si>
    <t>A finanszírozás szempontjából elismert dolgozók bértámogatása</t>
  </si>
  <si>
    <t>Gyermekétkeztetés üzemeltetési támogatása</t>
  </si>
  <si>
    <t>041233</t>
  </si>
  <si>
    <t>Hosszabb időtartamú közfoglalkoztatás</t>
  </si>
  <si>
    <t>Sitke Község Önkormányzat összesen</t>
  </si>
  <si>
    <t>29.</t>
  </si>
  <si>
    <t>30.</t>
  </si>
  <si>
    <t>Sitke Önkormányzati Konyha összesen:</t>
  </si>
  <si>
    <t>Mindösszesen:</t>
  </si>
  <si>
    <t>Sitke község önkormányzata összesen:</t>
  </si>
  <si>
    <t xml:space="preserve">Szociális étkeztetés </t>
  </si>
  <si>
    <t>Munkahelyi étkeztetés köznevelési int. (vendég)</t>
  </si>
  <si>
    <t>Sághegy Leader tagdíj ( 2017. és 2018.évi)</t>
  </si>
  <si>
    <t>Nyugdíjas Klub ( 2017. évről 90.000 Ft)</t>
  </si>
  <si>
    <t>Házi segítség nyújtás ellátására Sárvár Város Önkormányzattal kötött szerződés alapján fizetendő támogatás</t>
  </si>
  <si>
    <t>Hunyadi utca burkolat felújítása (Sitke község fejlesztési feladatainak támogatása 2017. évi pályázat)</t>
  </si>
  <si>
    <t>1.1.3.</t>
  </si>
  <si>
    <t>Vadkert utca burkolatfelújítás (Önkormányzati feladat ellátást szolgáló pályázat 2017. évi)</t>
  </si>
  <si>
    <t>1.1.4.</t>
  </si>
  <si>
    <t xml:space="preserve">SITKE KÖZSÉG ÖNKORMÁNYZATA  </t>
  </si>
  <si>
    <t>BEVÉTELEINEK KÖLTSÉGVETÉSI SZERVENKÉNTI ALAKULÁSA</t>
  </si>
  <si>
    <t xml:space="preserve"> Ft-ban </t>
  </si>
  <si>
    <t>SORSZÁM</t>
  </si>
  <si>
    <t xml:space="preserve"> bevételek összesen: </t>
  </si>
  <si>
    <t xml:space="preserve"> működési bevételek </t>
  </si>
  <si>
    <t xml:space="preserve"> felhalmozási bevételek </t>
  </si>
  <si>
    <t xml:space="preserve"> finanszírozási bevételek </t>
  </si>
  <si>
    <t xml:space="preserve"> működési támogatások államháztartáson belülről </t>
  </si>
  <si>
    <t xml:space="preserve"> közhatalmi bevételek </t>
  </si>
  <si>
    <t xml:space="preserve"> működési célú átvett pénz-    eszközök </t>
  </si>
  <si>
    <t xml:space="preserve"> működési bevételek összesen </t>
  </si>
  <si>
    <t xml:space="preserve"> felhalmozási támogatások államháztar- táson belülről </t>
  </si>
  <si>
    <t xml:space="preserve"> felhalmozási bevételek összesen </t>
  </si>
  <si>
    <t xml:space="preserve"> előző évi költségvetési  maradvány igénybevétele </t>
  </si>
  <si>
    <t xml:space="preserve"> központi, irányító szervi támogatás </t>
  </si>
  <si>
    <t>Sitke Község Önkormányzata</t>
  </si>
  <si>
    <t>Sitkei önkormányzati Konyha</t>
  </si>
  <si>
    <t>ÖSSZESEN:</t>
  </si>
  <si>
    <t xml:space="preserve"> felhalmozási célú átvett pénzeszk. </t>
  </si>
  <si>
    <t>2017.ÉVBEN MEGELŐLEGEZETT ÁLLAMI TÁMOGATÁS</t>
  </si>
  <si>
    <t>052080 Szennyvízcsatorna építése, fenntartása, üzemeltetése</t>
  </si>
  <si>
    <t>1.2.1.</t>
  </si>
  <si>
    <t>Szennyvíztisztítő felújítás (gördülő fejtesztési terv alapján)</t>
  </si>
  <si>
    <t xml:space="preserve"> előirányzat     (  Ft)</t>
  </si>
  <si>
    <t xml:space="preserve"> - egyéb működési célú támogatások </t>
  </si>
  <si>
    <t>előző év költségvetési maradvány igénybevétele áthúzódó feladatokra</t>
  </si>
  <si>
    <t>ELŐZŐ ÉVEK KÖLTSÉGVETÉSI MARADVÁNY IGÉNYBEVÉTELE 2017. ÉVRŐL ÁTHÚZÓDÓ FELADATOKRA</t>
  </si>
  <si>
    <t xml:space="preserve">Áht-n belüli megelőlegezések </t>
  </si>
  <si>
    <t>1.1.5.</t>
  </si>
  <si>
    <t>1. melléklet  a  2/2018. (II. 13.) önkormányzati rendelethez</t>
  </si>
  <si>
    <t>2. melléklet  a  2./2018. (II.13.) önkormányzati rendelethez</t>
  </si>
  <si>
    <t>3. melléklet  a  2/2018. (II. 13.) önkormányzati rendelethez</t>
  </si>
  <si>
    <t>4. melléklet  a  2/2018. (II.13.) önkormányzati rendelethez</t>
  </si>
  <si>
    <t>5. melléklet  a 2/2018. (II.13. ) önkormányzati rendelethez</t>
  </si>
  <si>
    <t>6. melléklet  a  2/2018. (II.13.) önkormányzati rendelethez</t>
  </si>
  <si>
    <t>7. melléklet  a  2/2018. (II.13.) önkormányzati rendelethez</t>
  </si>
  <si>
    <t>8. melléklet a 2/2018. (II. 13.) önkormányzati rendelethez</t>
  </si>
  <si>
    <t xml:space="preserve">Zrínyi-Kossuth  utca sarok árok jókarba helyezése felújítása (kistelepülési önkormányzatok alacsony összegű fejlesztseinek támogatásának felhasználása 2017.évi </t>
  </si>
  <si>
    <t>9. melléklet a 2/2018.(II.13.) sz. önkormányzati rendelethez</t>
  </si>
  <si>
    <t>10. melléklet a 2/2018. (II.13.) önkormányzati rendelethez</t>
  </si>
  <si>
    <t>11. melléklet a 2/2018. (II.13.) önkormányzati rendelethez</t>
  </si>
  <si>
    <t xml:space="preserve"> 17. melléklet a 2/2018. (II.13.) önkormányzati rendelethez </t>
  </si>
  <si>
    <t>1.sz. módosítása</t>
  </si>
  <si>
    <t>082044 Könyvtári szolgáltatások</t>
  </si>
  <si>
    <t>096025 Munkahelyi étkeztetés köznevelési int.(562920) (vendég)</t>
  </si>
  <si>
    <t>064010 Közvilágítás</t>
  </si>
  <si>
    <t>Dózsa utca közvilagítás hálózat bővítés</t>
  </si>
  <si>
    <t>Szent László Katolikus Ált.Iskola  támogatása ( táborozás)</t>
  </si>
  <si>
    <t>Vadkert utca burkolatfelújítás (Önkormányzati feladat ellátást szolgáló pályázat 2017. évi) önrész ás saját erő felhasználása</t>
  </si>
  <si>
    <t>7.1</t>
  </si>
  <si>
    <t>8.1</t>
  </si>
  <si>
    <t>082092 Közművelődés- Hagyományos Közösségi Kulturális értékek gondozása</t>
  </si>
  <si>
    <t xml:space="preserve"> 013350 Önkormányzati vagyonnal való gazdálkodással kapcsolatok feladatok</t>
  </si>
  <si>
    <t>9.1</t>
  </si>
  <si>
    <t>064020 Város- és községgazdálkodási egyéb szolgáltatások</t>
  </si>
  <si>
    <t>Kis értékű egyéb gép, berendezés, felszerelés beszerzése ( bojler)</t>
  </si>
  <si>
    <t>Kis értékű egyéb gép, berendezés, felszerelés beszerzése ( fűkasza )</t>
  </si>
  <si>
    <t>Működési célú költségvetési és kiegészítő támogatás</t>
  </si>
  <si>
    <t>2017.évi bérkompenzációs támogatás</t>
  </si>
  <si>
    <t>Szociális célú tűzifavásárlás támogatása</t>
  </si>
  <si>
    <t>Működési célú költségvetési és kiegészítő támogatás összesen:</t>
  </si>
  <si>
    <t xml:space="preserve">2. </t>
  </si>
  <si>
    <t>Közfoglalkoztatottak támogatása</t>
  </si>
  <si>
    <t xml:space="preserve">ELŐZŐ ÉVEK KÖLTSÉGVETÉSI MARADVÁNY IGÉNYBEVÉTELE </t>
  </si>
  <si>
    <t>1. melléklet  a  6/2018. (V.29.) önkormányzati rendelethez</t>
  </si>
  <si>
    <t>2. melléklet  a  6/2018. (V.29.) önkormányzati rendelethez</t>
  </si>
  <si>
    <t>3. melléklet  a  6/2018. (V.29.) önkormányzati rendelethez</t>
  </si>
  <si>
    <t>4. melléklet  a  6/2018. (V.29.) önkormányzati rendelethez</t>
  </si>
  <si>
    <t>5. melléklet  a 6/2018. (V.29. ) önkormányzati rendelethez</t>
  </si>
  <si>
    <t>6. melléklet  a  6/2018. (V.29.) önkormányzati rendelethez</t>
  </si>
  <si>
    <t>7. melléklet  a  6/2018. (V.29.) önkormányzati rendelethez</t>
  </si>
  <si>
    <t>8. melléklet a 6/2018. (V.29.) önkormányzati rendelethez</t>
  </si>
  <si>
    <t>9. melléklet a 6/2018.(V.29.) sz. önkormányzati rendelethez</t>
  </si>
  <si>
    <t>10. melléklet a 6/2018. (V.92.) önkormányzati rendelethez</t>
  </si>
  <si>
    <t>11. melléklet a 6/2018. (V.29.) önkormányzati rendelethez</t>
  </si>
  <si>
    <t xml:space="preserve"> 12. melléklet a 6/2018. (V.29.) önkormányzati rendelethez 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</si>
</sst>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#,##0;[Red]#,##0"/>
    <numFmt numFmtId="179" formatCode="#,##0.0"/>
    <numFmt numFmtId="180" formatCode="[$¥€-2]\ #\ ##,000_);[Red]\([$€-2]\ #\ ##,000\)"/>
  </numFmts>
  <fonts count="67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Arial CE"/>
      <family val="0"/>
    </font>
    <font>
      <b/>
      <sz val="10"/>
      <name val="Arial CE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1" borderId="7" applyNumberFormat="0" applyFon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9" fillId="28" borderId="0" applyNumberFormat="0" applyBorder="0" applyAlignment="0" applyProtection="0"/>
    <xf numFmtId="0" fontId="60" fillId="29" borderId="8" applyNumberFormat="0" applyAlignment="0" applyProtection="0"/>
    <xf numFmtId="0" fontId="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64" fillId="31" borderId="0" applyNumberFormat="0" applyBorder="0" applyAlignment="0" applyProtection="0"/>
    <xf numFmtId="0" fontId="65" fillId="29" borderId="1" applyNumberFormat="0" applyAlignment="0" applyProtection="0"/>
    <xf numFmtId="9" fontId="0" fillId="0" borderId="0" applyFont="0" applyFill="0" applyBorder="0" applyAlignment="0" applyProtection="0"/>
  </cellStyleXfs>
  <cellXfs count="560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56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0" xfId="59" applyFo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58" applyFont="1">
      <alignment/>
      <protection/>
    </xf>
    <xf numFmtId="0" fontId="12" fillId="0" borderId="0" xfId="59" applyFont="1">
      <alignment/>
      <protection/>
    </xf>
    <xf numFmtId="3" fontId="10" fillId="0" borderId="0" xfId="0" applyNumberFormat="1" applyFont="1" applyAlignment="1">
      <alignment/>
    </xf>
    <xf numFmtId="0" fontId="12" fillId="0" borderId="0" xfId="58" applyFont="1" applyBorder="1">
      <alignment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0" fontId="11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0" fontId="11" fillId="0" borderId="0" xfId="58" applyFont="1" applyAlignment="1">
      <alignment horizont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1" xfId="58" applyFont="1" applyBorder="1" applyAlignment="1">
      <alignment horizontal="center"/>
      <protection/>
    </xf>
    <xf numFmtId="0" fontId="10" fillId="0" borderId="12" xfId="58" applyFont="1" applyBorder="1" applyAlignment="1">
      <alignment horizontal="center"/>
      <protection/>
    </xf>
    <xf numFmtId="0" fontId="11" fillId="0" borderId="13" xfId="58" applyFont="1" applyBorder="1">
      <alignment/>
      <protection/>
    </xf>
    <xf numFmtId="0" fontId="10" fillId="0" borderId="14" xfId="58" applyFont="1" applyBorder="1" applyAlignment="1">
      <alignment horizontal="center"/>
      <protection/>
    </xf>
    <xf numFmtId="0" fontId="10" fillId="0" borderId="15" xfId="58" applyFont="1" applyBorder="1" applyAlignment="1">
      <alignment horizontal="center"/>
      <protection/>
    </xf>
    <xf numFmtId="0" fontId="10" fillId="0" borderId="0" xfId="58" applyFont="1">
      <alignment/>
      <protection/>
    </xf>
    <xf numFmtId="0" fontId="13" fillId="0" borderId="0" xfId="58" applyFont="1">
      <alignment/>
      <protection/>
    </xf>
    <xf numFmtId="0" fontId="14" fillId="0" borderId="0" xfId="58" applyFont="1">
      <alignment/>
      <protection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11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56" applyFont="1">
      <alignment/>
      <protection/>
    </xf>
    <xf numFmtId="0" fontId="9" fillId="0" borderId="0" xfId="0" applyFont="1" applyAlignment="1">
      <alignment horizontal="center"/>
    </xf>
    <xf numFmtId="168" fontId="14" fillId="0" borderId="0" xfId="40" applyNumberFormat="1" applyFont="1" applyAlignment="1">
      <alignment/>
    </xf>
    <xf numFmtId="168" fontId="13" fillId="0" borderId="0" xfId="40" applyNumberFormat="1" applyFont="1" applyAlignment="1">
      <alignment/>
    </xf>
    <xf numFmtId="168" fontId="11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Alignment="1">
      <alignment horizontal="right"/>
    </xf>
    <xf numFmtId="168" fontId="5" fillId="0" borderId="0" xfId="40" applyNumberFormat="1" applyFont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14" fontId="6" fillId="0" borderId="0" xfId="0" applyNumberFormat="1" applyFont="1" applyAlignment="1">
      <alignment/>
    </xf>
    <xf numFmtId="168" fontId="12" fillId="0" borderId="0" xfId="58" applyNumberFormat="1" applyFont="1" applyBorder="1">
      <alignment/>
      <protection/>
    </xf>
    <xf numFmtId="0" fontId="12" fillId="0" borderId="0" xfId="56" applyFont="1" applyAlignment="1">
      <alignment horizontal="center"/>
      <protection/>
    </xf>
    <xf numFmtId="0" fontId="12" fillId="0" borderId="0" xfId="56" applyFont="1" applyAlignment="1">
      <alignment/>
      <protection/>
    </xf>
    <xf numFmtId="0" fontId="12" fillId="0" borderId="0" xfId="56" applyFont="1" applyAlignment="1">
      <alignment horizontal="left"/>
      <protection/>
    </xf>
    <xf numFmtId="0" fontId="12" fillId="0" borderId="16" xfId="56" applyFont="1" applyBorder="1" applyAlignment="1">
      <alignment horizontal="left"/>
      <protection/>
    </xf>
    <xf numFmtId="0" fontId="12" fillId="0" borderId="16" xfId="56" applyFont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0" fontId="12" fillId="0" borderId="13" xfId="56" applyFont="1" applyBorder="1" applyAlignment="1">
      <alignment horizontal="center"/>
      <protection/>
    </xf>
    <xf numFmtId="0" fontId="12" fillId="0" borderId="15" xfId="56" applyFont="1" applyBorder="1" applyAlignment="1">
      <alignment horizontal="center"/>
      <protection/>
    </xf>
    <xf numFmtId="0" fontId="18" fillId="0" borderId="0" xfId="56" applyFont="1">
      <alignment/>
      <protection/>
    </xf>
    <xf numFmtId="0" fontId="10" fillId="0" borderId="0" xfId="56" applyFont="1" applyAlignment="1">
      <alignment/>
      <protection/>
    </xf>
    <xf numFmtId="0" fontId="4" fillId="0" borderId="0" xfId="56" applyFont="1">
      <alignment/>
      <protection/>
    </xf>
    <xf numFmtId="168" fontId="11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8" fontId="6" fillId="0" borderId="0" xfId="40" applyNumberFormat="1" applyFont="1" applyAlignment="1">
      <alignment wrapText="1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168" fontId="12" fillId="0" borderId="0" xfId="40" applyNumberFormat="1" applyFont="1" applyAlignment="1">
      <alignment wrapText="1"/>
    </xf>
    <xf numFmtId="168" fontId="12" fillId="0" borderId="0" xfId="56" applyNumberFormat="1" applyFont="1">
      <alignment/>
      <protection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2" fillId="0" borderId="0" xfId="56" applyFont="1" applyBorder="1" applyAlignment="1">
      <alignment horizontal="center" vertical="center"/>
      <protection/>
    </xf>
    <xf numFmtId="168" fontId="12" fillId="0" borderId="13" xfId="4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56" applyFont="1" applyBorder="1" applyAlignment="1">
      <alignment horizontal="left" vertical="center"/>
      <protection/>
    </xf>
    <xf numFmtId="168" fontId="6" fillId="0" borderId="0" xfId="0" applyNumberFormat="1" applyFont="1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40" applyNumberFormat="1" applyFont="1" applyAlignment="1">
      <alignment/>
    </xf>
    <xf numFmtId="0" fontId="12" fillId="0" borderId="0" xfId="0" applyFont="1" applyAlignment="1">
      <alignment wrapText="1"/>
    </xf>
    <xf numFmtId="168" fontId="5" fillId="0" borderId="0" xfId="40" applyNumberFormat="1" applyFont="1" applyAlignment="1">
      <alignment/>
    </xf>
    <xf numFmtId="168" fontId="7" fillId="0" borderId="0" xfId="0" applyNumberFormat="1" applyFont="1" applyAlignment="1">
      <alignment/>
    </xf>
    <xf numFmtId="0" fontId="12" fillId="0" borderId="0" xfId="58" applyFont="1">
      <alignment/>
      <protection/>
    </xf>
    <xf numFmtId="168" fontId="7" fillId="0" borderId="0" xfId="40" applyNumberFormat="1" applyFont="1" applyAlignment="1">
      <alignment horizontal="right"/>
    </xf>
    <xf numFmtId="0" fontId="10" fillId="0" borderId="0" xfId="59" applyFont="1" applyAlignment="1">
      <alignment horizontal="center"/>
      <protection/>
    </xf>
    <xf numFmtId="0" fontId="11" fillId="0" borderId="0" xfId="59" applyFont="1">
      <alignment/>
      <protection/>
    </xf>
    <xf numFmtId="0" fontId="11" fillId="0" borderId="0" xfId="56" applyFont="1">
      <alignment/>
      <protection/>
    </xf>
    <xf numFmtId="0" fontId="11" fillId="0" borderId="17" xfId="58" applyFont="1" applyBorder="1" applyAlignment="1">
      <alignment horizontal="left" wrapText="1"/>
      <protection/>
    </xf>
    <xf numFmtId="0" fontId="11" fillId="0" borderId="18" xfId="58" applyFont="1" applyBorder="1" applyAlignment="1" quotePrefix="1">
      <alignment horizontal="center" vertical="center" wrapText="1"/>
      <protection/>
    </xf>
    <xf numFmtId="0" fontId="11" fillId="0" borderId="19" xfId="59" applyFont="1" applyBorder="1">
      <alignment/>
      <protection/>
    </xf>
    <xf numFmtId="0" fontId="11" fillId="0" borderId="17" xfId="59" applyFont="1" applyBorder="1">
      <alignment/>
      <protection/>
    </xf>
    <xf numFmtId="0" fontId="11" fillId="0" borderId="0" xfId="0" applyFont="1" applyAlignment="1">
      <alignment horizontal="right"/>
    </xf>
    <xf numFmtId="0" fontId="12" fillId="0" borderId="0" xfId="59" applyFont="1" applyAlignment="1">
      <alignment horizontal="center"/>
      <protection/>
    </xf>
    <xf numFmtId="0" fontId="11" fillId="0" borderId="20" xfId="58" applyFont="1" applyBorder="1" applyAlignment="1">
      <alignment horizontal="right"/>
      <protection/>
    </xf>
    <xf numFmtId="0" fontId="12" fillId="0" borderId="0" xfId="56" applyFont="1">
      <alignment/>
      <protection/>
    </xf>
    <xf numFmtId="0" fontId="15" fillId="0" borderId="0" xfId="56" applyFont="1">
      <alignment/>
      <protection/>
    </xf>
    <xf numFmtId="0" fontId="15" fillId="0" borderId="0" xfId="0" applyFont="1" applyAlignment="1">
      <alignment/>
    </xf>
    <xf numFmtId="0" fontId="6" fillId="0" borderId="11" xfId="56" applyFont="1" applyBorder="1" applyAlignment="1">
      <alignment horizontal="center"/>
      <protection/>
    </xf>
    <xf numFmtId="0" fontId="6" fillId="0" borderId="13" xfId="56" applyFont="1" applyBorder="1">
      <alignment/>
      <protection/>
    </xf>
    <xf numFmtId="0" fontId="6" fillId="0" borderId="13" xfId="56" applyFont="1" applyBorder="1" applyAlignment="1">
      <alignment horizontal="center"/>
      <protection/>
    </xf>
    <xf numFmtId="0" fontId="6" fillId="0" borderId="15" xfId="56" applyFont="1" applyBorder="1">
      <alignment/>
      <protection/>
    </xf>
    <xf numFmtId="168" fontId="15" fillId="0" borderId="0" xfId="40" applyNumberFormat="1" applyFont="1" applyAlignment="1">
      <alignment/>
    </xf>
    <xf numFmtId="168" fontId="12" fillId="0" borderId="0" xfId="40" applyNumberFormat="1" applyFont="1" applyAlignment="1">
      <alignment/>
    </xf>
    <xf numFmtId="0" fontId="12" fillId="0" borderId="0" xfId="56" applyFont="1" applyAlignment="1">
      <alignment horizontal="right"/>
      <protection/>
    </xf>
    <xf numFmtId="0" fontId="6" fillId="0" borderId="11" xfId="56" applyFont="1" applyBorder="1" applyAlignment="1">
      <alignment/>
      <protection/>
    </xf>
    <xf numFmtId="168" fontId="6" fillId="0" borderId="11" xfId="40" applyNumberFormat="1" applyFont="1" applyBorder="1" applyAlignment="1">
      <alignment horizontal="center"/>
    </xf>
    <xf numFmtId="168" fontId="6" fillId="0" borderId="13" xfId="40" applyNumberFormat="1" applyFont="1" applyBorder="1" applyAlignment="1">
      <alignment horizontal="center"/>
    </xf>
    <xf numFmtId="0" fontId="6" fillId="0" borderId="15" xfId="56" applyFont="1" applyBorder="1" applyAlignment="1">
      <alignment horizontal="center"/>
      <protection/>
    </xf>
    <xf numFmtId="168" fontId="6" fillId="0" borderId="15" xfId="40" applyNumberFormat="1" applyFont="1" applyBorder="1" applyAlignment="1">
      <alignment horizontal="center"/>
    </xf>
    <xf numFmtId="0" fontId="12" fillId="0" borderId="0" xfId="56" applyFont="1" applyBorder="1" applyAlignment="1">
      <alignment horizontal="right"/>
      <protection/>
    </xf>
    <xf numFmtId="0" fontId="12" fillId="0" borderId="0" xfId="56" applyFont="1" applyBorder="1" applyAlignment="1">
      <alignment/>
      <protection/>
    </xf>
    <xf numFmtId="168" fontId="12" fillId="0" borderId="0" xfId="40" applyNumberFormat="1" applyFont="1" applyBorder="1" applyAlignment="1">
      <alignment/>
    </xf>
    <xf numFmtId="0" fontId="12" fillId="0" borderId="0" xfId="56" applyFont="1" applyBorder="1" applyAlignment="1">
      <alignment wrapText="1"/>
      <protection/>
    </xf>
    <xf numFmtId="0" fontId="12" fillId="0" borderId="20" xfId="56" applyFont="1" applyBorder="1" applyAlignment="1">
      <alignment horizontal="right"/>
      <protection/>
    </xf>
    <xf numFmtId="0" fontId="12" fillId="0" borderId="20" xfId="56" applyFont="1" applyBorder="1" applyAlignment="1">
      <alignment/>
      <protection/>
    </xf>
    <xf numFmtId="168" fontId="12" fillId="0" borderId="20" xfId="4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168" fontId="12" fillId="0" borderId="0" xfId="40" applyNumberFormat="1" applyFont="1" applyAlignment="1">
      <alignment horizontal="right"/>
    </xf>
    <xf numFmtId="168" fontId="6" fillId="0" borderId="0" xfId="56" applyNumberFormat="1" applyFont="1">
      <alignment/>
      <protection/>
    </xf>
    <xf numFmtId="0" fontId="6" fillId="0" borderId="21" xfId="56" applyFont="1" applyBorder="1" applyAlignment="1">
      <alignment horizontal="right"/>
      <protection/>
    </xf>
    <xf numFmtId="0" fontId="6" fillId="0" borderId="21" xfId="56" applyFont="1" applyBorder="1">
      <alignment/>
      <protection/>
    </xf>
    <xf numFmtId="168" fontId="6" fillId="0" borderId="21" xfId="40" applyNumberFormat="1" applyFont="1" applyBorder="1" applyAlignment="1">
      <alignment/>
    </xf>
    <xf numFmtId="0" fontId="6" fillId="0" borderId="0" xfId="56" applyFont="1" applyBorder="1" applyAlignment="1">
      <alignment horizontal="right"/>
      <protection/>
    </xf>
    <xf numFmtId="0" fontId="6" fillId="0" borderId="0" xfId="56" applyFont="1" applyBorder="1">
      <alignment/>
      <protection/>
    </xf>
    <xf numFmtId="168" fontId="6" fillId="0" borderId="0" xfId="40" applyNumberFormat="1" applyFont="1" applyBorder="1" applyAlignment="1">
      <alignment/>
    </xf>
    <xf numFmtId="0" fontId="12" fillId="0" borderId="0" xfId="57" applyFont="1">
      <alignment/>
      <protection/>
    </xf>
    <xf numFmtId="0" fontId="6" fillId="0" borderId="0" xfId="57" applyFont="1" applyBorder="1" applyAlignment="1">
      <alignment horizontal="center"/>
      <protection/>
    </xf>
    <xf numFmtId="0" fontId="22" fillId="0" borderId="20" xfId="0" applyFont="1" applyBorder="1" applyAlignment="1">
      <alignment/>
    </xf>
    <xf numFmtId="168" fontId="6" fillId="0" borderId="20" xfId="40" applyNumberFormat="1" applyFont="1" applyBorder="1" applyAlignment="1">
      <alignment/>
    </xf>
    <xf numFmtId="0" fontId="6" fillId="0" borderId="0" xfId="57" applyFont="1">
      <alignment/>
      <protection/>
    </xf>
    <xf numFmtId="0" fontId="6" fillId="0" borderId="21" xfId="57" applyFont="1" applyBorder="1" applyAlignment="1">
      <alignment horizontal="right"/>
      <protection/>
    </xf>
    <xf numFmtId="168" fontId="6" fillId="0" borderId="0" xfId="57" applyNumberFormat="1" applyFont="1">
      <alignment/>
      <protection/>
    </xf>
    <xf numFmtId="0" fontId="12" fillId="0" borderId="0" xfId="57" applyFont="1" applyBorder="1" applyAlignment="1">
      <alignment horizontal="center" vertical="center"/>
      <protection/>
    </xf>
    <xf numFmtId="168" fontId="6" fillId="0" borderId="0" xfId="40" applyNumberFormat="1" applyFont="1" applyBorder="1" applyAlignment="1">
      <alignment horizontal="center"/>
    </xf>
    <xf numFmtId="0" fontId="11" fillId="0" borderId="0" xfId="58" applyFont="1" applyAlignment="1">
      <alignment horizontal="left" wrapText="1"/>
      <protection/>
    </xf>
    <xf numFmtId="0" fontId="20" fillId="0" borderId="21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23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11" fillId="0" borderId="0" xfId="56" applyFont="1">
      <alignment/>
      <protection/>
    </xf>
    <xf numFmtId="0" fontId="10" fillId="0" borderId="0" xfId="56" applyFont="1" applyAlignment="1">
      <alignment horizontal="center"/>
      <protection/>
    </xf>
    <xf numFmtId="168" fontId="10" fillId="0" borderId="0" xfId="40" applyNumberFormat="1" applyFont="1" applyAlignment="1">
      <alignment/>
    </xf>
    <xf numFmtId="0" fontId="20" fillId="0" borderId="0" xfId="56" applyFont="1" applyAlignment="1">
      <alignment horizontal="center"/>
      <protection/>
    </xf>
    <xf numFmtId="168" fontId="20" fillId="0" borderId="0" xfId="40" applyNumberFormat="1" applyFont="1" applyAlignment="1">
      <alignment horizontal="centerContinuous"/>
    </xf>
    <xf numFmtId="168" fontId="20" fillId="0" borderId="0" xfId="40" applyNumberFormat="1" applyFont="1" applyAlignment="1">
      <alignment/>
    </xf>
    <xf numFmtId="0" fontId="4" fillId="0" borderId="0" xfId="0" applyFont="1" applyAlignment="1">
      <alignment/>
    </xf>
    <xf numFmtId="0" fontId="11" fillId="0" borderId="0" xfId="58" applyFont="1" applyBorder="1" applyAlignment="1">
      <alignment horizontal="left" wrapText="1"/>
      <protection/>
    </xf>
    <xf numFmtId="168" fontId="4" fillId="0" borderId="22" xfId="40" applyNumberFormat="1" applyFont="1" applyBorder="1" applyAlignment="1">
      <alignment/>
    </xf>
    <xf numFmtId="168" fontId="4" fillId="0" borderId="23" xfId="40" applyNumberFormat="1" applyFont="1" applyBorder="1" applyAlignment="1">
      <alignment/>
    </xf>
    <xf numFmtId="168" fontId="4" fillId="0" borderId="20" xfId="40" applyNumberFormat="1" applyFont="1" applyBorder="1" applyAlignment="1">
      <alignment/>
    </xf>
    <xf numFmtId="168" fontId="4" fillId="0" borderId="24" xfId="40" applyNumberFormat="1" applyFont="1" applyBorder="1" applyAlignment="1">
      <alignment/>
    </xf>
    <xf numFmtId="0" fontId="4" fillId="0" borderId="21" xfId="0" applyFont="1" applyBorder="1" applyAlignment="1">
      <alignment/>
    </xf>
    <xf numFmtId="0" fontId="10" fillId="0" borderId="21" xfId="58" applyFont="1" applyBorder="1">
      <alignment/>
      <protection/>
    </xf>
    <xf numFmtId="0" fontId="19" fillId="0" borderId="0" xfId="58" applyFont="1">
      <alignment/>
      <protection/>
    </xf>
    <xf numFmtId="0" fontId="6" fillId="0" borderId="0" xfId="59" applyFont="1" applyAlignment="1">
      <alignment horizontal="centerContinuous"/>
      <protection/>
    </xf>
    <xf numFmtId="0" fontId="25" fillId="0" borderId="0" xfId="59" applyFont="1">
      <alignment/>
      <protection/>
    </xf>
    <xf numFmtId="0" fontId="6" fillId="0" borderId="11" xfId="59" applyFont="1" applyBorder="1">
      <alignment/>
      <protection/>
    </xf>
    <xf numFmtId="0" fontId="6" fillId="0" borderId="11" xfId="59" applyFont="1" applyBorder="1" applyAlignment="1">
      <alignment horizontal="center"/>
      <protection/>
    </xf>
    <xf numFmtId="0" fontId="6" fillId="0" borderId="13" xfId="59" applyFont="1" applyBorder="1" applyAlignment="1">
      <alignment horizontal="center"/>
      <protection/>
    </xf>
    <xf numFmtId="0" fontId="6" fillId="0" borderId="15" xfId="59" applyFont="1" applyBorder="1">
      <alignment/>
      <protection/>
    </xf>
    <xf numFmtId="0" fontId="6" fillId="0" borderId="15" xfId="59" applyFont="1" applyBorder="1" applyAlignment="1">
      <alignment horizontal="center"/>
      <protection/>
    </xf>
    <xf numFmtId="0" fontId="6" fillId="0" borderId="0" xfId="59" applyFont="1" applyBorder="1">
      <alignment/>
      <protection/>
    </xf>
    <xf numFmtId="0" fontId="6" fillId="0" borderId="0" xfId="59" applyFont="1" applyBorder="1" applyAlignment="1">
      <alignment horizontal="center"/>
      <protection/>
    </xf>
    <xf numFmtId="0" fontId="6" fillId="0" borderId="0" xfId="59" applyFont="1" applyBorder="1" applyAlignment="1">
      <alignment horizontal="right"/>
      <protection/>
    </xf>
    <xf numFmtId="168" fontId="12" fillId="0" borderId="0" xfId="40" applyNumberFormat="1" applyFont="1" applyBorder="1" applyAlignment="1">
      <alignment horizontal="right"/>
    </xf>
    <xf numFmtId="0" fontId="12" fillId="0" borderId="0" xfId="59" applyFont="1" applyBorder="1">
      <alignment/>
      <protection/>
    </xf>
    <xf numFmtId="168" fontId="6" fillId="0" borderId="0" xfId="40" applyNumberFormat="1" applyFont="1" applyBorder="1" applyAlignment="1">
      <alignment horizontal="right"/>
    </xf>
    <xf numFmtId="168" fontId="6" fillId="0" borderId="0" xfId="40" applyNumberFormat="1" applyFont="1" applyBorder="1" applyAlignment="1">
      <alignment/>
    </xf>
    <xf numFmtId="168" fontId="12" fillId="0" borderId="0" xfId="40" applyNumberFormat="1" applyFont="1" applyAlignment="1">
      <alignment horizontal="center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168" fontId="6" fillId="0" borderId="11" xfId="40" applyNumberFormat="1" applyFont="1" applyBorder="1" applyAlignment="1">
      <alignment/>
    </xf>
    <xf numFmtId="168" fontId="6" fillId="0" borderId="25" xfId="40" applyNumberFormat="1" applyFont="1" applyBorder="1" applyAlignment="1">
      <alignment/>
    </xf>
    <xf numFmtId="168" fontId="6" fillId="0" borderId="26" xfId="40" applyNumberFormat="1" applyFont="1" applyBorder="1" applyAlignment="1">
      <alignment/>
    </xf>
    <xf numFmtId="168" fontId="6" fillId="0" borderId="27" xfId="40" applyNumberFormat="1" applyFont="1" applyBorder="1" applyAlignment="1">
      <alignment/>
    </xf>
    <xf numFmtId="168" fontId="12" fillId="0" borderId="27" xfId="40" applyNumberFormat="1" applyFont="1" applyBorder="1" applyAlignment="1">
      <alignment/>
    </xf>
    <xf numFmtId="168" fontId="12" fillId="0" borderId="26" xfId="40" applyNumberFormat="1" applyFont="1" applyBorder="1" applyAlignment="1">
      <alignment/>
    </xf>
    <xf numFmtId="168" fontId="12" fillId="0" borderId="11" xfId="4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 horizontal="center"/>
    </xf>
    <xf numFmtId="168" fontId="12" fillId="0" borderId="28" xfId="40" applyNumberFormat="1" applyFont="1" applyBorder="1" applyAlignment="1">
      <alignment horizontal="center"/>
    </xf>
    <xf numFmtId="168" fontId="12" fillId="0" borderId="29" xfId="40" applyNumberFormat="1" applyFont="1" applyBorder="1" applyAlignment="1">
      <alignment horizontal="center"/>
    </xf>
    <xf numFmtId="168" fontId="12" fillId="0" borderId="30" xfId="40" applyNumberFormat="1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/>
    </xf>
    <xf numFmtId="168" fontId="12" fillId="0" borderId="15" xfId="40" applyNumberFormat="1" applyFont="1" applyBorder="1" applyAlignment="1">
      <alignment/>
    </xf>
    <xf numFmtId="168" fontId="12" fillId="0" borderId="31" xfId="40" applyNumberFormat="1" applyFont="1" applyBorder="1" applyAlignment="1">
      <alignment/>
    </xf>
    <xf numFmtId="168" fontId="12" fillId="0" borderId="32" xfId="40" applyNumberFormat="1" applyFont="1" applyBorder="1" applyAlignment="1">
      <alignment/>
    </xf>
    <xf numFmtId="168" fontId="12" fillId="0" borderId="33" xfId="40" applyNumberFormat="1" applyFont="1" applyBorder="1" applyAlignment="1">
      <alignment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wrapText="1"/>
    </xf>
    <xf numFmtId="168" fontId="12" fillId="0" borderId="20" xfId="40" applyNumberFormat="1" applyFont="1" applyBorder="1" applyAlignment="1">
      <alignment/>
    </xf>
    <xf numFmtId="168" fontId="12" fillId="0" borderId="24" xfId="40" applyNumberFormat="1" applyFont="1" applyBorder="1" applyAlignment="1">
      <alignment/>
    </xf>
    <xf numFmtId="0" fontId="12" fillId="0" borderId="20" xfId="0" applyFont="1" applyBorder="1" applyAlignment="1">
      <alignment/>
    </xf>
    <xf numFmtId="168" fontId="12" fillId="0" borderId="20" xfId="40" applyNumberFormat="1" applyFont="1" applyBorder="1" applyAlignment="1">
      <alignment/>
    </xf>
    <xf numFmtId="168" fontId="26" fillId="0" borderId="20" xfId="40" applyNumberFormat="1" applyFont="1" applyFill="1" applyBorder="1" applyAlignment="1">
      <alignment/>
    </xf>
    <xf numFmtId="168" fontId="26" fillId="0" borderId="34" xfId="40" applyNumberFormat="1" applyFont="1" applyFill="1" applyBorder="1" applyAlignment="1">
      <alignment/>
    </xf>
    <xf numFmtId="168" fontId="12" fillId="0" borderId="20" xfId="40" applyNumberFormat="1" applyFont="1" applyFill="1" applyBorder="1" applyAlignment="1">
      <alignment/>
    </xf>
    <xf numFmtId="168" fontId="12" fillId="0" borderId="34" xfId="40" applyNumberFormat="1" applyFont="1" applyFill="1" applyBorder="1" applyAlignment="1">
      <alignment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/>
    </xf>
    <xf numFmtId="0" fontId="6" fillId="0" borderId="21" xfId="0" applyFont="1" applyBorder="1" applyAlignment="1">
      <alignment/>
    </xf>
    <xf numFmtId="168" fontId="6" fillId="0" borderId="37" xfId="40" applyNumberFormat="1" applyFont="1" applyBorder="1" applyAlignment="1">
      <alignment/>
    </xf>
    <xf numFmtId="168" fontId="6" fillId="0" borderId="21" xfId="40" applyNumberFormat="1" applyFont="1" applyBorder="1" applyAlignment="1">
      <alignment/>
    </xf>
    <xf numFmtId="0" fontId="12" fillId="0" borderId="38" xfId="0" applyFont="1" applyBorder="1" applyAlignment="1">
      <alignment horizontal="center"/>
    </xf>
    <xf numFmtId="0" fontId="6" fillId="0" borderId="22" xfId="0" applyFont="1" applyBorder="1" applyAlignment="1">
      <alignment/>
    </xf>
    <xf numFmtId="168" fontId="12" fillId="0" borderId="39" xfId="4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12" fillId="0" borderId="21" xfId="0" applyFont="1" applyBorder="1" applyAlignment="1">
      <alignment/>
    </xf>
    <xf numFmtId="0" fontId="6" fillId="0" borderId="40" xfId="0" applyFont="1" applyBorder="1" applyAlignment="1">
      <alignment/>
    </xf>
    <xf numFmtId="168" fontId="12" fillId="0" borderId="41" xfId="40" applyNumberFormat="1" applyFont="1" applyBorder="1" applyAlignment="1">
      <alignment/>
    </xf>
    <xf numFmtId="168" fontId="12" fillId="0" borderId="42" xfId="40" applyNumberFormat="1" applyFont="1" applyBorder="1" applyAlignment="1">
      <alignment/>
    </xf>
    <xf numFmtId="0" fontId="12" fillId="0" borderId="20" xfId="0" applyFont="1" applyBorder="1" applyAlignment="1">
      <alignment horizontal="left" wrapText="1"/>
    </xf>
    <xf numFmtId="169" fontId="12" fillId="0" borderId="0" xfId="40" applyNumberFormat="1" applyFont="1" applyAlignment="1">
      <alignment/>
    </xf>
    <xf numFmtId="168" fontId="12" fillId="0" borderId="0" xfId="0" applyNumberFormat="1" applyFont="1" applyAlignment="1">
      <alignment/>
    </xf>
    <xf numFmtId="0" fontId="15" fillId="0" borderId="0" xfId="0" applyFont="1" applyAlignment="1">
      <alignment horizontal="left" wrapText="1"/>
    </xf>
    <xf numFmtId="14" fontId="17" fillId="0" borderId="0" xfId="0" applyNumberFormat="1" applyFont="1" applyAlignment="1">
      <alignment/>
    </xf>
    <xf numFmtId="0" fontId="12" fillId="0" borderId="0" xfId="56" applyFont="1" applyBorder="1" applyAlignment="1">
      <alignment horizontal="center"/>
      <protection/>
    </xf>
    <xf numFmtId="168" fontId="12" fillId="0" borderId="0" xfId="59" applyNumberFormat="1" applyFont="1" applyBorder="1" applyAlignment="1">
      <alignment horizontal="right"/>
      <protection/>
    </xf>
    <xf numFmtId="168" fontId="12" fillId="0" borderId="43" xfId="59" applyNumberFormat="1" applyFont="1" applyBorder="1" applyAlignment="1">
      <alignment horizontal="right"/>
      <protection/>
    </xf>
    <xf numFmtId="168" fontId="12" fillId="0" borderId="0" xfId="59" applyNumberFormat="1" applyFont="1" applyBorder="1" applyAlignment="1">
      <alignment horizontal="center"/>
      <protection/>
    </xf>
    <xf numFmtId="168" fontId="12" fillId="0" borderId="43" xfId="59" applyNumberFormat="1" applyFont="1" applyBorder="1" applyAlignment="1">
      <alignment horizontal="center"/>
      <protection/>
    </xf>
    <xf numFmtId="168" fontId="12" fillId="0" borderId="43" xfId="40" applyNumberFormat="1" applyFont="1" applyBorder="1" applyAlignment="1">
      <alignment horizontal="right"/>
    </xf>
    <xf numFmtId="0" fontId="6" fillId="0" borderId="0" xfId="56" applyFont="1" applyBorder="1" applyAlignment="1">
      <alignment horizontal="center"/>
      <protection/>
    </xf>
    <xf numFmtId="0" fontId="6" fillId="0" borderId="44" xfId="56" applyFont="1" applyBorder="1">
      <alignment/>
      <protection/>
    </xf>
    <xf numFmtId="0" fontId="6" fillId="0" borderId="44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0" fontId="12" fillId="0" borderId="20" xfId="0" applyFont="1" applyBorder="1" applyAlignment="1" quotePrefix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58" applyFont="1" applyBorder="1" applyAlignment="1">
      <alignment horizontal="right"/>
      <protection/>
    </xf>
    <xf numFmtId="0" fontId="19" fillId="0" borderId="0" xfId="58" applyFont="1" applyBorder="1">
      <alignment/>
      <protection/>
    </xf>
    <xf numFmtId="0" fontId="11" fillId="0" borderId="0" xfId="58" applyFont="1" applyBorder="1">
      <alignment/>
      <protection/>
    </xf>
    <xf numFmtId="3" fontId="12" fillId="0" borderId="0" xfId="56" applyNumberFormat="1" applyFont="1">
      <alignment/>
      <protection/>
    </xf>
    <xf numFmtId="3" fontId="12" fillId="0" borderId="0" xfId="56" applyNumberFormat="1" applyFont="1" applyAlignment="1">
      <alignment horizontal="right"/>
      <protection/>
    </xf>
    <xf numFmtId="3" fontId="15" fillId="0" borderId="0" xfId="56" applyNumberFormat="1" applyFont="1" applyAlignment="1">
      <alignment horizontal="right"/>
      <protection/>
    </xf>
    <xf numFmtId="3" fontId="15" fillId="0" borderId="0" xfId="40" applyNumberFormat="1" applyFont="1" applyAlignment="1">
      <alignment horizontal="right" wrapText="1"/>
    </xf>
    <xf numFmtId="3" fontId="15" fillId="0" borderId="0" xfId="40" applyNumberFormat="1" applyFont="1" applyAlignment="1">
      <alignment horizontal="right"/>
    </xf>
    <xf numFmtId="3" fontId="6" fillId="0" borderId="0" xfId="40" applyNumberFormat="1" applyFont="1" applyAlignment="1">
      <alignment horizontal="right" wrapText="1"/>
    </xf>
    <xf numFmtId="3" fontId="12" fillId="0" borderId="0" xfId="40" applyNumberFormat="1" applyFont="1" applyAlignment="1">
      <alignment horizontal="right" wrapText="1"/>
    </xf>
    <xf numFmtId="3" fontId="12" fillId="0" borderId="0" xfId="40" applyNumberFormat="1" applyFont="1" applyAlignment="1">
      <alignment horizontal="right"/>
    </xf>
    <xf numFmtId="3" fontId="12" fillId="0" borderId="0" xfId="40" applyNumberFormat="1" applyFont="1" applyBorder="1" applyAlignment="1">
      <alignment horizontal="right"/>
    </xf>
    <xf numFmtId="3" fontId="6" fillId="0" borderId="0" xfId="40" applyNumberFormat="1" applyFont="1" applyBorder="1" applyAlignment="1">
      <alignment horizontal="right"/>
    </xf>
    <xf numFmtId="3" fontId="6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6" fillId="0" borderId="0" xfId="4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6" fillId="0" borderId="0" xfId="56" applyNumberFormat="1" applyFont="1" applyAlignment="1">
      <alignment horizontal="right"/>
      <protection/>
    </xf>
    <xf numFmtId="3" fontId="13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1" fillId="0" borderId="45" xfId="58" applyFont="1" applyBorder="1" applyAlignment="1" quotePrefix="1">
      <alignment horizontal="center" vertical="center" wrapText="1"/>
      <protection/>
    </xf>
    <xf numFmtId="0" fontId="11" fillId="0" borderId="46" xfId="58" applyFont="1" applyBorder="1" applyAlignment="1" quotePrefix="1">
      <alignment horizontal="center" vertical="center" wrapText="1"/>
      <protection/>
    </xf>
    <xf numFmtId="0" fontId="11" fillId="0" borderId="47" xfId="58" applyFont="1" applyBorder="1" applyAlignment="1" quotePrefix="1">
      <alignment horizontal="center" vertical="center" wrapText="1"/>
      <protection/>
    </xf>
    <xf numFmtId="0" fontId="4" fillId="0" borderId="18" xfId="0" applyFont="1" applyBorder="1" applyAlignment="1">
      <alignment/>
    </xf>
    <xf numFmtId="168" fontId="20" fillId="0" borderId="48" xfId="40" applyNumberFormat="1" applyFont="1" applyBorder="1" applyAlignment="1">
      <alignment horizontal="center" vertical="center"/>
    </xf>
    <xf numFmtId="168" fontId="20" fillId="0" borderId="11" xfId="40" applyNumberFormat="1" applyFont="1" applyBorder="1" applyAlignment="1">
      <alignment horizontal="center" vertical="center"/>
    </xf>
    <xf numFmtId="168" fontId="20" fillId="0" borderId="11" xfId="4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/>
    </xf>
    <xf numFmtId="3" fontId="11" fillId="0" borderId="19" xfId="58" applyNumberFormat="1" applyFont="1" applyBorder="1" applyAlignment="1">
      <alignment horizontal="right"/>
      <protection/>
    </xf>
    <xf numFmtId="3" fontId="11" fillId="0" borderId="20" xfId="58" applyNumberFormat="1" applyFont="1" applyBorder="1" applyAlignment="1">
      <alignment horizontal="right"/>
      <protection/>
    </xf>
    <xf numFmtId="3" fontId="19" fillId="0" borderId="20" xfId="58" applyNumberFormat="1" applyFont="1" applyBorder="1">
      <alignment/>
      <protection/>
    </xf>
    <xf numFmtId="3" fontId="11" fillId="0" borderId="20" xfId="58" applyNumberFormat="1" applyFont="1" applyBorder="1">
      <alignment/>
      <protection/>
    </xf>
    <xf numFmtId="3" fontId="19" fillId="0" borderId="34" xfId="58" applyNumberFormat="1" applyFont="1" applyBorder="1">
      <alignment/>
      <protection/>
    </xf>
    <xf numFmtId="3" fontId="11" fillId="0" borderId="34" xfId="58" applyNumberFormat="1" applyFont="1" applyBorder="1">
      <alignment/>
      <protection/>
    </xf>
    <xf numFmtId="3" fontId="11" fillId="0" borderId="24" xfId="58" applyNumberFormat="1" applyFont="1" applyBorder="1">
      <alignment/>
      <protection/>
    </xf>
    <xf numFmtId="3" fontId="10" fillId="0" borderId="40" xfId="58" applyNumberFormat="1" applyFont="1" applyBorder="1" applyAlignment="1">
      <alignment horizontal="right"/>
      <protection/>
    </xf>
    <xf numFmtId="3" fontId="10" fillId="0" borderId="50" xfId="58" applyNumberFormat="1" applyFont="1" applyBorder="1" applyAlignment="1">
      <alignment horizontal="right"/>
      <protection/>
    </xf>
    <xf numFmtId="0" fontId="12" fillId="0" borderId="0" xfId="56" applyFont="1" applyBorder="1" applyAlignment="1">
      <alignment horizontal="center" vertical="center"/>
      <protection/>
    </xf>
    <xf numFmtId="0" fontId="10" fillId="0" borderId="51" xfId="59" applyFont="1" applyBorder="1">
      <alignment/>
      <protection/>
    </xf>
    <xf numFmtId="0" fontId="6" fillId="0" borderId="0" xfId="0" applyFont="1" applyAlignment="1" quotePrefix="1">
      <alignment/>
    </xf>
    <xf numFmtId="0" fontId="12" fillId="0" borderId="0" xfId="0" applyFont="1" applyAlignment="1">
      <alignment horizontal="center"/>
    </xf>
    <xf numFmtId="0" fontId="12" fillId="0" borderId="0" xfId="56" applyFont="1" applyBorder="1">
      <alignment/>
      <protection/>
    </xf>
    <xf numFmtId="0" fontId="12" fillId="0" borderId="0" xfId="0" applyFont="1" applyAlignment="1">
      <alignment vertical="top"/>
    </xf>
    <xf numFmtId="49" fontId="23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11" fillId="0" borderId="45" xfId="58" applyFont="1" applyBorder="1" applyAlignment="1" quotePrefix="1">
      <alignment horizontal="center" vertical="center" wrapText="1"/>
      <protection/>
    </xf>
    <xf numFmtId="0" fontId="11" fillId="0" borderId="0" xfId="58" applyFont="1" applyBorder="1" applyAlignment="1">
      <alignment horizontal="left" wrapText="1"/>
      <protection/>
    </xf>
    <xf numFmtId="0" fontId="11" fillId="0" borderId="24" xfId="58" applyFont="1" applyBorder="1" applyAlignment="1">
      <alignment horizontal="right"/>
      <protection/>
    </xf>
    <xf numFmtId="0" fontId="4" fillId="0" borderId="52" xfId="0" applyFont="1" applyBorder="1" applyAlignment="1">
      <alignment/>
    </xf>
    <xf numFmtId="0" fontId="10" fillId="0" borderId="40" xfId="59" applyFont="1" applyBorder="1">
      <alignment/>
      <protection/>
    </xf>
    <xf numFmtId="168" fontId="4" fillId="0" borderId="53" xfId="40" applyNumberFormat="1" applyFont="1" applyBorder="1" applyAlignment="1">
      <alignment/>
    </xf>
    <xf numFmtId="168" fontId="4" fillId="0" borderId="54" xfId="40" applyNumberFormat="1" applyFont="1" applyBorder="1" applyAlignment="1">
      <alignment/>
    </xf>
    <xf numFmtId="168" fontId="4" fillId="0" borderId="54" xfId="58" applyNumberFormat="1" applyFont="1" applyBorder="1" applyAlignment="1">
      <alignment/>
      <protection/>
    </xf>
    <xf numFmtId="168" fontId="4" fillId="0" borderId="54" xfId="58" applyNumberFormat="1" applyFont="1" applyBorder="1" applyAlignment="1">
      <alignment horizontal="right"/>
      <protection/>
    </xf>
    <xf numFmtId="168" fontId="7" fillId="0" borderId="49" xfId="40" applyNumberFormat="1" applyFont="1" applyBorder="1" applyAlignment="1">
      <alignment/>
    </xf>
    <xf numFmtId="168" fontId="7" fillId="0" borderId="18" xfId="40" applyNumberFormat="1" applyFont="1" applyBorder="1" applyAlignment="1">
      <alignment/>
    </xf>
    <xf numFmtId="0" fontId="6" fillId="0" borderId="20" xfId="56" applyFont="1" applyBorder="1" applyAlignment="1">
      <alignment horizontal="right"/>
      <protection/>
    </xf>
    <xf numFmtId="0" fontId="6" fillId="0" borderId="20" xfId="56" applyFont="1" applyBorder="1" applyAlignment="1">
      <alignment/>
      <protection/>
    </xf>
    <xf numFmtId="0" fontId="6" fillId="0" borderId="21" xfId="57" applyFont="1" applyBorder="1" applyAlignment="1">
      <alignment vertical="center"/>
      <protection/>
    </xf>
    <xf numFmtId="168" fontId="6" fillId="0" borderId="21" xfId="57" applyNumberFormat="1" applyFont="1" applyBorder="1" applyAlignment="1">
      <alignment vertical="center"/>
      <protection/>
    </xf>
    <xf numFmtId="49" fontId="0" fillId="0" borderId="0" xfId="0" applyNumberFormat="1" applyAlignment="1">
      <alignment/>
    </xf>
    <xf numFmtId="49" fontId="27" fillId="0" borderId="0" xfId="0" applyNumberFormat="1" applyFont="1" applyAlignment="1">
      <alignment/>
    </xf>
    <xf numFmtId="0" fontId="15" fillId="0" borderId="0" xfId="58" applyFont="1">
      <alignment/>
      <protection/>
    </xf>
    <xf numFmtId="0" fontId="28" fillId="0" borderId="0" xfId="58" applyFont="1" applyBorder="1" applyAlignment="1">
      <alignment horizontal="left" wrapText="1"/>
      <protection/>
    </xf>
    <xf numFmtId="0" fontId="28" fillId="0" borderId="0" xfId="58" applyFont="1" applyBorder="1" applyAlignment="1" quotePrefix="1">
      <alignment horizontal="left" wrapText="1"/>
      <protection/>
    </xf>
    <xf numFmtId="0" fontId="12" fillId="0" borderId="0" xfId="58" applyFont="1" applyBorder="1" applyAlignment="1" quotePrefix="1">
      <alignment horizontal="left" wrapText="1"/>
      <protection/>
    </xf>
    <xf numFmtId="0" fontId="28" fillId="0" borderId="0" xfId="59" applyFont="1" applyBorder="1" quotePrefix="1">
      <alignment/>
      <protection/>
    </xf>
    <xf numFmtId="0" fontId="11" fillId="0" borderId="55" xfId="58" applyFont="1" applyBorder="1" applyAlignment="1" quotePrefix="1">
      <alignment horizontal="center" vertical="center" wrapText="1"/>
      <protection/>
    </xf>
    <xf numFmtId="0" fontId="10" fillId="0" borderId="51" xfId="58" applyFont="1" applyBorder="1">
      <alignment/>
      <protection/>
    </xf>
    <xf numFmtId="0" fontId="11" fillId="0" borderId="20" xfId="59" applyFont="1" applyBorder="1">
      <alignment/>
      <protection/>
    </xf>
    <xf numFmtId="49" fontId="11" fillId="0" borderId="0" xfId="58" applyNumberFormat="1" applyFont="1">
      <alignment/>
      <protection/>
    </xf>
    <xf numFmtId="49" fontId="10" fillId="0" borderId="0" xfId="58" applyNumberFormat="1" applyFont="1">
      <alignment/>
      <protection/>
    </xf>
    <xf numFmtId="49" fontId="14" fillId="0" borderId="0" xfId="58" applyNumberFormat="1" applyFont="1">
      <alignment/>
      <protection/>
    </xf>
    <xf numFmtId="49" fontId="12" fillId="0" borderId="0" xfId="59" applyNumberFormat="1" applyFont="1">
      <alignment/>
      <protection/>
    </xf>
    <xf numFmtId="4" fontId="11" fillId="0" borderId="50" xfId="59" applyNumberFormat="1" applyFont="1" applyBorder="1">
      <alignment/>
      <protection/>
    </xf>
    <xf numFmtId="4" fontId="11" fillId="0" borderId="22" xfId="59" applyNumberFormat="1" applyFont="1" applyBorder="1">
      <alignment/>
      <protection/>
    </xf>
    <xf numFmtId="4" fontId="11" fillId="0" borderId="56" xfId="59" applyNumberFormat="1" applyFont="1" applyBorder="1">
      <alignment/>
      <protection/>
    </xf>
    <xf numFmtId="4" fontId="11" fillId="0" borderId="20" xfId="59" applyNumberFormat="1" applyFont="1" applyBorder="1">
      <alignment/>
      <protection/>
    </xf>
    <xf numFmtId="4" fontId="11" fillId="0" borderId="34" xfId="59" applyNumberFormat="1" applyFont="1" applyBorder="1">
      <alignment/>
      <protection/>
    </xf>
    <xf numFmtId="4" fontId="10" fillId="0" borderId="21" xfId="59" applyNumberFormat="1" applyFont="1" applyBorder="1">
      <alignment/>
      <protection/>
    </xf>
    <xf numFmtId="3" fontId="12" fillId="0" borderId="0" xfId="0" applyNumberFormat="1" applyFont="1" applyAlignment="1">
      <alignment wrapText="1"/>
    </xf>
    <xf numFmtId="3" fontId="66" fillId="0" borderId="0" xfId="56" applyNumberFormat="1" applyFont="1" applyAlignment="1">
      <alignment horizontal="right"/>
      <protection/>
    </xf>
    <xf numFmtId="3" fontId="11" fillId="0" borderId="54" xfId="58" applyNumberFormat="1" applyFont="1" applyBorder="1" applyAlignment="1">
      <alignment horizontal="right"/>
      <protection/>
    </xf>
    <xf numFmtId="3" fontId="10" fillId="0" borderId="20" xfId="58" applyNumberFormat="1" applyFont="1" applyBorder="1" applyAlignment="1">
      <alignment horizontal="right"/>
      <protection/>
    </xf>
    <xf numFmtId="3" fontId="10" fillId="0" borderId="22" xfId="58" applyNumberFormat="1" applyFont="1" applyBorder="1" applyAlignment="1">
      <alignment horizontal="right"/>
      <protection/>
    </xf>
    <xf numFmtId="0" fontId="11" fillId="0" borderId="36" xfId="59" applyFont="1" applyBorder="1">
      <alignment/>
      <protection/>
    </xf>
    <xf numFmtId="0" fontId="11" fillId="0" borderId="35" xfId="59" applyFont="1" applyBorder="1">
      <alignment/>
      <protection/>
    </xf>
    <xf numFmtId="3" fontId="10" fillId="0" borderId="30" xfId="58" applyNumberFormat="1" applyFont="1" applyBorder="1" applyAlignment="1">
      <alignment horizontal="right"/>
      <protection/>
    </xf>
    <xf numFmtId="3" fontId="11" fillId="0" borderId="57" xfId="58" applyNumberFormat="1" applyFont="1" applyBorder="1" applyAlignment="1">
      <alignment horizontal="right"/>
      <protection/>
    </xf>
    <xf numFmtId="3" fontId="11" fillId="0" borderId="36" xfId="58" applyNumberFormat="1" applyFont="1" applyBorder="1" applyAlignment="1">
      <alignment horizontal="right"/>
      <protection/>
    </xf>
    <xf numFmtId="3" fontId="19" fillId="0" borderId="36" xfId="58" applyNumberFormat="1" applyFont="1" applyBorder="1">
      <alignment/>
      <protection/>
    </xf>
    <xf numFmtId="3" fontId="11" fillId="0" borderId="36" xfId="58" applyNumberFormat="1" applyFont="1" applyBorder="1">
      <alignment/>
      <protection/>
    </xf>
    <xf numFmtId="3" fontId="19" fillId="0" borderId="56" xfId="58" applyNumberFormat="1" applyFont="1" applyBorder="1">
      <alignment/>
      <protection/>
    </xf>
    <xf numFmtId="3" fontId="11" fillId="0" borderId="56" xfId="58" applyNumberFormat="1" applyFont="1" applyBorder="1">
      <alignment/>
      <protection/>
    </xf>
    <xf numFmtId="3" fontId="11" fillId="0" borderId="58" xfId="58" applyNumberFormat="1" applyFont="1" applyBorder="1">
      <alignment/>
      <protection/>
    </xf>
    <xf numFmtId="4" fontId="11" fillId="0" borderId="36" xfId="59" applyNumberFormat="1" applyFont="1" applyBorder="1">
      <alignment/>
      <protection/>
    </xf>
    <xf numFmtId="0" fontId="4" fillId="0" borderId="21" xfId="59" applyFont="1" applyBorder="1">
      <alignment/>
      <protection/>
    </xf>
    <xf numFmtId="0" fontId="7" fillId="0" borderId="20" xfId="59" applyFont="1" applyBorder="1">
      <alignment/>
      <protection/>
    </xf>
    <xf numFmtId="0" fontId="7" fillId="0" borderId="21" xfId="59" applyFont="1" applyBorder="1">
      <alignment/>
      <protection/>
    </xf>
    <xf numFmtId="0" fontId="10" fillId="0" borderId="21" xfId="59" applyFont="1" applyBorder="1">
      <alignment/>
      <protection/>
    </xf>
    <xf numFmtId="0" fontId="6" fillId="0" borderId="21" xfId="59" applyFont="1" applyBorder="1">
      <alignment/>
      <protection/>
    </xf>
    <xf numFmtId="0" fontId="10" fillId="0" borderId="0" xfId="58" applyFont="1" applyBorder="1">
      <alignment/>
      <protection/>
    </xf>
    <xf numFmtId="3" fontId="10" fillId="0" borderId="0" xfId="58" applyNumberFormat="1" applyFont="1" applyBorder="1" applyAlignment="1">
      <alignment horizontal="right"/>
      <protection/>
    </xf>
    <xf numFmtId="4" fontId="10" fillId="0" borderId="0" xfId="59" applyNumberFormat="1" applyFont="1" applyBorder="1">
      <alignment/>
      <protection/>
    </xf>
    <xf numFmtId="3" fontId="10" fillId="0" borderId="21" xfId="59" applyNumberFormat="1" applyFont="1" applyBorder="1">
      <alignment/>
      <protection/>
    </xf>
    <xf numFmtId="3" fontId="4" fillId="0" borderId="0" xfId="59" applyNumberFormat="1" applyFont="1">
      <alignment/>
      <protection/>
    </xf>
    <xf numFmtId="0" fontId="4" fillId="0" borderId="59" xfId="0" applyFont="1" applyBorder="1" applyAlignment="1">
      <alignment/>
    </xf>
    <xf numFmtId="0" fontId="11" fillId="0" borderId="60" xfId="59" applyFont="1" applyBorder="1">
      <alignment/>
      <protection/>
    </xf>
    <xf numFmtId="168" fontId="7" fillId="0" borderId="59" xfId="40" applyNumberFormat="1" applyFont="1" applyBorder="1" applyAlignment="1">
      <alignment/>
    </xf>
    <xf numFmtId="168" fontId="4" fillId="0" borderId="57" xfId="40" applyNumberFormat="1" applyFont="1" applyBorder="1" applyAlignment="1">
      <alignment/>
    </xf>
    <xf numFmtId="168" fontId="4" fillId="0" borderId="36" xfId="40" applyNumberFormat="1" applyFont="1" applyBorder="1" applyAlignment="1">
      <alignment/>
    </xf>
    <xf numFmtId="168" fontId="4" fillId="0" borderId="58" xfId="40" applyNumberFormat="1" applyFont="1" applyBorder="1" applyAlignment="1">
      <alignment/>
    </xf>
    <xf numFmtId="0" fontId="10" fillId="0" borderId="21" xfId="0" applyFont="1" applyBorder="1" applyAlignment="1">
      <alignment/>
    </xf>
    <xf numFmtId="168" fontId="10" fillId="0" borderId="21" xfId="0" applyNumberFormat="1" applyFont="1" applyBorder="1" applyAlignment="1">
      <alignment/>
    </xf>
    <xf numFmtId="168" fontId="10" fillId="0" borderId="21" xfId="40" applyNumberFormat="1" applyFont="1" applyBorder="1" applyAlignment="1">
      <alignment/>
    </xf>
    <xf numFmtId="168" fontId="10" fillId="0" borderId="61" xfId="40" applyNumberFormat="1" applyFont="1" applyBorder="1" applyAlignment="1">
      <alignment/>
    </xf>
    <xf numFmtId="0" fontId="11" fillId="0" borderId="0" xfId="0" applyFont="1" applyAlignment="1">
      <alignment horizontal="center" vertical="center"/>
    </xf>
    <xf numFmtId="49" fontId="0" fillId="0" borderId="0" xfId="0" applyNumberFormat="1" applyAlignment="1" quotePrefix="1">
      <alignment/>
    </xf>
    <xf numFmtId="0" fontId="0" fillId="0" borderId="0" xfId="0" applyAlignment="1">
      <alignment horizontal="right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0" fontId="16" fillId="0" borderId="0" xfId="0" applyFont="1" applyAlignment="1">
      <alignment/>
    </xf>
    <xf numFmtId="0" fontId="10" fillId="0" borderId="18" xfId="0" applyFont="1" applyBorder="1" applyAlignment="1">
      <alignment/>
    </xf>
    <xf numFmtId="0" fontId="10" fillId="0" borderId="61" xfId="0" applyFont="1" applyBorder="1" applyAlignment="1">
      <alignment/>
    </xf>
    <xf numFmtId="168" fontId="7" fillId="0" borderId="21" xfId="0" applyNumberFormat="1" applyFont="1" applyBorder="1" applyAlignment="1">
      <alignment/>
    </xf>
    <xf numFmtId="0" fontId="0" fillId="0" borderId="0" xfId="0" applyBorder="1" applyAlignment="1">
      <alignment horizontal="center" vertical="center" textRotation="45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" fontId="0" fillId="0" borderId="0" xfId="0" applyNumberFormat="1" applyAlignment="1" quotePrefix="1">
      <alignment/>
    </xf>
    <xf numFmtId="3" fontId="29" fillId="0" borderId="0" xfId="0" applyNumberFormat="1" applyFont="1" applyAlignment="1">
      <alignment/>
    </xf>
    <xf numFmtId="3" fontId="12" fillId="0" borderId="43" xfId="0" applyNumberFormat="1" applyFont="1" applyBorder="1" applyAlignment="1">
      <alignment/>
    </xf>
    <xf numFmtId="3" fontId="12" fillId="32" borderId="0" xfId="56" applyNumberFormat="1" applyFont="1" applyFill="1" applyAlignment="1">
      <alignment horizontal="right"/>
      <protection/>
    </xf>
    <xf numFmtId="3" fontId="6" fillId="0" borderId="0" xfId="40" applyNumberFormat="1" applyFont="1" applyBorder="1" applyAlignment="1">
      <alignment horizontal="right"/>
    </xf>
    <xf numFmtId="0" fontId="7" fillId="0" borderId="21" xfId="0" applyFont="1" applyBorder="1" applyAlignment="1">
      <alignment/>
    </xf>
    <xf numFmtId="168" fontId="12" fillId="0" borderId="20" xfId="40" applyNumberFormat="1" applyFont="1" applyBorder="1" applyAlignment="1">
      <alignment/>
    </xf>
    <xf numFmtId="4" fontId="10" fillId="0" borderId="21" xfId="59" applyNumberFormat="1" applyFont="1" applyBorder="1">
      <alignment/>
      <protection/>
    </xf>
    <xf numFmtId="0" fontId="0" fillId="0" borderId="0" xfId="0" applyAlignment="1">
      <alignment horizontal="left"/>
    </xf>
    <xf numFmtId="0" fontId="12" fillId="0" borderId="0" xfId="58" applyFont="1" applyBorder="1" applyAlignment="1">
      <alignment horizontal="center"/>
      <protection/>
    </xf>
    <xf numFmtId="16" fontId="12" fillId="0" borderId="0" xfId="59" applyNumberFormat="1" applyFont="1" quotePrefix="1">
      <alignment/>
      <protection/>
    </xf>
    <xf numFmtId="0" fontId="11" fillId="0" borderId="62" xfId="58" applyFont="1" applyBorder="1" applyAlignment="1" quotePrefix="1">
      <alignment horizontal="center" vertical="center" wrapText="1"/>
      <protection/>
    </xf>
    <xf numFmtId="0" fontId="11" fillId="0" borderId="62" xfId="58" applyFont="1" applyBorder="1" applyAlignment="1">
      <alignment horizontal="left" wrapText="1"/>
      <protection/>
    </xf>
    <xf numFmtId="0" fontId="4" fillId="0" borderId="62" xfId="0" applyFont="1" applyBorder="1" applyAlignment="1">
      <alignment/>
    </xf>
    <xf numFmtId="0" fontId="4" fillId="0" borderId="63" xfId="0" applyFont="1" applyBorder="1" applyAlignment="1">
      <alignment/>
    </xf>
    <xf numFmtId="168" fontId="4" fillId="0" borderId="62" xfId="40" applyNumberFormat="1" applyFont="1" applyBorder="1" applyAlignment="1">
      <alignment/>
    </xf>
    <xf numFmtId="0" fontId="4" fillId="0" borderId="64" xfId="0" applyFont="1" applyBorder="1" applyAlignment="1">
      <alignment/>
    </xf>
    <xf numFmtId="0" fontId="7" fillId="0" borderId="36" xfId="59" applyFont="1" applyBorder="1">
      <alignment/>
      <protection/>
    </xf>
    <xf numFmtId="168" fontId="4" fillId="0" borderId="65" xfId="40" applyNumberFormat="1" applyFont="1" applyBorder="1" applyAlignment="1">
      <alignment/>
    </xf>
    <xf numFmtId="168" fontId="4" fillId="0" borderId="63" xfId="40" applyNumberFormat="1" applyFont="1" applyBorder="1" applyAlignment="1">
      <alignment/>
    </xf>
    <xf numFmtId="0" fontId="11" fillId="0" borderId="66" xfId="58" applyFont="1" applyBorder="1" applyAlignment="1">
      <alignment horizontal="left" wrapText="1"/>
      <protection/>
    </xf>
    <xf numFmtId="168" fontId="7" fillId="0" borderId="64" xfId="40" applyNumberFormat="1" applyFont="1" applyBorder="1" applyAlignment="1">
      <alignment/>
    </xf>
    <xf numFmtId="0" fontId="0" fillId="0" borderId="0" xfId="0" applyAlignment="1">
      <alignment/>
    </xf>
    <xf numFmtId="3" fontId="15" fillId="0" borderId="0" xfId="56" applyNumberFormat="1" applyFont="1" applyAlignment="1">
      <alignment horizontal="right"/>
      <protection/>
    </xf>
    <xf numFmtId="0" fontId="6" fillId="0" borderId="0" xfId="56" applyFont="1" applyBorder="1" applyAlignment="1">
      <alignment horizontal="right"/>
      <protection/>
    </xf>
    <xf numFmtId="0" fontId="6" fillId="0" borderId="0" xfId="56" applyFont="1" applyBorder="1" applyAlignment="1">
      <alignment/>
      <protection/>
    </xf>
    <xf numFmtId="168" fontId="6" fillId="0" borderId="0" xfId="40" applyNumberFormat="1" applyFont="1" applyBorder="1" applyAlignment="1">
      <alignment/>
    </xf>
    <xf numFmtId="0" fontId="19" fillId="0" borderId="0" xfId="0" applyFont="1" applyAlignment="1">
      <alignment horizontal="right"/>
    </xf>
    <xf numFmtId="168" fontId="4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 quotePrefix="1">
      <alignment horizontal="left" wrapText="1"/>
    </xf>
    <xf numFmtId="0" fontId="1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2" fillId="0" borderId="0" xfId="56" applyFont="1" applyBorder="1" applyAlignment="1">
      <alignment horizontal="left" vertical="center"/>
      <protection/>
    </xf>
    <xf numFmtId="0" fontId="6" fillId="0" borderId="0" xfId="0" applyFont="1" applyAlignment="1">
      <alignment horizontal="left"/>
    </xf>
    <xf numFmtId="0" fontId="12" fillId="0" borderId="0" xfId="56" applyFont="1" applyAlignment="1">
      <alignment horizontal="left" wrapText="1"/>
      <protection/>
    </xf>
    <xf numFmtId="0" fontId="6" fillId="0" borderId="0" xfId="56" applyFont="1" applyAlignment="1">
      <alignment horizontal="center"/>
      <protection/>
    </xf>
    <xf numFmtId="0" fontId="1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56" applyFont="1" applyAlignment="1">
      <alignment horizontal="center"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44" xfId="56" applyFont="1" applyBorder="1" applyAlignment="1">
      <alignment horizontal="center" vertical="center"/>
      <protection/>
    </xf>
    <xf numFmtId="0" fontId="6" fillId="0" borderId="48" xfId="56" applyFont="1" applyBorder="1" applyAlignment="1">
      <alignment horizontal="center" vertical="center"/>
      <protection/>
    </xf>
    <xf numFmtId="0" fontId="6" fillId="0" borderId="12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67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6" fillId="0" borderId="16" xfId="56" applyFont="1" applyBorder="1" applyAlignment="1">
      <alignment horizontal="center" vertical="center"/>
      <protection/>
    </xf>
    <xf numFmtId="0" fontId="6" fillId="0" borderId="68" xfId="56" applyFont="1" applyBorder="1" applyAlignment="1">
      <alignment horizontal="center" vertical="center"/>
      <protection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7" fillId="0" borderId="0" xfId="56" applyFont="1" applyAlignment="1">
      <alignment horizontal="center"/>
      <protection/>
    </xf>
    <xf numFmtId="0" fontId="10" fillId="0" borderId="0" xfId="56" applyFont="1" applyAlignment="1">
      <alignment horizontal="center"/>
      <protection/>
    </xf>
    <xf numFmtId="0" fontId="10" fillId="0" borderId="0" xfId="56" applyFont="1" applyAlignment="1">
      <alignment horizontal="center" wrapText="1"/>
      <protection/>
    </xf>
    <xf numFmtId="0" fontId="4" fillId="0" borderId="11" xfId="56" applyFont="1" applyBorder="1" applyAlignment="1">
      <alignment horizontal="center" vertical="center" textRotation="255"/>
      <protection/>
    </xf>
    <xf numFmtId="0" fontId="4" fillId="0" borderId="13" xfId="56" applyFont="1" applyBorder="1" applyAlignment="1">
      <alignment horizontal="center" vertical="center" textRotation="255"/>
      <protection/>
    </xf>
    <xf numFmtId="0" fontId="4" fillId="0" borderId="15" xfId="56" applyFont="1" applyBorder="1" applyAlignment="1">
      <alignment horizontal="center" vertical="center" textRotation="255"/>
      <protection/>
    </xf>
    <xf numFmtId="0" fontId="11" fillId="0" borderId="48" xfId="58" applyFont="1" applyBorder="1" applyAlignment="1">
      <alignment horizontal="center" vertical="center" wrapText="1"/>
      <protection/>
    </xf>
    <xf numFmtId="0" fontId="11" fillId="0" borderId="67" xfId="58" applyFont="1" applyBorder="1" applyAlignment="1">
      <alignment horizontal="center" vertical="center" wrapText="1"/>
      <protection/>
    </xf>
    <xf numFmtId="0" fontId="11" fillId="0" borderId="68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/>
      <protection/>
    </xf>
    <xf numFmtId="0" fontId="11" fillId="0" borderId="15" xfId="58" applyFont="1" applyBorder="1" applyAlignment="1">
      <alignment horizontal="center" vertical="center"/>
      <protection/>
    </xf>
    <xf numFmtId="0" fontId="20" fillId="0" borderId="11" xfId="56" applyFont="1" applyBorder="1" applyAlignment="1">
      <alignment horizontal="center" vertical="center" wrapText="1"/>
      <protection/>
    </xf>
    <xf numFmtId="0" fontId="20" fillId="0" borderId="13" xfId="56" applyFont="1" applyBorder="1" applyAlignment="1">
      <alignment horizontal="center" vertical="center" wrapText="1"/>
      <protection/>
    </xf>
    <xf numFmtId="0" fontId="20" fillId="0" borderId="15" xfId="56" applyFont="1" applyBorder="1" applyAlignment="1">
      <alignment horizontal="center" vertical="center" wrapText="1"/>
      <protection/>
    </xf>
    <xf numFmtId="168" fontId="20" fillId="0" borderId="51" xfId="40" applyNumberFormat="1" applyFont="1" applyBorder="1" applyAlignment="1">
      <alignment horizontal="center" vertical="center"/>
    </xf>
    <xf numFmtId="168" fontId="20" fillId="0" borderId="61" xfId="40" applyNumberFormat="1" applyFont="1" applyBorder="1" applyAlignment="1">
      <alignment horizontal="center" vertical="center"/>
    </xf>
    <xf numFmtId="168" fontId="20" fillId="0" borderId="10" xfId="40" applyNumberFormat="1" applyFont="1" applyBorder="1" applyAlignment="1">
      <alignment horizontal="center" vertical="center"/>
    </xf>
    <xf numFmtId="168" fontId="20" fillId="0" borderId="44" xfId="40" applyNumberFormat="1" applyFont="1" applyBorder="1" applyAlignment="1">
      <alignment horizontal="center" vertical="center"/>
    </xf>
    <xf numFmtId="168" fontId="20" fillId="0" borderId="48" xfId="40" applyNumberFormat="1" applyFont="1" applyBorder="1" applyAlignment="1">
      <alignment horizontal="center" vertical="center"/>
    </xf>
    <xf numFmtId="168" fontId="20" fillId="0" borderId="14" xfId="40" applyNumberFormat="1" applyFont="1" applyBorder="1" applyAlignment="1">
      <alignment horizontal="center" vertical="center"/>
    </xf>
    <xf numFmtId="168" fontId="20" fillId="0" borderId="16" xfId="40" applyNumberFormat="1" applyFont="1" applyBorder="1" applyAlignment="1">
      <alignment horizontal="center" vertical="center"/>
    </xf>
    <xf numFmtId="168" fontId="20" fillId="0" borderId="68" xfId="40" applyNumberFormat="1" applyFont="1" applyBorder="1" applyAlignment="1">
      <alignment horizontal="center" vertical="center"/>
    </xf>
    <xf numFmtId="0" fontId="11" fillId="0" borderId="11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/>
      <protection/>
    </xf>
    <xf numFmtId="0" fontId="11" fillId="0" borderId="15" xfId="58" applyFont="1" applyBorder="1" applyAlignment="1">
      <alignment horizontal="center" vertical="center"/>
      <protection/>
    </xf>
    <xf numFmtId="0" fontId="11" fillId="0" borderId="11" xfId="56" applyFont="1" applyBorder="1" applyAlignment="1">
      <alignment horizontal="center" vertical="center" wrapText="1"/>
      <protection/>
    </xf>
    <xf numFmtId="0" fontId="11" fillId="0" borderId="13" xfId="56" applyFont="1" applyBorder="1" applyAlignment="1">
      <alignment horizontal="center" vertical="center" wrapText="1"/>
      <protection/>
    </xf>
    <xf numFmtId="0" fontId="11" fillId="0" borderId="15" xfId="56" applyFont="1" applyBorder="1" applyAlignment="1">
      <alignment horizontal="center" vertical="center" wrapText="1"/>
      <protection/>
    </xf>
    <xf numFmtId="0" fontId="11" fillId="0" borderId="48" xfId="58" applyFont="1" applyBorder="1" applyAlignment="1">
      <alignment horizontal="center" vertical="center" wrapText="1"/>
      <protection/>
    </xf>
    <xf numFmtId="0" fontId="11" fillId="0" borderId="67" xfId="58" applyFont="1" applyBorder="1" applyAlignment="1">
      <alignment horizontal="center" vertical="center" wrapText="1"/>
      <protection/>
    </xf>
    <xf numFmtId="0" fontId="11" fillId="0" borderId="68" xfId="58" applyFont="1" applyBorder="1" applyAlignment="1">
      <alignment horizontal="center" vertical="center" wrapText="1"/>
      <protection/>
    </xf>
    <xf numFmtId="0" fontId="11" fillId="0" borderId="36" xfId="56" applyFont="1" applyBorder="1" applyAlignment="1">
      <alignment horizontal="center" vertical="center" textRotation="180"/>
      <protection/>
    </xf>
    <xf numFmtId="0" fontId="11" fillId="0" borderId="30" xfId="56" applyFont="1" applyBorder="1" applyAlignment="1">
      <alignment horizontal="center" vertical="center" textRotation="180"/>
      <protection/>
    </xf>
    <xf numFmtId="0" fontId="11" fillId="0" borderId="22" xfId="56" applyFont="1" applyBorder="1" applyAlignment="1">
      <alignment horizontal="center" vertical="center" textRotation="180"/>
      <protection/>
    </xf>
    <xf numFmtId="0" fontId="7" fillId="0" borderId="0" xfId="59" applyFont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0" fontId="11" fillId="0" borderId="16" xfId="59" applyFont="1" applyBorder="1" applyAlignment="1">
      <alignment horizontal="right"/>
      <protection/>
    </xf>
    <xf numFmtId="0" fontId="7" fillId="0" borderId="40" xfId="56" applyFont="1" applyBorder="1" applyAlignment="1">
      <alignment horizontal="center"/>
      <protection/>
    </xf>
    <xf numFmtId="0" fontId="7" fillId="0" borderId="61" xfId="56" applyFont="1" applyBorder="1" applyAlignment="1">
      <alignment horizontal="center"/>
      <protection/>
    </xf>
    <xf numFmtId="0" fontId="11" fillId="0" borderId="40" xfId="56" applyFont="1" applyBorder="1" applyAlignment="1">
      <alignment horizontal="center"/>
      <protection/>
    </xf>
    <xf numFmtId="0" fontId="11" fillId="0" borderId="51" xfId="56" applyFont="1" applyBorder="1" applyAlignment="1">
      <alignment horizontal="center"/>
      <protection/>
    </xf>
    <xf numFmtId="0" fontId="11" fillId="0" borderId="61" xfId="56" applyFont="1" applyBorder="1" applyAlignment="1">
      <alignment horizontal="center"/>
      <protection/>
    </xf>
    <xf numFmtId="44" fontId="11" fillId="0" borderId="40" xfId="61" applyFont="1" applyBorder="1" applyAlignment="1">
      <alignment horizontal="center" vertical="center"/>
    </xf>
    <xf numFmtId="44" fontId="11" fillId="0" borderId="51" xfId="61" applyFont="1" applyBorder="1" applyAlignment="1">
      <alignment horizontal="center" vertical="center"/>
    </xf>
    <xf numFmtId="44" fontId="11" fillId="0" borderId="61" xfId="61" applyFont="1" applyBorder="1" applyAlignment="1">
      <alignment horizontal="center" vertical="center"/>
    </xf>
    <xf numFmtId="0" fontId="11" fillId="0" borderId="40" xfId="56" applyFont="1" applyBorder="1" applyAlignment="1">
      <alignment horizontal="center" vertical="center" wrapText="1"/>
      <protection/>
    </xf>
    <xf numFmtId="0" fontId="11" fillId="0" borderId="51" xfId="56" applyFont="1" applyBorder="1" applyAlignment="1">
      <alignment horizontal="center" vertical="center" wrapText="1"/>
      <protection/>
    </xf>
    <xf numFmtId="0" fontId="11" fillId="0" borderId="61" xfId="56" applyFont="1" applyBorder="1" applyAlignment="1">
      <alignment horizontal="center" vertical="center" wrapText="1"/>
      <protection/>
    </xf>
    <xf numFmtId="0" fontId="24" fillId="0" borderId="11" xfId="56" applyFont="1" applyBorder="1" applyAlignment="1">
      <alignment horizontal="center" vertical="center" wrapText="1"/>
      <protection/>
    </xf>
    <xf numFmtId="0" fontId="24" fillId="0" borderId="13" xfId="56" applyFont="1" applyBorder="1" applyAlignment="1">
      <alignment horizontal="center" vertical="center" wrapText="1"/>
      <protection/>
    </xf>
    <xf numFmtId="0" fontId="24" fillId="0" borderId="15" xfId="56" applyFont="1" applyBorder="1" applyAlignment="1">
      <alignment horizontal="center" vertical="center" wrapText="1"/>
      <protection/>
    </xf>
    <xf numFmtId="0" fontId="7" fillId="0" borderId="14" xfId="56" applyFont="1" applyBorder="1" applyAlignment="1">
      <alignment horizontal="center"/>
      <protection/>
    </xf>
    <xf numFmtId="0" fontId="7" fillId="0" borderId="68" xfId="56" applyFont="1" applyBorder="1" applyAlignment="1">
      <alignment horizontal="center"/>
      <protection/>
    </xf>
    <xf numFmtId="0" fontId="11" fillId="0" borderId="11" xfId="56" applyFont="1" applyBorder="1" applyAlignment="1">
      <alignment horizontal="center" vertical="center"/>
      <protection/>
    </xf>
    <xf numFmtId="0" fontId="11" fillId="0" borderId="13" xfId="56" applyFont="1" applyBorder="1" applyAlignment="1">
      <alignment horizontal="center" vertical="center"/>
      <protection/>
    </xf>
    <xf numFmtId="0" fontId="11" fillId="0" borderId="15" xfId="56" applyFont="1" applyBorder="1" applyAlignment="1">
      <alignment horizontal="center" vertical="center"/>
      <protection/>
    </xf>
    <xf numFmtId="0" fontId="11" fillId="0" borderId="40" xfId="56" applyFont="1" applyBorder="1" applyAlignment="1">
      <alignment horizontal="center" vertical="center"/>
      <protection/>
    </xf>
    <xf numFmtId="0" fontId="11" fillId="0" borderId="51" xfId="56" applyFont="1" applyBorder="1" applyAlignment="1">
      <alignment horizontal="center" vertical="center"/>
      <protection/>
    </xf>
    <xf numFmtId="0" fontId="11" fillId="0" borderId="61" xfId="56" applyFont="1" applyBorder="1" applyAlignment="1">
      <alignment horizontal="center" vertical="center"/>
      <protection/>
    </xf>
    <xf numFmtId="0" fontId="7" fillId="0" borderId="12" xfId="56" applyFont="1" applyBorder="1" applyAlignment="1">
      <alignment horizontal="center"/>
      <protection/>
    </xf>
    <xf numFmtId="0" fontId="7" fillId="0" borderId="67" xfId="56" applyFont="1" applyBorder="1" applyAlignment="1">
      <alignment horizontal="center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0" borderId="11" xfId="56" applyFont="1" applyBorder="1" applyAlignment="1">
      <alignment horizontal="center" textRotation="255"/>
      <protection/>
    </xf>
    <xf numFmtId="0" fontId="23" fillId="0" borderId="13" xfId="56" applyFont="1" applyBorder="1" applyAlignment="1">
      <alignment horizontal="center" textRotation="255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168" fontId="20" fillId="0" borderId="12" xfId="40" applyNumberFormat="1" applyFont="1" applyBorder="1" applyAlignment="1">
      <alignment horizontal="center" vertical="center"/>
    </xf>
    <xf numFmtId="168" fontId="20" fillId="0" borderId="0" xfId="40" applyNumberFormat="1" applyFont="1" applyBorder="1" applyAlignment="1">
      <alignment horizontal="center" vertical="center"/>
    </xf>
    <xf numFmtId="168" fontId="20" fillId="0" borderId="67" xfId="40" applyNumberFormat="1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2" fillId="0" borderId="0" xfId="58" applyFont="1" applyAlignment="1">
      <alignment wrapText="1"/>
      <protection/>
    </xf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  <xf numFmtId="0" fontId="11" fillId="0" borderId="11" xfId="58" applyFont="1" applyBorder="1" applyAlignment="1">
      <alignment horizontal="center" vertical="center" textRotation="180"/>
      <protection/>
    </xf>
    <xf numFmtId="0" fontId="11" fillId="0" borderId="13" xfId="58" applyFont="1" applyBorder="1" applyAlignment="1">
      <alignment horizontal="center" vertical="center" textRotation="180"/>
      <protection/>
    </xf>
    <xf numFmtId="0" fontId="11" fillId="0" borderId="15" xfId="58" applyFont="1" applyBorder="1" applyAlignment="1">
      <alignment horizontal="center" vertical="center" textRotation="180"/>
      <protection/>
    </xf>
    <xf numFmtId="0" fontId="7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18" fillId="0" borderId="0" xfId="0" applyFont="1" applyAlignment="1">
      <alignment horizontal="center"/>
    </xf>
    <xf numFmtId="0" fontId="12" fillId="0" borderId="11" xfId="59" applyFont="1" applyBorder="1" applyAlignment="1">
      <alignment horizontal="center" textRotation="180"/>
      <protection/>
    </xf>
    <xf numFmtId="0" fontId="12" fillId="0" borderId="13" xfId="59" applyFont="1" applyBorder="1" applyAlignment="1">
      <alignment horizontal="center" textRotation="180"/>
      <protection/>
    </xf>
    <xf numFmtId="0" fontId="12" fillId="0" borderId="15" xfId="59" applyFont="1" applyBorder="1" applyAlignment="1">
      <alignment horizontal="center" textRotation="180"/>
      <protection/>
    </xf>
    <xf numFmtId="0" fontId="12" fillId="0" borderId="0" xfId="0" applyFont="1" applyAlignment="1">
      <alignment horizontal="right"/>
    </xf>
    <xf numFmtId="0" fontId="0" fillId="0" borderId="11" xfId="0" applyBorder="1" applyAlignment="1">
      <alignment horizontal="center" vertical="center" textRotation="45"/>
    </xf>
    <xf numFmtId="0" fontId="0" fillId="0" borderId="13" xfId="0" applyBorder="1" applyAlignment="1">
      <alignment horizontal="center" vertical="center" textRotation="45"/>
    </xf>
    <xf numFmtId="0" fontId="0" fillId="0" borderId="15" xfId="0" applyBorder="1" applyAlignment="1">
      <alignment horizontal="center" vertical="center" textRotation="45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56" applyFont="1" applyBorder="1" applyAlignment="1">
      <alignment horizontal="center"/>
      <protection/>
    </xf>
    <xf numFmtId="0" fontId="5" fillId="0" borderId="0" xfId="56" applyFont="1" applyBorder="1" applyAlignment="1">
      <alignment horizontal="center"/>
      <protection/>
    </xf>
    <xf numFmtId="0" fontId="10" fillId="0" borderId="0" xfId="56" applyFont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0" fontId="5" fillId="0" borderId="0" xfId="56" applyFont="1" applyBorder="1" applyAlignment="1">
      <alignment horizontal="center"/>
      <protection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16" fillId="0" borderId="21" xfId="0" applyFont="1" applyBorder="1" applyAlignment="1">
      <alignment wrapText="1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TGV99" xfId="56"/>
    <cellStyle name="Normál_mérleg" xfId="57"/>
    <cellStyle name="Normál_PHKV99" xfId="58"/>
    <cellStyle name="Normál_SIKONC99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8:U63"/>
  <sheetViews>
    <sheetView zoomScalePageLayoutView="0" workbookViewId="0" topLeftCell="C28">
      <selection activeCell="K51" sqref="K51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2" width="9.125" style="1" customWidth="1"/>
    <col min="13" max="13" width="9.875" style="1" bestFit="1" customWidth="1"/>
    <col min="14" max="16384" width="9.125" style="1" customWidth="1"/>
  </cols>
  <sheetData>
    <row r="38" spans="2:10" ht="27.75">
      <c r="B38" s="2"/>
      <c r="C38" s="3"/>
      <c r="D38" s="3"/>
      <c r="E38" s="3"/>
      <c r="F38" s="3"/>
      <c r="G38" s="3"/>
      <c r="H38" s="3"/>
      <c r="I38" s="3"/>
      <c r="J38" s="2"/>
    </row>
    <row r="39" spans="9:21" ht="27.75">
      <c r="I39" s="53"/>
      <c r="J39" s="2"/>
      <c r="L39" s="407" t="s">
        <v>4</v>
      </c>
      <c r="M39" s="407"/>
      <c r="N39" s="407"/>
      <c r="O39" s="407"/>
      <c r="P39" s="407"/>
      <c r="Q39" s="407"/>
      <c r="R39" s="407"/>
      <c r="S39" s="407"/>
      <c r="T39" s="407"/>
      <c r="U39" s="53"/>
    </row>
    <row r="40" spans="9:21" ht="2.25" customHeight="1">
      <c r="I40" s="3"/>
      <c r="J40" s="2"/>
      <c r="O40" s="2"/>
      <c r="P40" s="3"/>
      <c r="Q40" s="3"/>
      <c r="R40" s="3"/>
      <c r="S40" s="3"/>
      <c r="T40" s="3"/>
      <c r="U40" s="3"/>
    </row>
    <row r="41" spans="9:21" ht="27.75">
      <c r="I41" s="46"/>
      <c r="J41" s="2"/>
      <c r="L41" s="407" t="s">
        <v>433</v>
      </c>
      <c r="M41" s="407"/>
      <c r="N41" s="407"/>
      <c r="O41" s="407"/>
      <c r="P41" s="407"/>
      <c r="Q41" s="407"/>
      <c r="R41" s="407"/>
      <c r="S41" s="407"/>
      <c r="T41" s="407"/>
      <c r="U41" s="53"/>
    </row>
    <row r="42" spans="9:21" ht="12.75" customHeight="1" hidden="1">
      <c r="I42" s="3"/>
      <c r="J42" s="2"/>
      <c r="O42" s="2"/>
      <c r="P42" s="3"/>
      <c r="Q42" s="3"/>
      <c r="R42" s="3"/>
      <c r="S42" s="3"/>
      <c r="T42" s="3"/>
      <c r="U42" s="3"/>
    </row>
    <row r="43" spans="9:21" ht="27.75">
      <c r="I43" s="46"/>
      <c r="J43" s="2"/>
      <c r="L43" s="407" t="s">
        <v>346</v>
      </c>
      <c r="M43" s="407"/>
      <c r="N43" s="407"/>
      <c r="O43" s="407"/>
      <c r="P43" s="407"/>
      <c r="Q43" s="407"/>
      <c r="R43" s="407"/>
      <c r="S43" s="407"/>
      <c r="T43" s="407"/>
      <c r="U43" s="53"/>
    </row>
    <row r="44" spans="2:10" ht="27.75">
      <c r="B44" s="2"/>
      <c r="C44" s="3"/>
      <c r="D44" s="3"/>
      <c r="E44" s="3"/>
      <c r="F44" s="3"/>
      <c r="G44" s="3"/>
      <c r="H44" s="3"/>
      <c r="I44" s="3"/>
      <c r="J44" s="2"/>
    </row>
    <row r="45" spans="2:20" ht="27.75">
      <c r="B45" s="2"/>
      <c r="C45" s="3"/>
      <c r="D45" s="3"/>
      <c r="E45" s="3"/>
      <c r="F45" s="3"/>
      <c r="G45" s="3"/>
      <c r="H45" s="3"/>
      <c r="I45" s="3"/>
      <c r="J45" s="2"/>
      <c r="L45" s="408" t="s">
        <v>501</v>
      </c>
      <c r="M45" s="408"/>
      <c r="N45" s="408"/>
      <c r="O45" s="408"/>
      <c r="P45" s="408"/>
      <c r="Q45" s="408"/>
      <c r="R45" s="408"/>
      <c r="S45" s="408"/>
      <c r="T45" s="408"/>
    </row>
    <row r="46" spans="2:18" ht="27.75">
      <c r="B46" s="2"/>
      <c r="C46" s="2"/>
      <c r="D46" s="2"/>
      <c r="E46" s="2"/>
      <c r="F46" s="2"/>
      <c r="G46" s="2"/>
      <c r="H46" s="2"/>
      <c r="I46" s="2"/>
      <c r="J46" s="2"/>
      <c r="L46" s="54"/>
      <c r="M46" s="232"/>
      <c r="N46" s="409"/>
      <c r="O46" s="410"/>
      <c r="P46" s="410"/>
      <c r="Q46" s="410"/>
      <c r="R46" s="410"/>
    </row>
    <row r="47" spans="1:10" ht="27.75">
      <c r="A47" s="54"/>
      <c r="B47" s="55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/>
  <mergeCells count="5">
    <mergeCell ref="L39:T39"/>
    <mergeCell ref="L41:T41"/>
    <mergeCell ref="L43:T43"/>
    <mergeCell ref="L45:T45"/>
    <mergeCell ref="N46:R4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L36"/>
  <sheetViews>
    <sheetView view="pageBreakPreview" zoomScale="60" zoomScalePageLayoutView="0" workbookViewId="0" topLeftCell="A1">
      <selection activeCell="B6" sqref="B6:C6"/>
    </sheetView>
  </sheetViews>
  <sheetFormatPr defaultColWidth="9.00390625" defaultRowHeight="12.75"/>
  <cols>
    <col min="1" max="1" width="6.125" style="0" customWidth="1"/>
    <col min="2" max="2" width="69.25390625" style="0" customWidth="1"/>
    <col min="3" max="3" width="14.375" style="0" customWidth="1"/>
  </cols>
  <sheetData>
    <row r="1" spans="1:3" ht="15.75">
      <c r="A1" s="537" t="s">
        <v>531</v>
      </c>
      <c r="B1" s="417"/>
      <c r="C1" s="417"/>
    </row>
    <row r="3" spans="1:4" ht="15.75">
      <c r="A3" s="421" t="s">
        <v>497</v>
      </c>
      <c r="B3" s="415"/>
      <c r="C3" s="415"/>
      <c r="D3" s="21"/>
    </row>
    <row r="4" spans="2:4" ht="15.75">
      <c r="B4" s="21"/>
      <c r="C4" s="21"/>
      <c r="D4" s="21"/>
    </row>
    <row r="5" spans="2:4" ht="15.75">
      <c r="B5" s="21"/>
      <c r="C5" s="21"/>
      <c r="D5" s="21"/>
    </row>
    <row r="6" spans="2:4" ht="15.75">
      <c r="B6" s="409"/>
      <c r="C6" s="409"/>
      <c r="D6" s="21"/>
    </row>
    <row r="7" spans="2:4" ht="15.75">
      <c r="B7" s="21"/>
      <c r="C7" s="21"/>
      <c r="D7" s="21"/>
    </row>
    <row r="8" spans="2:12" ht="15.75">
      <c r="B8" s="409" t="s">
        <v>35</v>
      </c>
      <c r="C8" s="547"/>
      <c r="D8" s="21"/>
      <c r="L8" s="244"/>
    </row>
    <row r="9" spans="2:4" ht="15.75">
      <c r="B9" s="409" t="s">
        <v>369</v>
      </c>
      <c r="C9" s="547"/>
      <c r="D9" s="21"/>
    </row>
    <row r="10" spans="2:4" ht="15.75">
      <c r="B10" s="409" t="s">
        <v>435</v>
      </c>
      <c r="C10" s="547"/>
      <c r="D10" s="21"/>
    </row>
    <row r="11" spans="2:4" ht="16.5" thickBot="1">
      <c r="B11" s="21"/>
      <c r="C11" s="21"/>
      <c r="D11" s="21"/>
    </row>
    <row r="12" spans="1:4" ht="16.5" thickTop="1">
      <c r="A12" s="538" t="s">
        <v>392</v>
      </c>
      <c r="B12" s="541" t="s">
        <v>0</v>
      </c>
      <c r="C12" s="544" t="s">
        <v>482</v>
      </c>
      <c r="D12" s="21"/>
    </row>
    <row r="13" spans="1:4" ht="15.75">
      <c r="A13" s="539"/>
      <c r="B13" s="542"/>
      <c r="C13" s="545"/>
      <c r="D13" s="21"/>
    </row>
    <row r="14" spans="1:4" ht="21" customHeight="1" thickBot="1">
      <c r="A14" s="540"/>
      <c r="B14" s="543"/>
      <c r="C14" s="546"/>
      <c r="D14" s="21"/>
    </row>
    <row r="15" spans="1:4" ht="21" customHeight="1">
      <c r="A15" s="375"/>
      <c r="B15" s="376"/>
      <c r="C15" s="377"/>
      <c r="D15" s="21"/>
    </row>
    <row r="16" spans="1:4" ht="15.75">
      <c r="A16" s="309" t="s">
        <v>38</v>
      </c>
      <c r="B16" s="21" t="s">
        <v>422</v>
      </c>
      <c r="C16" s="21"/>
      <c r="D16" s="21"/>
    </row>
    <row r="17" spans="1:4" ht="15.75">
      <c r="A17" s="309"/>
      <c r="B17" s="21"/>
      <c r="C17" s="21"/>
      <c r="D17" s="21"/>
    </row>
    <row r="18" spans="1:4" ht="15.75">
      <c r="A18" s="378" t="s">
        <v>395</v>
      </c>
      <c r="B18" s="286" t="s">
        <v>423</v>
      </c>
      <c r="C18" s="21"/>
      <c r="D18" s="287"/>
    </row>
    <row r="19" spans="1:4" ht="51.75" customHeight="1">
      <c r="A19" s="366" t="s">
        <v>396</v>
      </c>
      <c r="B19" s="79" t="s">
        <v>496</v>
      </c>
      <c r="C19" s="329">
        <v>984252</v>
      </c>
      <c r="D19" s="287"/>
    </row>
    <row r="20" spans="1:4" ht="35.25" customHeight="1">
      <c r="A20" s="366" t="s">
        <v>397</v>
      </c>
      <c r="B20" s="79" t="s">
        <v>454</v>
      </c>
      <c r="C20" s="329">
        <v>31496063</v>
      </c>
      <c r="D20" s="287"/>
    </row>
    <row r="21" spans="1:4" ht="33" customHeight="1">
      <c r="A21" s="366" t="s">
        <v>455</v>
      </c>
      <c r="B21" s="79" t="s">
        <v>456</v>
      </c>
      <c r="C21" s="329">
        <v>9945265</v>
      </c>
      <c r="D21" s="287"/>
    </row>
    <row r="22" spans="1:4" ht="33" customHeight="1">
      <c r="A22" s="366" t="s">
        <v>457</v>
      </c>
      <c r="B22" s="79" t="s">
        <v>507</v>
      </c>
      <c r="C22" s="329">
        <f>1755046+878534+1984979</f>
        <v>4618559</v>
      </c>
      <c r="D22" s="287"/>
    </row>
    <row r="23" spans="1:4" ht="18.75" customHeight="1">
      <c r="A23" s="309" t="s">
        <v>487</v>
      </c>
      <c r="B23" s="21" t="s">
        <v>372</v>
      </c>
      <c r="C23" s="379">
        <f>(C19+C20+C21+C22)*0.27</f>
        <v>12701917.530000001</v>
      </c>
      <c r="D23" s="21"/>
    </row>
    <row r="24" spans="1:4" ht="18.75" customHeight="1">
      <c r="A24" s="309"/>
      <c r="B24" s="18" t="s">
        <v>370</v>
      </c>
      <c r="C24" s="19">
        <f>SUM(C19:C23)</f>
        <v>59746056.53</v>
      </c>
      <c r="D24" s="21"/>
    </row>
    <row r="25" spans="1:4" ht="18.75" customHeight="1">
      <c r="A25" s="309"/>
      <c r="B25" s="18"/>
      <c r="C25" s="19"/>
      <c r="D25" s="21"/>
    </row>
    <row r="26" spans="1:4" ht="18.75" customHeight="1">
      <c r="A26" s="366" t="s">
        <v>398</v>
      </c>
      <c r="B26" s="18" t="s">
        <v>479</v>
      </c>
      <c r="C26" s="19"/>
      <c r="D26" s="21"/>
    </row>
    <row r="27" spans="1:4" ht="18.75" customHeight="1">
      <c r="A27" s="366" t="s">
        <v>480</v>
      </c>
      <c r="B27" s="21" t="s">
        <v>481</v>
      </c>
      <c r="C27" s="380">
        <f>1500000+450000</f>
        <v>1950000</v>
      </c>
      <c r="D27" s="21"/>
    </row>
    <row r="28" spans="1:4" ht="18.75" customHeight="1">
      <c r="A28" s="309"/>
      <c r="B28" s="18" t="s">
        <v>370</v>
      </c>
      <c r="C28" s="19">
        <f>C27</f>
        <v>1950000</v>
      </c>
      <c r="D28" s="21"/>
    </row>
    <row r="29" spans="1:4" ht="18.75" customHeight="1">
      <c r="A29" s="309"/>
      <c r="B29" s="18"/>
      <c r="C29" s="19"/>
      <c r="D29" s="21"/>
    </row>
    <row r="30" spans="1:4" s="245" customFormat="1" ht="15.75">
      <c r="A30" s="310"/>
      <c r="B30" s="18" t="s">
        <v>371</v>
      </c>
      <c r="C30" s="19">
        <f>C24+C28</f>
        <v>61696056.53</v>
      </c>
      <c r="D30" s="18"/>
    </row>
    <row r="31" spans="2:4" ht="15.75">
      <c r="B31" s="21"/>
      <c r="C31" s="21"/>
      <c r="D31" s="21"/>
    </row>
    <row r="32" spans="2:4" ht="15.75">
      <c r="B32" s="21"/>
      <c r="C32" s="21"/>
      <c r="D32" s="21"/>
    </row>
    <row r="33" spans="2:4" ht="15.75">
      <c r="B33" s="21"/>
      <c r="C33" s="21"/>
      <c r="D33" s="21"/>
    </row>
    <row r="34" spans="2:4" ht="15.75">
      <c r="B34" s="21"/>
      <c r="C34" s="21"/>
      <c r="D34" s="21"/>
    </row>
    <row r="35" spans="2:4" ht="15.75">
      <c r="B35" s="21"/>
      <c r="C35" s="21"/>
      <c r="D35" s="21"/>
    </row>
    <row r="36" spans="2:4" ht="15.75">
      <c r="B36" s="21"/>
      <c r="C36" s="21"/>
      <c r="D36" s="21"/>
    </row>
  </sheetData>
  <sheetProtection/>
  <mergeCells count="9">
    <mergeCell ref="A3:C3"/>
    <mergeCell ref="A1:C1"/>
    <mergeCell ref="B6:C6"/>
    <mergeCell ref="A12:A14"/>
    <mergeCell ref="B12:B14"/>
    <mergeCell ref="C12:C14"/>
    <mergeCell ref="B8:C8"/>
    <mergeCell ref="B9:C9"/>
    <mergeCell ref="B10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F71"/>
  <sheetViews>
    <sheetView view="pageBreakPreview" zoomScale="60" zoomScalePageLayoutView="0" workbookViewId="0" topLeftCell="A1">
      <selection activeCell="A5" sqref="A5:C5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117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ht="15.75">
      <c r="A1" s="416" t="s">
        <v>532</v>
      </c>
      <c r="B1" s="416"/>
      <c r="C1" s="416"/>
    </row>
    <row r="3" spans="1:3" ht="15.75">
      <c r="A3" s="414" t="s">
        <v>498</v>
      </c>
      <c r="B3" s="414"/>
      <c r="C3" s="414"/>
    </row>
    <row r="4" s="110" customFormat="1" ht="15.75">
      <c r="C4" s="116"/>
    </row>
    <row r="5" spans="1:3" s="101" customFormat="1" ht="15">
      <c r="A5" s="550"/>
      <c r="B5" s="550"/>
      <c r="C5" s="550"/>
    </row>
    <row r="6" spans="1:3" s="101" customFormat="1" ht="6.75" customHeight="1">
      <c r="A6" s="111"/>
      <c r="B6" s="66"/>
      <c r="C6" s="66"/>
    </row>
    <row r="7" spans="1:3" ht="15.75">
      <c r="A7" s="429" t="s">
        <v>4</v>
      </c>
      <c r="B7" s="429"/>
      <c r="C7" s="429"/>
    </row>
    <row r="8" spans="1:3" ht="15.75">
      <c r="A8" s="426" t="s">
        <v>271</v>
      </c>
      <c r="B8" s="426"/>
      <c r="C8" s="426"/>
    </row>
    <row r="9" spans="1:3" ht="15.75">
      <c r="A9" s="426" t="s">
        <v>215</v>
      </c>
      <c r="B9" s="426"/>
      <c r="C9" s="426"/>
    </row>
    <row r="10" spans="1:3" ht="15.75">
      <c r="A10" s="426" t="s">
        <v>435</v>
      </c>
      <c r="B10" s="426"/>
      <c r="C10" s="426"/>
    </row>
    <row r="11" ht="16.5" thickBot="1"/>
    <row r="12" spans="1:3" ht="15.75">
      <c r="A12" s="119" t="s">
        <v>36</v>
      </c>
      <c r="B12" s="112"/>
      <c r="C12" s="120" t="s">
        <v>14</v>
      </c>
    </row>
    <row r="13" spans="1:3" ht="15.75">
      <c r="A13" s="113"/>
      <c r="B13" s="114" t="s">
        <v>0</v>
      </c>
      <c r="C13" s="121" t="s">
        <v>9</v>
      </c>
    </row>
    <row r="14" spans="1:4" ht="18" customHeight="1" thickBot="1">
      <c r="A14" s="115" t="s">
        <v>37</v>
      </c>
      <c r="B14" s="122"/>
      <c r="C14" s="123" t="s">
        <v>1</v>
      </c>
      <c r="D14" s="288"/>
    </row>
    <row r="15" spans="2:4" ht="8.25" customHeight="1">
      <c r="B15" s="240"/>
      <c r="C15" s="241"/>
      <c r="D15" s="149"/>
    </row>
    <row r="16" spans="1:3" ht="20.25" customHeight="1">
      <c r="A16" s="552" t="s">
        <v>216</v>
      </c>
      <c r="B16" s="552"/>
      <c r="C16" s="552"/>
    </row>
    <row r="17" spans="1:3" ht="20.25" customHeight="1">
      <c r="A17" s="124" t="s">
        <v>38</v>
      </c>
      <c r="B17" s="125" t="s">
        <v>217</v>
      </c>
      <c r="C17" s="126"/>
    </row>
    <row r="18" spans="1:3" ht="20.25" customHeight="1">
      <c r="A18" s="124"/>
      <c r="B18" s="21" t="s">
        <v>218</v>
      </c>
      <c r="C18" s="126">
        <f>'2.mell - bevétel'!H56</f>
        <v>35631389</v>
      </c>
    </row>
    <row r="19" spans="1:5" ht="20.25" customHeight="1">
      <c r="A19" s="124"/>
      <c r="B19" s="79" t="s">
        <v>219</v>
      </c>
      <c r="C19" s="126">
        <f>'2.mell - bevétel'!H61</f>
        <v>108019</v>
      </c>
      <c r="D19" s="76"/>
      <c r="E19" s="76"/>
    </row>
    <row r="20" spans="1:3" ht="20.25" customHeight="1">
      <c r="A20" s="124" t="s">
        <v>21</v>
      </c>
      <c r="B20" s="125" t="s">
        <v>220</v>
      </c>
      <c r="C20" s="126">
        <f>'2.mell - bevétel'!H80</f>
        <v>7813000</v>
      </c>
    </row>
    <row r="21" spans="1:3" ht="20.25" customHeight="1">
      <c r="A21" s="124" t="s">
        <v>39</v>
      </c>
      <c r="B21" s="125" t="s">
        <v>221</v>
      </c>
      <c r="C21" s="126">
        <f>'2.mell - bevétel'!H102</f>
        <v>10097846</v>
      </c>
    </row>
    <row r="22" spans="1:3" ht="20.25" customHeight="1">
      <c r="A22" s="124" t="s">
        <v>86</v>
      </c>
      <c r="B22" s="127" t="s">
        <v>222</v>
      </c>
      <c r="C22" s="126"/>
    </row>
    <row r="23" spans="1:5" ht="36" customHeight="1">
      <c r="A23" s="124"/>
      <c r="B23" s="79" t="s">
        <v>223</v>
      </c>
      <c r="C23" s="126"/>
      <c r="D23" s="79"/>
      <c r="E23" s="79"/>
    </row>
    <row r="24" spans="1:3" ht="20.25" customHeight="1">
      <c r="A24" s="124"/>
      <c r="B24" s="21" t="s">
        <v>224</v>
      </c>
      <c r="C24" s="126"/>
    </row>
    <row r="25" spans="1:3" ht="30" customHeight="1">
      <c r="A25" s="305"/>
      <c r="B25" s="306" t="s">
        <v>225</v>
      </c>
      <c r="C25" s="144">
        <f>SUM(C18:C24)</f>
        <v>53650254</v>
      </c>
    </row>
    <row r="26" spans="1:3" ht="21" customHeight="1">
      <c r="A26" s="118" t="s">
        <v>87</v>
      </c>
      <c r="B26" s="125" t="s">
        <v>226</v>
      </c>
      <c r="C26" s="24">
        <f>'4.mell. - kiadás'!E46</f>
        <v>22457310</v>
      </c>
    </row>
    <row r="27" spans="1:3" ht="21" customHeight="1">
      <c r="A27" s="118" t="s">
        <v>93</v>
      </c>
      <c r="B27" s="125" t="s">
        <v>227</v>
      </c>
      <c r="C27" s="24">
        <f>'4.mell. - kiadás'!F46</f>
        <v>4490499</v>
      </c>
    </row>
    <row r="28" spans="1:3" ht="21" customHeight="1">
      <c r="A28" s="118" t="s">
        <v>228</v>
      </c>
      <c r="B28" s="131" t="s">
        <v>229</v>
      </c>
      <c r="C28" s="24">
        <f>'4.mell. - kiadás'!G46</f>
        <v>22661724</v>
      </c>
    </row>
    <row r="29" spans="1:3" ht="21" customHeight="1">
      <c r="A29" s="118" t="s">
        <v>230</v>
      </c>
      <c r="B29" s="131" t="s">
        <v>231</v>
      </c>
      <c r="C29" s="24">
        <f>'4.mell. - kiadás'!H46</f>
        <v>3001400</v>
      </c>
    </row>
    <row r="30" spans="1:3" ht="21" customHeight="1">
      <c r="A30" s="118" t="s">
        <v>232</v>
      </c>
      <c r="B30" s="131" t="s">
        <v>233</v>
      </c>
      <c r="C30" s="24"/>
    </row>
    <row r="31" spans="1:3" ht="32.25" customHeight="1">
      <c r="A31" s="118"/>
      <c r="B31" s="79" t="s">
        <v>234</v>
      </c>
      <c r="C31" s="133"/>
    </row>
    <row r="32" spans="1:3" ht="15.75">
      <c r="A32" s="118"/>
      <c r="B32" s="132" t="s">
        <v>483</v>
      </c>
      <c r="C32" s="133">
        <f>'4.mell. - kiadás'!I46-C33</f>
        <v>2568500</v>
      </c>
    </row>
    <row r="33" spans="1:5" ht="15.75">
      <c r="A33" s="118"/>
      <c r="B33" s="132" t="s">
        <v>235</v>
      </c>
      <c r="C33" s="117">
        <v>37756947</v>
      </c>
      <c r="E33" s="81"/>
    </row>
    <row r="34" spans="1:6" ht="33.75" customHeight="1">
      <c r="A34" s="305"/>
      <c r="B34" s="306" t="s">
        <v>236</v>
      </c>
      <c r="C34" s="144">
        <f>SUM(C26:C33)</f>
        <v>92936380</v>
      </c>
      <c r="E34" s="81"/>
      <c r="F34" s="81"/>
    </row>
    <row r="35" spans="1:6" ht="33.75" customHeight="1">
      <c r="A35" s="402"/>
      <c r="B35" s="403"/>
      <c r="C35" s="404"/>
      <c r="E35" s="81"/>
      <c r="F35" s="81"/>
    </row>
    <row r="36" spans="1:6" ht="33.75" customHeight="1">
      <c r="A36" s="402"/>
      <c r="B36" s="403"/>
      <c r="C36" s="404"/>
      <c r="E36" s="81"/>
      <c r="F36" s="81"/>
    </row>
    <row r="37" spans="1:3" ht="15.75">
      <c r="A37" s="548">
        <v>2</v>
      </c>
      <c r="B37" s="548"/>
      <c r="C37" s="548"/>
    </row>
    <row r="38" spans="1:3" ht="16.5" thickBot="1">
      <c r="A38" s="233"/>
      <c r="B38" s="233"/>
      <c r="C38" s="233"/>
    </row>
    <row r="39" spans="1:3" ht="15.75">
      <c r="A39" s="119" t="s">
        <v>36</v>
      </c>
      <c r="B39" s="112"/>
      <c r="C39" s="120" t="s">
        <v>14</v>
      </c>
    </row>
    <row r="40" spans="1:3" ht="12.75" customHeight="1">
      <c r="A40" s="113"/>
      <c r="B40" s="114" t="s">
        <v>0</v>
      </c>
      <c r="C40" s="121"/>
    </row>
    <row r="41" spans="1:3" ht="21.75" customHeight="1" thickBot="1">
      <c r="A41" s="115" t="s">
        <v>37</v>
      </c>
      <c r="B41" s="122"/>
      <c r="C41" s="123" t="s">
        <v>9</v>
      </c>
    </row>
    <row r="42" spans="1:3" ht="12" customHeight="1">
      <c r="A42" s="139"/>
      <c r="B42" s="239"/>
      <c r="C42" s="149"/>
    </row>
    <row r="43" spans="1:3" ht="21" customHeight="1">
      <c r="A43" s="549" t="s">
        <v>237</v>
      </c>
      <c r="B43" s="549"/>
      <c r="C43" s="549"/>
    </row>
    <row r="44" spans="1:2" ht="21" customHeight="1">
      <c r="A44" s="118" t="s">
        <v>238</v>
      </c>
      <c r="B44" s="58" t="s">
        <v>239</v>
      </c>
    </row>
    <row r="45" spans="1:2" ht="21" customHeight="1">
      <c r="A45" s="118" t="s">
        <v>240</v>
      </c>
      <c r="B45" s="58" t="s">
        <v>241</v>
      </c>
    </row>
    <row r="46" spans="1:2" ht="21" customHeight="1">
      <c r="A46" s="118" t="s">
        <v>242</v>
      </c>
      <c r="B46" s="127" t="s">
        <v>243</v>
      </c>
    </row>
    <row r="47" spans="1:3" ht="31.5" customHeight="1">
      <c r="A47" s="118"/>
      <c r="B47" s="94" t="s">
        <v>244</v>
      </c>
      <c r="C47" s="117">
        <f>'2.mell - bevétel'!H107</f>
        <v>121800</v>
      </c>
    </row>
    <row r="48" spans="1:2" ht="21" customHeight="1">
      <c r="A48" s="118"/>
      <c r="B48" s="44" t="s">
        <v>245</v>
      </c>
    </row>
    <row r="49" spans="1:5" ht="30" customHeight="1">
      <c r="A49" s="305"/>
      <c r="B49" s="306" t="s">
        <v>246</v>
      </c>
      <c r="C49" s="144">
        <f>SUM(C44:C48)</f>
        <v>121800</v>
      </c>
      <c r="E49" s="81"/>
    </row>
    <row r="50" spans="1:3" ht="21" customHeight="1">
      <c r="A50" s="118" t="s">
        <v>247</v>
      </c>
      <c r="B50" s="58" t="s">
        <v>248</v>
      </c>
      <c r="C50" s="117">
        <f>'4.mell. - kiadás'!K46</f>
        <v>768509</v>
      </c>
    </row>
    <row r="51" spans="1:3" ht="21" customHeight="1">
      <c r="A51" s="118" t="s">
        <v>249</v>
      </c>
      <c r="B51" s="58" t="s">
        <v>250</v>
      </c>
      <c r="C51" s="117">
        <f>'4.mell. - kiadás'!L46</f>
        <v>61696057</v>
      </c>
    </row>
    <row r="52" spans="1:2" ht="21" customHeight="1">
      <c r="A52" s="118" t="s">
        <v>251</v>
      </c>
      <c r="B52" s="127" t="s">
        <v>252</v>
      </c>
    </row>
    <row r="53" spans="1:3" ht="21" customHeight="1">
      <c r="A53" s="118"/>
      <c r="B53" s="132" t="s">
        <v>253</v>
      </c>
      <c r="C53" s="117">
        <f>'4.mell. - kiadás'!M46</f>
        <v>2000000</v>
      </c>
    </row>
    <row r="54" spans="1:2" ht="21" customHeight="1">
      <c r="A54" s="118"/>
      <c r="B54" s="132" t="s">
        <v>235</v>
      </c>
    </row>
    <row r="55" spans="1:6" s="9" customFormat="1" ht="27.75" customHeight="1" thickBot="1">
      <c r="A55" s="305"/>
      <c r="B55" s="306" t="s">
        <v>254</v>
      </c>
      <c r="C55" s="144">
        <f>SUM(C50:C54)</f>
        <v>64464566</v>
      </c>
      <c r="F55" s="134"/>
    </row>
    <row r="56" spans="1:3" s="9" customFormat="1" ht="24" customHeight="1" thickBot="1">
      <c r="A56" s="135"/>
      <c r="B56" s="136" t="s">
        <v>255</v>
      </c>
      <c r="C56" s="137">
        <f>C25+C49</f>
        <v>53772054</v>
      </c>
    </row>
    <row r="57" spans="1:6" s="9" customFormat="1" ht="22.5" customHeight="1" thickBot="1">
      <c r="A57" s="135"/>
      <c r="B57" s="136" t="s">
        <v>256</v>
      </c>
      <c r="C57" s="137">
        <f>C34+C55</f>
        <v>157400946</v>
      </c>
      <c r="F57" s="134"/>
    </row>
    <row r="58" spans="1:3" s="9" customFormat="1" ht="15.75">
      <c r="A58" s="138"/>
      <c r="B58" s="139"/>
      <c r="C58" s="140"/>
    </row>
    <row r="59" spans="1:3" s="141" customFormat="1" ht="9.75" customHeight="1">
      <c r="A59" s="242"/>
      <c r="B59" s="242"/>
      <c r="C59" s="242"/>
    </row>
    <row r="60" spans="1:3" s="141" customFormat="1" ht="9" customHeight="1">
      <c r="A60" s="139"/>
      <c r="B60" s="148"/>
      <c r="C60" s="149"/>
    </row>
    <row r="61" spans="1:3" ht="20.25" customHeight="1">
      <c r="A61" s="551" t="s">
        <v>257</v>
      </c>
      <c r="B61" s="551"/>
      <c r="C61" s="551"/>
    </row>
    <row r="62" spans="1:3" ht="6.75" customHeight="1">
      <c r="A62" s="142"/>
      <c r="B62" s="142"/>
      <c r="C62" s="142"/>
    </row>
    <row r="63" spans="1:3" ht="20.25" customHeight="1">
      <c r="A63" s="128" t="s">
        <v>258</v>
      </c>
      <c r="B63" s="143" t="s">
        <v>259</v>
      </c>
      <c r="C63" s="130">
        <f>'2.mell - bevétel'!H115+'2.mell - bevétel'!H118</f>
        <v>103628892</v>
      </c>
    </row>
    <row r="64" spans="1:3" ht="20.25" customHeight="1">
      <c r="A64" s="128" t="s">
        <v>261</v>
      </c>
      <c r="B64" s="129" t="s">
        <v>486</v>
      </c>
      <c r="C64" s="130">
        <v>1417579</v>
      </c>
    </row>
    <row r="65" spans="1:3" ht="21" customHeight="1">
      <c r="A65" s="128"/>
      <c r="B65" s="129" t="s">
        <v>260</v>
      </c>
      <c r="C65" s="144">
        <f>SUM(C63:C64)</f>
        <v>105046471</v>
      </c>
    </row>
    <row r="66" spans="1:3" ht="21" customHeight="1">
      <c r="A66" s="124" t="s">
        <v>263</v>
      </c>
      <c r="B66" s="129" t="s">
        <v>366</v>
      </c>
      <c r="C66" s="384">
        <f>'4.mell. - kiadás'!R46</f>
        <v>1417579</v>
      </c>
    </row>
    <row r="67" spans="1:3" ht="15.75">
      <c r="A67" s="124" t="s">
        <v>332</v>
      </c>
      <c r="B67" s="143" t="s">
        <v>262</v>
      </c>
      <c r="C67" s="130"/>
    </row>
    <row r="68" spans="1:3" ht="15.75">
      <c r="A68" s="118" t="s">
        <v>334</v>
      </c>
      <c r="B68" s="143" t="s">
        <v>264</v>
      </c>
      <c r="C68" s="130"/>
    </row>
    <row r="69" spans="1:3" s="145" customFormat="1" ht="30" customHeight="1" thickBot="1">
      <c r="A69" s="128"/>
      <c r="B69" s="129" t="s">
        <v>265</v>
      </c>
      <c r="C69" s="144">
        <f>SUM(C66:C68)</f>
        <v>1417579</v>
      </c>
    </row>
    <row r="70" spans="1:5" s="145" customFormat="1" ht="37.5" customHeight="1" thickBot="1">
      <c r="A70" s="146"/>
      <c r="B70" s="307" t="s">
        <v>266</v>
      </c>
      <c r="C70" s="308">
        <f>C56+C65</f>
        <v>158818525</v>
      </c>
      <c r="E70" s="147"/>
    </row>
    <row r="71" spans="1:5" ht="34.5" customHeight="1" thickBot="1">
      <c r="A71" s="146"/>
      <c r="B71" s="307" t="s">
        <v>267</v>
      </c>
      <c r="C71" s="308">
        <f>C57+C69</f>
        <v>158818525</v>
      </c>
      <c r="E71" s="147"/>
    </row>
  </sheetData>
  <sheetProtection/>
  <mergeCells count="11">
    <mergeCell ref="A61:C61"/>
    <mergeCell ref="A8:C8"/>
    <mergeCell ref="A9:C9"/>
    <mergeCell ref="A10:C10"/>
    <mergeCell ref="A16:C16"/>
    <mergeCell ref="A1:C1"/>
    <mergeCell ref="A37:C37"/>
    <mergeCell ref="A43:C43"/>
    <mergeCell ref="A3:C3"/>
    <mergeCell ref="A5:C5"/>
    <mergeCell ref="A7:C7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56"/>
  <sheetViews>
    <sheetView view="pageBreakPreview" zoomScale="60" zoomScalePageLayoutView="0" workbookViewId="0" topLeftCell="A1">
      <selection activeCell="A1" sqref="A1:O1"/>
    </sheetView>
  </sheetViews>
  <sheetFormatPr defaultColWidth="9.00390625" defaultRowHeight="12.75"/>
  <cols>
    <col min="1" max="1" width="5.125" style="44" customWidth="1"/>
    <col min="2" max="2" width="43.625" style="44" customWidth="1"/>
    <col min="3" max="14" width="15.375" style="24" customWidth="1"/>
    <col min="15" max="15" width="16.25390625" style="24" customWidth="1"/>
    <col min="16" max="17" width="15.625" style="44" bestFit="1" customWidth="1"/>
    <col min="18" max="18" width="12.625" style="44" bestFit="1" customWidth="1"/>
    <col min="19" max="16384" width="9.125" style="44" customWidth="1"/>
  </cols>
  <sheetData>
    <row r="1" spans="1:15" ht="15.75">
      <c r="A1" s="440" t="s">
        <v>533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</row>
    <row r="3" spans="1:15" s="82" customFormat="1" ht="15.75">
      <c r="A3" s="439" t="s">
        <v>499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</row>
    <row r="5" spans="2:15" ht="15.75"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</row>
    <row r="6" spans="2:15" ht="15.75"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</row>
    <row r="7" spans="2:15" ht="15.75">
      <c r="B7" s="412" t="s">
        <v>35</v>
      </c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</row>
    <row r="8" spans="2:15" ht="15.75">
      <c r="B8" s="412" t="s">
        <v>297</v>
      </c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</row>
    <row r="9" spans="2:15" ht="15.75">
      <c r="B9" s="412" t="s">
        <v>435</v>
      </c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</row>
    <row r="10" spans="3:15" ht="16.5" thickBot="1">
      <c r="C10" s="25"/>
      <c r="D10" s="25"/>
      <c r="E10" s="25"/>
      <c r="F10" s="183"/>
      <c r="G10" s="25"/>
      <c r="H10" s="25"/>
      <c r="I10" s="25"/>
      <c r="J10" s="25"/>
      <c r="O10" s="184" t="s">
        <v>374</v>
      </c>
    </row>
    <row r="11" spans="1:15" ht="15.75">
      <c r="A11" s="185" t="s">
        <v>36</v>
      </c>
      <c r="B11" s="186"/>
      <c r="C11" s="187"/>
      <c r="D11" s="188"/>
      <c r="E11" s="189"/>
      <c r="F11" s="190"/>
      <c r="G11" s="190"/>
      <c r="H11" s="190"/>
      <c r="I11" s="190"/>
      <c r="J11" s="190"/>
      <c r="K11" s="191"/>
      <c r="L11" s="191"/>
      <c r="M11" s="191"/>
      <c r="N11" s="192"/>
      <c r="O11" s="193"/>
    </row>
    <row r="12" spans="1:15" ht="15.75">
      <c r="A12" s="194"/>
      <c r="B12" s="195" t="s">
        <v>0</v>
      </c>
      <c r="C12" s="85" t="s">
        <v>298</v>
      </c>
      <c r="D12" s="196" t="s">
        <v>299</v>
      </c>
      <c r="E12" s="197" t="s">
        <v>300</v>
      </c>
      <c r="F12" s="198" t="s">
        <v>301</v>
      </c>
      <c r="G12" s="198" t="s">
        <v>302</v>
      </c>
      <c r="H12" s="198" t="s">
        <v>303</v>
      </c>
      <c r="I12" s="198" t="s">
        <v>304</v>
      </c>
      <c r="J12" s="198" t="s">
        <v>305</v>
      </c>
      <c r="K12" s="198" t="s">
        <v>306</v>
      </c>
      <c r="L12" s="198" t="s">
        <v>307</v>
      </c>
      <c r="M12" s="198" t="s">
        <v>308</v>
      </c>
      <c r="N12" s="197" t="s">
        <v>309</v>
      </c>
      <c r="O12" s="121" t="s">
        <v>289</v>
      </c>
    </row>
    <row r="13" spans="1:15" ht="16.5" thickBot="1">
      <c r="A13" s="199" t="s">
        <v>37</v>
      </c>
      <c r="B13" s="200"/>
      <c r="C13" s="201"/>
      <c r="D13" s="202"/>
      <c r="E13" s="203"/>
      <c r="F13" s="204"/>
      <c r="G13" s="204"/>
      <c r="H13" s="204"/>
      <c r="I13" s="204"/>
      <c r="J13" s="204"/>
      <c r="K13" s="204"/>
      <c r="L13" s="204"/>
      <c r="M13" s="204"/>
      <c r="N13" s="203"/>
      <c r="O13" s="201"/>
    </row>
    <row r="14" spans="1:15" ht="28.5" customHeight="1">
      <c r="A14" s="205"/>
      <c r="B14" s="206" t="s">
        <v>310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8"/>
    </row>
    <row r="15" spans="1:15" ht="28.5" customHeight="1">
      <c r="A15" s="205" t="s">
        <v>38</v>
      </c>
      <c r="B15" s="206" t="s">
        <v>311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8"/>
    </row>
    <row r="16" spans="1:15" ht="28.5" customHeight="1">
      <c r="A16" s="205"/>
      <c r="B16" s="206" t="s">
        <v>312</v>
      </c>
      <c r="C16" s="207">
        <f>2999939+11121</f>
        <v>3011060</v>
      </c>
      <c r="D16" s="207">
        <v>2953539</v>
      </c>
      <c r="E16" s="207">
        <v>2953539</v>
      </c>
      <c r="F16" s="207">
        <v>2953539</v>
      </c>
      <c r="G16" s="207">
        <f>2953539+177800</f>
        <v>3131339</v>
      </c>
      <c r="H16" s="207">
        <v>2953539</v>
      </c>
      <c r="I16" s="207">
        <v>2953539</v>
      </c>
      <c r="J16" s="207">
        <v>2953539</v>
      </c>
      <c r="K16" s="207">
        <v>2953539</v>
      </c>
      <c r="L16" s="207">
        <v>2953539</v>
      </c>
      <c r="M16" s="207">
        <v>2953539</v>
      </c>
      <c r="N16" s="207">
        <v>2907139</v>
      </c>
      <c r="O16" s="208">
        <f>SUM(C16:N16)</f>
        <v>35631389</v>
      </c>
    </row>
    <row r="17" spans="1:15" ht="28.5" customHeight="1">
      <c r="A17" s="205"/>
      <c r="B17" s="206" t="s">
        <v>313</v>
      </c>
      <c r="C17" s="207"/>
      <c r="D17" s="207"/>
      <c r="E17" s="207"/>
      <c r="F17" s="207">
        <v>61619</v>
      </c>
      <c r="G17" s="207"/>
      <c r="H17" s="207"/>
      <c r="I17" s="207"/>
      <c r="J17" s="207">
        <v>23200</v>
      </c>
      <c r="K17" s="207"/>
      <c r="L17" s="207"/>
      <c r="M17" s="207">
        <v>23200</v>
      </c>
      <c r="N17" s="207"/>
      <c r="O17" s="208">
        <f>SUM(C17:N17)</f>
        <v>108019</v>
      </c>
    </row>
    <row r="18" spans="1:15" ht="15.75">
      <c r="A18" s="205" t="s">
        <v>39</v>
      </c>
      <c r="B18" s="206" t="s">
        <v>314</v>
      </c>
      <c r="C18" s="207">
        <f>(12+44+32+31)*1000</f>
        <v>119000</v>
      </c>
      <c r="D18" s="207">
        <f>(19+12+118+253+31)*1000</f>
        <v>433000</v>
      </c>
      <c r="E18" s="207">
        <f>(1127+11+620+382+31)*1000</f>
        <v>2171000</v>
      </c>
      <c r="F18" s="207">
        <f>(9+12+76+34+31+200)*1000</f>
        <v>362000</v>
      </c>
      <c r="G18" s="207">
        <f>(408+12+48+35+31-200)*1000</f>
        <v>334000</v>
      </c>
      <c r="H18" s="207">
        <f>(46+12+20+19+31)*1000</f>
        <v>128000</v>
      </c>
      <c r="I18" s="207">
        <f>(12+2+2+31)*1000</f>
        <v>47000</v>
      </c>
      <c r="J18" s="207">
        <f>(12+237+346+31)*1000</f>
        <v>626000</v>
      </c>
      <c r="K18" s="207">
        <f>(1188+11+601+335+31)*1000</f>
        <v>2166000</v>
      </c>
      <c r="L18" s="207">
        <f>(10+12+27+35+31)*1000</f>
        <v>115000</v>
      </c>
      <c r="M18" s="207">
        <f>(852+11+76+12+31)*1000</f>
        <v>982000</v>
      </c>
      <c r="N18" s="207">
        <f>(241+11+34+15+29)*1000</f>
        <v>330000</v>
      </c>
      <c r="O18" s="208">
        <f aca="true" t="shared" si="0" ref="O18:O27">SUM(C18:N18)</f>
        <v>7813000</v>
      </c>
    </row>
    <row r="19" spans="1:18" ht="15.75">
      <c r="A19" s="205" t="s">
        <v>86</v>
      </c>
      <c r="B19" s="206" t="s">
        <v>315</v>
      </c>
      <c r="C19" s="207">
        <v>840000</v>
      </c>
      <c r="D19" s="207">
        <v>840000</v>
      </c>
      <c r="E19" s="207">
        <v>840000</v>
      </c>
      <c r="F19" s="207">
        <v>840000</v>
      </c>
      <c r="G19" s="207">
        <v>840000</v>
      </c>
      <c r="H19" s="207">
        <v>840000</v>
      </c>
      <c r="I19" s="207">
        <v>840000</v>
      </c>
      <c r="J19" s="207">
        <v>840000</v>
      </c>
      <c r="K19" s="207">
        <v>840000</v>
      </c>
      <c r="L19" s="207">
        <v>840000</v>
      </c>
      <c r="M19" s="207">
        <v>857846</v>
      </c>
      <c r="N19" s="207">
        <v>840000</v>
      </c>
      <c r="O19" s="208">
        <f t="shared" si="0"/>
        <v>10097846</v>
      </c>
      <c r="Q19" s="230"/>
      <c r="R19" s="230"/>
    </row>
    <row r="20" spans="1:15" ht="15.75">
      <c r="A20" s="205" t="s">
        <v>87</v>
      </c>
      <c r="B20" s="209" t="s">
        <v>316</v>
      </c>
      <c r="C20" s="210">
        <v>10150</v>
      </c>
      <c r="D20" s="210">
        <v>10150</v>
      </c>
      <c r="E20" s="210">
        <v>10150</v>
      </c>
      <c r="F20" s="210">
        <v>10150</v>
      </c>
      <c r="G20" s="210">
        <v>10150</v>
      </c>
      <c r="H20" s="210">
        <v>10150</v>
      </c>
      <c r="I20" s="210">
        <v>10150</v>
      </c>
      <c r="J20" s="210">
        <v>10150</v>
      </c>
      <c r="K20" s="210">
        <v>10150</v>
      </c>
      <c r="L20" s="210">
        <v>10150</v>
      </c>
      <c r="M20" s="210">
        <v>10150</v>
      </c>
      <c r="N20" s="210">
        <v>10150</v>
      </c>
      <c r="O20" s="208">
        <f t="shared" si="0"/>
        <v>121800</v>
      </c>
    </row>
    <row r="21" spans="1:15" ht="15.75">
      <c r="A21" s="205" t="s">
        <v>93</v>
      </c>
      <c r="B21" s="209" t="s">
        <v>222</v>
      </c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2"/>
      <c r="O21" s="208">
        <f t="shared" si="0"/>
        <v>0</v>
      </c>
    </row>
    <row r="22" spans="1:15" ht="31.5">
      <c r="A22" s="205"/>
      <c r="B22" s="206" t="s">
        <v>317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4"/>
      <c r="O22" s="208">
        <f t="shared" si="0"/>
        <v>0</v>
      </c>
    </row>
    <row r="23" spans="1:15" ht="17.25" customHeight="1">
      <c r="A23" s="205"/>
      <c r="B23" s="206" t="s">
        <v>318</v>
      </c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4"/>
      <c r="O23" s="208">
        <f t="shared" si="0"/>
        <v>0</v>
      </c>
    </row>
    <row r="24" spans="1:15" ht="15.75">
      <c r="A24" s="205" t="s">
        <v>228</v>
      </c>
      <c r="B24" s="209" t="s">
        <v>319</v>
      </c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4"/>
      <c r="O24" s="208">
        <f t="shared" si="0"/>
        <v>0</v>
      </c>
    </row>
    <row r="25" spans="1:15" ht="47.25">
      <c r="A25" s="205"/>
      <c r="B25" s="228" t="s">
        <v>320</v>
      </c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4"/>
      <c r="O25" s="208">
        <f t="shared" si="0"/>
        <v>0</v>
      </c>
    </row>
    <row r="26" spans="1:15" ht="15.75">
      <c r="A26" s="205"/>
      <c r="B26" s="206" t="s">
        <v>321</v>
      </c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4"/>
      <c r="O26" s="208">
        <f t="shared" si="0"/>
        <v>0</v>
      </c>
    </row>
    <row r="27" spans="1:15" ht="15.75">
      <c r="A27" s="205" t="s">
        <v>230</v>
      </c>
      <c r="B27" s="209" t="s">
        <v>322</v>
      </c>
      <c r="C27" s="213">
        <v>392711</v>
      </c>
      <c r="D27" s="213">
        <f>7466277</f>
        <v>7466277</v>
      </c>
      <c r="E27" s="213"/>
      <c r="F27" s="213">
        <f>50000000+1836198+296450</f>
        <v>52132648</v>
      </c>
      <c r="G27" s="213">
        <f>1115738+600000+38100+2520923+100000+38756947+1320500+602627</f>
        <v>45054835</v>
      </c>
      <c r="H27" s="213"/>
      <c r="I27" s="213"/>
      <c r="J27" s="213"/>
      <c r="K27" s="213"/>
      <c r="L27" s="213"/>
      <c r="M27" s="213"/>
      <c r="N27" s="214"/>
      <c r="O27" s="208">
        <f t="shared" si="0"/>
        <v>105046471</v>
      </c>
    </row>
    <row r="28" spans="1:15" ht="16.5" thickBot="1">
      <c r="A28" s="215" t="s">
        <v>232</v>
      </c>
      <c r="B28" s="216" t="s">
        <v>323</v>
      </c>
      <c r="C28" s="213"/>
      <c r="D28" s="213">
        <f>C50</f>
        <v>344011</v>
      </c>
      <c r="E28" s="213">
        <f aca="true" t="shared" si="1" ref="E28:N28">D50</f>
        <v>1243247</v>
      </c>
      <c r="F28" s="213">
        <f t="shared" si="1"/>
        <v>781747</v>
      </c>
      <c r="G28" s="213">
        <f t="shared" si="1"/>
        <v>112861</v>
      </c>
      <c r="H28" s="213">
        <f t="shared" si="1"/>
        <v>3984749</v>
      </c>
      <c r="I28" s="213">
        <f t="shared" si="1"/>
        <v>2190749</v>
      </c>
      <c r="J28" s="213">
        <f t="shared" si="1"/>
        <v>1216849</v>
      </c>
      <c r="K28" s="213">
        <f t="shared" si="1"/>
        <v>1107649</v>
      </c>
      <c r="L28" s="213">
        <f t="shared" si="1"/>
        <v>1117749</v>
      </c>
      <c r="M28" s="213">
        <f t="shared" si="1"/>
        <v>901849</v>
      </c>
      <c r="N28" s="213">
        <f t="shared" si="1"/>
        <v>1161798</v>
      </c>
      <c r="O28" s="208"/>
    </row>
    <row r="29" spans="1:16" s="18" customFormat="1" ht="27.75" customHeight="1" thickBot="1">
      <c r="A29" s="217"/>
      <c r="B29" s="217" t="s">
        <v>324</v>
      </c>
      <c r="C29" s="218">
        <f aca="true" t="shared" si="2" ref="C29:N29">SUM(C16:C28)</f>
        <v>4372921</v>
      </c>
      <c r="D29" s="218">
        <f t="shared" si="2"/>
        <v>12046977</v>
      </c>
      <c r="E29" s="218">
        <f t="shared" si="2"/>
        <v>7217936</v>
      </c>
      <c r="F29" s="218">
        <f t="shared" si="2"/>
        <v>57141703</v>
      </c>
      <c r="G29" s="218">
        <f t="shared" si="2"/>
        <v>49483185</v>
      </c>
      <c r="H29" s="218">
        <f t="shared" si="2"/>
        <v>7916438</v>
      </c>
      <c r="I29" s="218">
        <f t="shared" si="2"/>
        <v>6041438</v>
      </c>
      <c r="J29" s="218">
        <f t="shared" si="2"/>
        <v>5669738</v>
      </c>
      <c r="K29" s="218">
        <f t="shared" si="2"/>
        <v>7077338</v>
      </c>
      <c r="L29" s="218">
        <f t="shared" si="2"/>
        <v>5036438</v>
      </c>
      <c r="M29" s="218">
        <f t="shared" si="2"/>
        <v>5728584</v>
      </c>
      <c r="N29" s="218">
        <f t="shared" si="2"/>
        <v>5249087</v>
      </c>
      <c r="O29" s="219">
        <f>SUM(O15:O28)</f>
        <v>158818525</v>
      </c>
      <c r="P29" s="88"/>
    </row>
    <row r="30" spans="1:15" ht="15.75">
      <c r="A30" s="220"/>
      <c r="B30" s="221" t="s">
        <v>325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22"/>
    </row>
    <row r="31" spans="1:17" ht="15.75">
      <c r="A31" s="205" t="s">
        <v>238</v>
      </c>
      <c r="B31" s="209" t="s">
        <v>170</v>
      </c>
      <c r="C31" s="207">
        <f>1865910+9306</f>
        <v>1875216</v>
      </c>
      <c r="D31" s="207">
        <v>1865910</v>
      </c>
      <c r="E31" s="207">
        <f>1865910</f>
        <v>1865910</v>
      </c>
      <c r="F31" s="207">
        <f>1865910+57077</f>
        <v>1922987</v>
      </c>
      <c r="G31" s="207">
        <v>1865910</v>
      </c>
      <c r="H31" s="207">
        <v>1865910</v>
      </c>
      <c r="I31" s="207">
        <v>1865910</v>
      </c>
      <c r="J31" s="207">
        <v>1865910</v>
      </c>
      <c r="K31" s="207">
        <v>1865910</v>
      </c>
      <c r="L31" s="207">
        <v>1865910</v>
      </c>
      <c r="M31" s="207">
        <v>1865910</v>
      </c>
      <c r="N31" s="207">
        <v>1865917</v>
      </c>
      <c r="O31" s="208">
        <f aca="true" t="shared" si="3" ref="O31:O48">SUM(C31:N31)</f>
        <v>22457310</v>
      </c>
      <c r="P31" s="230"/>
      <c r="Q31" s="230"/>
    </row>
    <row r="32" spans="1:17" ht="31.5">
      <c r="A32" s="205" t="s">
        <v>240</v>
      </c>
      <c r="B32" s="228" t="s">
        <v>326</v>
      </c>
      <c r="C32" s="207">
        <f>373679+1815</f>
        <v>375494</v>
      </c>
      <c r="D32" s="207">
        <f>373679</f>
        <v>373679</v>
      </c>
      <c r="E32" s="207">
        <v>373679</v>
      </c>
      <c r="F32" s="207">
        <f>373679+4542</f>
        <v>378221</v>
      </c>
      <c r="G32" s="207">
        <v>373679</v>
      </c>
      <c r="H32" s="207">
        <v>373679</v>
      </c>
      <c r="I32" s="207">
        <v>373679</v>
      </c>
      <c r="J32" s="207">
        <v>373679</v>
      </c>
      <c r="K32" s="207">
        <v>373679</v>
      </c>
      <c r="L32" s="207">
        <v>373679</v>
      </c>
      <c r="M32" s="207">
        <v>373679</v>
      </c>
      <c r="N32" s="207">
        <v>373673</v>
      </c>
      <c r="O32" s="208">
        <f t="shared" si="3"/>
        <v>4490499</v>
      </c>
      <c r="Q32" s="230"/>
    </row>
    <row r="33" spans="1:17" ht="15.75">
      <c r="A33" s="205" t="s">
        <v>242</v>
      </c>
      <c r="B33" s="209" t="s">
        <v>172</v>
      </c>
      <c r="C33" s="207">
        <v>1521000</v>
      </c>
      <c r="D33" s="207">
        <v>1945000</v>
      </c>
      <c r="E33" s="207">
        <v>2645000</v>
      </c>
      <c r="F33" s="207">
        <f>1745000+317500</f>
        <v>2062500</v>
      </c>
      <c r="G33" s="207">
        <f>1545000+177800+602627</f>
        <v>2325427</v>
      </c>
      <c r="H33" s="207">
        <f>1745000-450000+1003000</f>
        <v>2298000</v>
      </c>
      <c r="I33" s="207">
        <f>845000+100000</f>
        <v>945000</v>
      </c>
      <c r="J33" s="207">
        <v>1745000</v>
      </c>
      <c r="K33" s="207">
        <v>1745000</v>
      </c>
      <c r="L33" s="207">
        <v>1745000</v>
      </c>
      <c r="M33" s="207">
        <v>1745000</v>
      </c>
      <c r="N33" s="207">
        <v>1939797</v>
      </c>
      <c r="O33" s="208">
        <f t="shared" si="3"/>
        <v>22661724</v>
      </c>
      <c r="P33" s="230"/>
      <c r="Q33" s="230"/>
    </row>
    <row r="34" spans="1:15" ht="15.75">
      <c r="A34" s="205" t="s">
        <v>247</v>
      </c>
      <c r="B34" s="209" t="s">
        <v>173</v>
      </c>
      <c r="C34" s="207">
        <v>150000</v>
      </c>
      <c r="D34" s="207">
        <v>150000</v>
      </c>
      <c r="E34" s="207">
        <v>150000</v>
      </c>
      <c r="F34" s="207">
        <v>150000</v>
      </c>
      <c r="G34" s="207">
        <f>150000-60000</f>
        <v>90000</v>
      </c>
      <c r="H34" s="207">
        <v>150000</v>
      </c>
      <c r="I34" s="207">
        <v>150000</v>
      </c>
      <c r="J34" s="207">
        <v>500000</v>
      </c>
      <c r="K34" s="207">
        <v>150000</v>
      </c>
      <c r="L34" s="207">
        <v>150000</v>
      </c>
      <c r="M34" s="207">
        <f>150000+61400</f>
        <v>211400</v>
      </c>
      <c r="N34" s="207">
        <v>1000000</v>
      </c>
      <c r="O34" s="208">
        <f t="shared" si="3"/>
        <v>3001400</v>
      </c>
    </row>
    <row r="35" spans="1:15" ht="15.75">
      <c r="A35" s="205" t="s">
        <v>249</v>
      </c>
      <c r="B35" s="209" t="s">
        <v>327</v>
      </c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8"/>
    </row>
    <row r="36" spans="1:15" ht="15.75">
      <c r="A36" s="205"/>
      <c r="B36" s="209" t="s">
        <v>328</v>
      </c>
      <c r="C36" s="207">
        <f>37500+69700</f>
        <v>107200</v>
      </c>
      <c r="D36" s="207"/>
      <c r="E36" s="207"/>
      <c r="F36" s="207"/>
      <c r="G36" s="207">
        <v>209100</v>
      </c>
      <c r="H36" s="207"/>
      <c r="I36" s="207"/>
      <c r="J36" s="207">
        <v>37500</v>
      </c>
      <c r="K36" s="207">
        <f>600000+600000</f>
        <v>1200000</v>
      </c>
      <c r="L36" s="207"/>
      <c r="M36" s="207"/>
      <c r="N36" s="207">
        <v>69700</v>
      </c>
      <c r="O36" s="208">
        <f t="shared" si="3"/>
        <v>1623500</v>
      </c>
    </row>
    <row r="37" spans="1:16" ht="15.75">
      <c r="A37" s="205"/>
      <c r="B37" s="209" t="s">
        <v>329</v>
      </c>
      <c r="C37" s="207"/>
      <c r="D37" s="207"/>
      <c r="E37" s="207">
        <v>50000</v>
      </c>
      <c r="F37" s="207">
        <v>40000</v>
      </c>
      <c r="G37" s="207">
        <v>60000</v>
      </c>
      <c r="H37" s="207"/>
      <c r="I37" s="207">
        <v>40000</v>
      </c>
      <c r="J37" s="207">
        <v>40000</v>
      </c>
      <c r="K37" s="207">
        <v>625000</v>
      </c>
      <c r="L37" s="207"/>
      <c r="M37" s="207">
        <v>90000</v>
      </c>
      <c r="N37" s="207"/>
      <c r="O37" s="208">
        <f t="shared" si="3"/>
        <v>945000</v>
      </c>
      <c r="P37" s="230"/>
    </row>
    <row r="38" spans="1:15" ht="15.75">
      <c r="A38" s="205" t="s">
        <v>251</v>
      </c>
      <c r="B38" s="209" t="s">
        <v>176</v>
      </c>
      <c r="C38" s="207"/>
      <c r="D38" s="207">
        <v>51562</v>
      </c>
      <c r="E38" s="207">
        <v>101600</v>
      </c>
      <c r="F38" s="207"/>
      <c r="G38" s="207">
        <v>296450</v>
      </c>
      <c r="H38" s="207">
        <v>38100</v>
      </c>
      <c r="I38" s="207"/>
      <c r="J38" s="207"/>
      <c r="K38" s="207"/>
      <c r="L38" s="207"/>
      <c r="M38" s="207">
        <v>280797</v>
      </c>
      <c r="N38" s="207"/>
      <c r="O38" s="208">
        <f t="shared" si="3"/>
        <v>768509</v>
      </c>
    </row>
    <row r="39" spans="1:15" ht="15.75">
      <c r="A39" s="205" t="s">
        <v>258</v>
      </c>
      <c r="B39" s="209" t="s">
        <v>60</v>
      </c>
      <c r="C39" s="207"/>
      <c r="D39" s="207">
        <v>5000000</v>
      </c>
      <c r="E39" s="207">
        <v>1250000</v>
      </c>
      <c r="F39" s="207">
        <f>49130487+2228909+1115738</f>
        <v>52475134</v>
      </c>
      <c r="G39" s="207">
        <v>2520923</v>
      </c>
      <c r="H39" s="207"/>
      <c r="I39" s="207">
        <v>450000</v>
      </c>
      <c r="J39" s="207"/>
      <c r="K39" s="207"/>
      <c r="L39" s="207"/>
      <c r="M39" s="207"/>
      <c r="N39" s="207"/>
      <c r="O39" s="208">
        <f t="shared" si="3"/>
        <v>61696057</v>
      </c>
    </row>
    <row r="40" spans="1:15" ht="20.25" customHeight="1">
      <c r="A40" s="205" t="s">
        <v>261</v>
      </c>
      <c r="B40" s="209" t="s">
        <v>252</v>
      </c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8">
        <f t="shared" si="3"/>
        <v>0</v>
      </c>
    </row>
    <row r="41" spans="1:15" ht="20.25" customHeight="1">
      <c r="A41" s="205"/>
      <c r="B41" s="209" t="s">
        <v>328</v>
      </c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8">
        <f t="shared" si="3"/>
        <v>0</v>
      </c>
    </row>
    <row r="42" spans="1:15" ht="15.75">
      <c r="A42" s="205"/>
      <c r="B42" s="209" t="s">
        <v>329</v>
      </c>
      <c r="C42" s="207"/>
      <c r="D42" s="207"/>
      <c r="E42" s="207"/>
      <c r="F42" s="207"/>
      <c r="G42" s="207"/>
      <c r="H42" s="207">
        <v>1000000</v>
      </c>
      <c r="I42" s="207">
        <v>1000000</v>
      </c>
      <c r="J42" s="207"/>
      <c r="K42" s="207"/>
      <c r="L42" s="207"/>
      <c r="M42" s="207"/>
      <c r="N42" s="207"/>
      <c r="O42" s="208">
        <f t="shared" si="3"/>
        <v>2000000</v>
      </c>
    </row>
    <row r="43" spans="1:15" ht="15.75">
      <c r="A43" s="205" t="s">
        <v>263</v>
      </c>
      <c r="B43" s="209" t="s">
        <v>169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8">
        <f t="shared" si="3"/>
        <v>0</v>
      </c>
    </row>
    <row r="44" spans="1:15" ht="15.75">
      <c r="A44" s="205"/>
      <c r="B44" s="243" t="s">
        <v>368</v>
      </c>
      <c r="C44" s="207"/>
      <c r="D44" s="207">
        <v>1417579</v>
      </c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8">
        <f t="shared" si="3"/>
        <v>1417579</v>
      </c>
    </row>
    <row r="45" spans="1:15" ht="15.75">
      <c r="A45" s="205"/>
      <c r="B45" s="209" t="s">
        <v>330</v>
      </c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8">
        <f t="shared" si="3"/>
        <v>0</v>
      </c>
    </row>
    <row r="46" spans="1:15" ht="15.75">
      <c r="A46" s="205"/>
      <c r="B46" s="209" t="s">
        <v>331</v>
      </c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8">
        <f t="shared" si="3"/>
        <v>0</v>
      </c>
    </row>
    <row r="47" spans="1:16" ht="15.75">
      <c r="A47" s="205" t="s">
        <v>332</v>
      </c>
      <c r="B47" s="209" t="s">
        <v>333</v>
      </c>
      <c r="C47" s="207"/>
      <c r="D47" s="207"/>
      <c r="E47" s="207"/>
      <c r="F47" s="207"/>
      <c r="G47" s="207">
        <v>37756947</v>
      </c>
      <c r="H47" s="207"/>
      <c r="I47" s="207"/>
      <c r="J47" s="207"/>
      <c r="K47" s="207"/>
      <c r="L47" s="207"/>
      <c r="M47" s="207"/>
      <c r="N47" s="207"/>
      <c r="O47" s="208">
        <f t="shared" si="3"/>
        <v>37756947</v>
      </c>
      <c r="P47" s="230"/>
    </row>
    <row r="48" spans="1:15" ht="16.5" thickBot="1">
      <c r="A48" s="215" t="s">
        <v>334</v>
      </c>
      <c r="B48" s="216" t="s">
        <v>335</v>
      </c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8">
        <f t="shared" si="3"/>
        <v>0</v>
      </c>
    </row>
    <row r="49" spans="1:19" s="18" customFormat="1" ht="24" customHeight="1" thickBot="1">
      <c r="A49" s="217"/>
      <c r="B49" s="217" t="s">
        <v>336</v>
      </c>
      <c r="C49" s="218">
        <f aca="true" t="shared" si="4" ref="C49:O49">SUM(C31:C48)</f>
        <v>4028910</v>
      </c>
      <c r="D49" s="218">
        <f t="shared" si="4"/>
        <v>10803730</v>
      </c>
      <c r="E49" s="218">
        <f t="shared" si="4"/>
        <v>6436189</v>
      </c>
      <c r="F49" s="218">
        <f t="shared" si="4"/>
        <v>57028842</v>
      </c>
      <c r="G49" s="218">
        <f t="shared" si="4"/>
        <v>45498436</v>
      </c>
      <c r="H49" s="218">
        <f t="shared" si="4"/>
        <v>5725689</v>
      </c>
      <c r="I49" s="218">
        <f t="shared" si="4"/>
        <v>4824589</v>
      </c>
      <c r="J49" s="218">
        <f t="shared" si="4"/>
        <v>4562089</v>
      </c>
      <c r="K49" s="218">
        <f t="shared" si="4"/>
        <v>5959589</v>
      </c>
      <c r="L49" s="218">
        <f t="shared" si="4"/>
        <v>4134589</v>
      </c>
      <c r="M49" s="218">
        <f t="shared" si="4"/>
        <v>4566786</v>
      </c>
      <c r="N49" s="218">
        <f t="shared" si="4"/>
        <v>5249087</v>
      </c>
      <c r="O49" s="219">
        <f t="shared" si="4"/>
        <v>158818525</v>
      </c>
      <c r="S49" s="223"/>
    </row>
    <row r="50" spans="1:15" ht="26.25" customHeight="1" thickBot="1">
      <c r="A50" s="224"/>
      <c r="B50" s="225" t="s">
        <v>337</v>
      </c>
      <c r="C50" s="226">
        <f aca="true" t="shared" si="5" ref="C50:N50">C29-C49</f>
        <v>344011</v>
      </c>
      <c r="D50" s="226">
        <f t="shared" si="5"/>
        <v>1243247</v>
      </c>
      <c r="E50" s="226">
        <f t="shared" si="5"/>
        <v>781747</v>
      </c>
      <c r="F50" s="226">
        <f t="shared" si="5"/>
        <v>112861</v>
      </c>
      <c r="G50" s="226">
        <f t="shared" si="5"/>
        <v>3984749</v>
      </c>
      <c r="H50" s="226">
        <f t="shared" si="5"/>
        <v>2190749</v>
      </c>
      <c r="I50" s="226">
        <f t="shared" si="5"/>
        <v>1216849</v>
      </c>
      <c r="J50" s="226">
        <f t="shared" si="5"/>
        <v>1107649</v>
      </c>
      <c r="K50" s="226">
        <f t="shared" si="5"/>
        <v>1117749</v>
      </c>
      <c r="L50" s="226">
        <f t="shared" si="5"/>
        <v>901849</v>
      </c>
      <c r="M50" s="226">
        <f t="shared" si="5"/>
        <v>1161798</v>
      </c>
      <c r="N50" s="226">
        <f t="shared" si="5"/>
        <v>0</v>
      </c>
      <c r="O50" s="227"/>
    </row>
    <row r="52" spans="3:15" ht="15.75"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</row>
    <row r="53" ht="15.75">
      <c r="O53" s="229"/>
    </row>
    <row r="54" ht="15.75">
      <c r="O54" s="229"/>
    </row>
    <row r="55" ht="15.75">
      <c r="O55" s="229"/>
    </row>
    <row r="56" ht="15.75">
      <c r="O56" s="229"/>
    </row>
  </sheetData>
  <sheetProtection/>
  <mergeCells count="7">
    <mergeCell ref="A1:O1"/>
    <mergeCell ref="B9:O9"/>
    <mergeCell ref="B5:O5"/>
    <mergeCell ref="B6:O6"/>
    <mergeCell ref="B7:O7"/>
    <mergeCell ref="B8:O8"/>
    <mergeCell ref="A3:O3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N24"/>
  <sheetViews>
    <sheetView tabSelected="1" view="pageBreakPreview" zoomScale="60" zoomScalePageLayoutView="0" workbookViewId="0" topLeftCell="A1">
      <selection activeCell="D19" sqref="D19"/>
    </sheetView>
  </sheetViews>
  <sheetFormatPr defaultColWidth="9.00390625" defaultRowHeight="12.75"/>
  <cols>
    <col min="1" max="1" width="1.875" style="0" customWidth="1"/>
    <col min="2" max="2" width="27.625" style="0" customWidth="1"/>
    <col min="3" max="3" width="11.125" style="0" customWidth="1"/>
    <col min="4" max="4" width="15.75390625" style="0" customWidth="1"/>
    <col min="5" max="5" width="12.875" style="0" customWidth="1"/>
    <col min="6" max="6" width="12.00390625" style="0" customWidth="1"/>
    <col min="7" max="7" width="10.125" style="0" customWidth="1"/>
    <col min="8" max="8" width="11.125" style="0" customWidth="1"/>
    <col min="9" max="9" width="12.375" style="0" customWidth="1"/>
    <col min="10" max="11" width="12.00390625" style="0" customWidth="1"/>
    <col min="12" max="12" width="13.375" style="0" customWidth="1"/>
    <col min="13" max="13" width="12.75390625" style="0" customWidth="1"/>
    <col min="14" max="14" width="11.875" style="0" customWidth="1"/>
  </cols>
  <sheetData>
    <row r="1" spans="1:14" ht="12.75">
      <c r="A1" s="417" t="s">
        <v>534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</row>
    <row r="2" ht="12.75">
      <c r="F2" s="400"/>
    </row>
    <row r="3" spans="1:4" ht="12.75">
      <c r="A3" s="557" t="s">
        <v>500</v>
      </c>
      <c r="B3" s="557"/>
      <c r="C3" s="557"/>
      <c r="D3" s="557"/>
    </row>
    <row r="5" spans="1:14" ht="18.75" customHeight="1">
      <c r="A5" s="558"/>
      <c r="B5" s="558"/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558"/>
      <c r="N5" s="558"/>
    </row>
    <row r="6" spans="1:14" ht="18" customHeight="1">
      <c r="A6" s="558" t="s">
        <v>458</v>
      </c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</row>
    <row r="7" spans="1:14" ht="16.5" customHeight="1">
      <c r="A7" s="558" t="s">
        <v>459</v>
      </c>
      <c r="B7" s="558"/>
      <c r="C7" s="558"/>
      <c r="D7" s="558"/>
      <c r="E7" s="558"/>
      <c r="F7" s="558"/>
      <c r="G7" s="558"/>
      <c r="H7" s="558"/>
      <c r="I7" s="558"/>
      <c r="J7" s="558"/>
      <c r="K7" s="558"/>
      <c r="L7" s="558"/>
      <c r="M7" s="558"/>
      <c r="N7" s="558"/>
    </row>
    <row r="8" spans="1:14" ht="16.5" customHeight="1">
      <c r="A8" s="558" t="s">
        <v>435</v>
      </c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</row>
    <row r="10" ht="13.5" thickBot="1">
      <c r="N10" s="367" t="s">
        <v>460</v>
      </c>
    </row>
    <row r="11" spans="1:14" ht="21" customHeight="1" thickBot="1">
      <c r="A11" s="556" t="s">
        <v>461</v>
      </c>
      <c r="B11" s="559" t="s">
        <v>0</v>
      </c>
      <c r="C11" s="553" t="s">
        <v>462</v>
      </c>
      <c r="D11" s="554" t="s">
        <v>463</v>
      </c>
      <c r="E11" s="554"/>
      <c r="F11" s="554"/>
      <c r="G11" s="554"/>
      <c r="H11" s="554"/>
      <c r="I11" s="555" t="s">
        <v>464</v>
      </c>
      <c r="J11" s="555"/>
      <c r="K11" s="555"/>
      <c r="L11" s="555"/>
      <c r="M11" s="555" t="s">
        <v>465</v>
      </c>
      <c r="N11" s="555"/>
    </row>
    <row r="12" spans="1:14" ht="63" customHeight="1" thickBot="1">
      <c r="A12" s="556"/>
      <c r="B12" s="559"/>
      <c r="C12" s="553"/>
      <c r="D12" s="368" t="s">
        <v>466</v>
      </c>
      <c r="E12" s="368" t="s">
        <v>467</v>
      </c>
      <c r="F12" s="368" t="s">
        <v>463</v>
      </c>
      <c r="G12" s="368" t="s">
        <v>468</v>
      </c>
      <c r="H12" s="368" t="s">
        <v>469</v>
      </c>
      <c r="I12" s="368" t="s">
        <v>470</v>
      </c>
      <c r="J12" s="368" t="s">
        <v>464</v>
      </c>
      <c r="K12" s="368" t="s">
        <v>477</v>
      </c>
      <c r="L12" s="368" t="s">
        <v>471</v>
      </c>
      <c r="M12" s="368" t="s">
        <v>472</v>
      </c>
      <c r="N12" s="368" t="s">
        <v>473</v>
      </c>
    </row>
    <row r="13" spans="1:14" ht="16.5" customHeight="1" thickBot="1">
      <c r="A13" s="369" t="s">
        <v>38</v>
      </c>
      <c r="B13" s="369" t="s">
        <v>474</v>
      </c>
      <c r="C13" s="370">
        <f>H13+M13+L13+N13</f>
        <v>144333997</v>
      </c>
      <c r="D13" s="370">
        <f>35488868+11121+177800+61619</f>
        <v>35739408</v>
      </c>
      <c r="E13" s="370">
        <v>7813000</v>
      </c>
      <c r="F13" s="370">
        <v>6917611</v>
      </c>
      <c r="G13" s="369"/>
      <c r="H13" s="370">
        <f>D13+E13+F13</f>
        <v>50470019</v>
      </c>
      <c r="I13" s="369"/>
      <c r="J13" s="370">
        <v>121800</v>
      </c>
      <c r="K13" s="369"/>
      <c r="L13" s="370">
        <f>I13+J13+K13</f>
        <v>121800</v>
      </c>
      <c r="M13" s="370">
        <f>59695186+1003000+317500+100000+38756947+4571211</f>
        <v>104443844</v>
      </c>
      <c r="N13" s="370">
        <v>-10701666</v>
      </c>
    </row>
    <row r="14" spans="1:14" ht="18.75" customHeight="1" thickBot="1">
      <c r="A14" s="369" t="s">
        <v>21</v>
      </c>
      <c r="B14" s="369" t="s">
        <v>475</v>
      </c>
      <c r="C14" s="370">
        <f>H14+N14+M14</f>
        <v>14484528</v>
      </c>
      <c r="D14" s="369"/>
      <c r="E14" s="369"/>
      <c r="F14" s="370">
        <v>3180235</v>
      </c>
      <c r="G14" s="369"/>
      <c r="H14" s="370">
        <f>D14+E14+F14</f>
        <v>3180235</v>
      </c>
      <c r="I14" s="369"/>
      <c r="J14" s="369"/>
      <c r="K14" s="369"/>
      <c r="L14" s="369"/>
      <c r="M14" s="370">
        <v>602627</v>
      </c>
      <c r="N14" s="370">
        <v>10701666</v>
      </c>
    </row>
    <row r="15" spans="1:14" ht="20.25" customHeight="1" thickBot="1">
      <c r="A15" s="369" t="s">
        <v>39</v>
      </c>
      <c r="B15" s="369" t="s">
        <v>476</v>
      </c>
      <c r="C15" s="370">
        <f>C13+C14</f>
        <v>158818525</v>
      </c>
      <c r="D15" s="370">
        <f aca="true" t="shared" si="0" ref="D15:N15">D13+D14</f>
        <v>35739408</v>
      </c>
      <c r="E15" s="370">
        <f t="shared" si="0"/>
        <v>7813000</v>
      </c>
      <c r="F15" s="370">
        <f t="shared" si="0"/>
        <v>10097846</v>
      </c>
      <c r="G15" s="370">
        <f t="shared" si="0"/>
        <v>0</v>
      </c>
      <c r="H15" s="370">
        <f t="shared" si="0"/>
        <v>53650254</v>
      </c>
      <c r="I15" s="370">
        <f t="shared" si="0"/>
        <v>0</v>
      </c>
      <c r="J15" s="370">
        <f t="shared" si="0"/>
        <v>121800</v>
      </c>
      <c r="K15" s="370">
        <f t="shared" si="0"/>
        <v>0</v>
      </c>
      <c r="L15" s="370">
        <f t="shared" si="0"/>
        <v>121800</v>
      </c>
      <c r="M15" s="370">
        <f t="shared" si="0"/>
        <v>105046471</v>
      </c>
      <c r="N15" s="370">
        <f t="shared" si="0"/>
        <v>0</v>
      </c>
    </row>
    <row r="24" ht="12.75">
      <c r="B24" s="371"/>
    </row>
  </sheetData>
  <sheetProtection/>
  <mergeCells count="12">
    <mergeCell ref="A8:N8"/>
    <mergeCell ref="B11:B12"/>
    <mergeCell ref="C11:C12"/>
    <mergeCell ref="D11:H11"/>
    <mergeCell ref="I11:L11"/>
    <mergeCell ref="M11:N11"/>
    <mergeCell ref="A1:N1"/>
    <mergeCell ref="A11:A12"/>
    <mergeCell ref="A3:D3"/>
    <mergeCell ref="A5:N5"/>
    <mergeCell ref="A6:N6"/>
    <mergeCell ref="A7:N7"/>
  </mergeCells>
  <printOptions/>
  <pageMargins left="0.11811023622047245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62"/>
  <sheetViews>
    <sheetView view="pageBreakPreview" zoomScale="60" zoomScalePageLayoutView="0" workbookViewId="0" topLeftCell="A1">
      <selection activeCell="J7" sqref="J7"/>
    </sheetView>
  </sheetViews>
  <sheetFormatPr defaultColWidth="9.00390625" defaultRowHeight="12.75"/>
  <cols>
    <col min="1" max="1" width="5.625" style="4" customWidth="1"/>
    <col min="2" max="2" width="64.625" style="4" customWidth="1"/>
    <col min="3" max="3" width="14.625" style="49" customWidth="1"/>
    <col min="4" max="4" width="4.875" style="4" customWidth="1"/>
    <col min="5" max="5" width="16.375" style="49" customWidth="1"/>
    <col min="6" max="6" width="5.25390625" style="4" customWidth="1"/>
    <col min="7" max="7" width="9.125" style="4" customWidth="1"/>
    <col min="8" max="8" width="14.25390625" style="4" bestFit="1" customWidth="1"/>
    <col min="9" max="16384" width="9.125" style="4" customWidth="1"/>
  </cols>
  <sheetData>
    <row r="1" spans="1:6" ht="15">
      <c r="A1" s="416" t="s">
        <v>523</v>
      </c>
      <c r="B1" s="417"/>
      <c r="C1" s="417"/>
      <c r="D1" s="417"/>
      <c r="E1" s="417"/>
      <c r="F1" s="417"/>
    </row>
    <row r="3" spans="1:6" ht="15">
      <c r="A3" s="414" t="s">
        <v>488</v>
      </c>
      <c r="B3" s="415"/>
      <c r="C3" s="415"/>
      <c r="D3" s="415"/>
      <c r="E3" s="415"/>
      <c r="F3" s="415"/>
    </row>
    <row r="4" spans="2:6" ht="15">
      <c r="B4" s="74"/>
      <c r="C4" s="74"/>
      <c r="D4" s="74"/>
      <c r="E4" s="74"/>
      <c r="F4" s="74"/>
    </row>
    <row r="5" spans="2:6" s="44" customFormat="1" ht="15.75">
      <c r="B5" s="413"/>
      <c r="C5" s="413"/>
      <c r="D5" s="413"/>
      <c r="E5" s="413"/>
      <c r="F5" s="413"/>
    </row>
    <row r="6" spans="2:6" s="44" customFormat="1" ht="15.75">
      <c r="B6" s="412" t="s">
        <v>35</v>
      </c>
      <c r="C6" s="412"/>
      <c r="D6" s="412"/>
      <c r="E6" s="412"/>
      <c r="F6" s="412"/>
    </row>
    <row r="7" spans="2:6" ht="15.75">
      <c r="B7" s="412" t="s">
        <v>142</v>
      </c>
      <c r="C7" s="412"/>
      <c r="D7" s="412"/>
      <c r="E7" s="412"/>
      <c r="F7" s="412"/>
    </row>
    <row r="8" spans="2:6" ht="12.75" customHeight="1">
      <c r="B8" s="411" t="s">
        <v>434</v>
      </c>
      <c r="C8" s="411"/>
      <c r="D8" s="411"/>
      <c r="E8" s="411"/>
      <c r="F8" s="411"/>
    </row>
    <row r="9" spans="2:6" s="1" customFormat="1" ht="15">
      <c r="B9" s="4"/>
      <c r="C9" s="49"/>
      <c r="D9" s="4"/>
      <c r="E9" s="41"/>
      <c r="F9" s="4"/>
    </row>
    <row r="10" spans="1:5" s="1" customFormat="1" ht="18.75">
      <c r="A10" s="290" t="s">
        <v>38</v>
      </c>
      <c r="B10" s="91" t="s">
        <v>143</v>
      </c>
      <c r="C10" s="50"/>
      <c r="E10" s="92"/>
    </row>
    <row r="11" spans="1:6" ht="15.75">
      <c r="A11" s="290" t="s">
        <v>395</v>
      </c>
      <c r="B11" s="7" t="s">
        <v>144</v>
      </c>
      <c r="C11" s="50"/>
      <c r="D11" s="1"/>
      <c r="E11" s="93">
        <f>C12+C13</f>
        <v>35739408</v>
      </c>
      <c r="F11" s="1" t="s">
        <v>377</v>
      </c>
    </row>
    <row r="12" spans="1:8" ht="15.75">
      <c r="A12" s="290" t="s">
        <v>396</v>
      </c>
      <c r="B12" s="94" t="s">
        <v>145</v>
      </c>
      <c r="C12" s="49">
        <f>'2.mell - bevétel'!H56</f>
        <v>35631389</v>
      </c>
      <c r="D12" s="4" t="s">
        <v>5</v>
      </c>
      <c r="E12" s="41"/>
      <c r="H12" s="68"/>
    </row>
    <row r="13" spans="1:6" s="1" customFormat="1" ht="15.75" customHeight="1">
      <c r="A13" s="290" t="s">
        <v>397</v>
      </c>
      <c r="B13" s="94" t="s">
        <v>146</v>
      </c>
      <c r="C13" s="49">
        <f>'2.mell - bevétel'!H61</f>
        <v>108019</v>
      </c>
      <c r="D13" s="4" t="s">
        <v>5</v>
      </c>
      <c r="E13" s="41"/>
      <c r="F13" s="4"/>
    </row>
    <row r="14" spans="1:5" s="1" customFormat="1" ht="15.75">
      <c r="A14" s="290"/>
      <c r="B14" s="7"/>
      <c r="C14" s="50"/>
      <c r="E14" s="93"/>
    </row>
    <row r="15" spans="1:6" s="1" customFormat="1" ht="15.75">
      <c r="A15" s="290" t="s">
        <v>398</v>
      </c>
      <c r="B15" s="7" t="s">
        <v>147</v>
      </c>
      <c r="C15" s="50"/>
      <c r="E15" s="93"/>
      <c r="F15" s="1" t="s">
        <v>377</v>
      </c>
    </row>
    <row r="16" spans="1:5" s="1" customFormat="1" ht="15.75">
      <c r="A16" s="290"/>
      <c r="B16" s="7"/>
      <c r="C16" s="50"/>
      <c r="E16" s="93"/>
    </row>
    <row r="17" spans="1:6" s="1" customFormat="1" ht="15.75">
      <c r="A17" s="290" t="s">
        <v>399</v>
      </c>
      <c r="B17" s="7" t="s">
        <v>100</v>
      </c>
      <c r="C17" s="50"/>
      <c r="E17" s="93">
        <f>'2.mell - bevétel'!G80</f>
        <v>7813000</v>
      </c>
      <c r="F17" s="1" t="s">
        <v>377</v>
      </c>
    </row>
    <row r="18" spans="1:8" s="1" customFormat="1" ht="15.75">
      <c r="A18" s="290"/>
      <c r="B18" s="7"/>
      <c r="C18" s="50"/>
      <c r="E18" s="93"/>
      <c r="H18" s="69"/>
    </row>
    <row r="19" spans="1:6" s="1" customFormat="1" ht="15.75">
      <c r="A19" s="290" t="s">
        <v>400</v>
      </c>
      <c r="B19" s="7" t="s">
        <v>50</v>
      </c>
      <c r="C19" s="50"/>
      <c r="E19" s="93">
        <f>'2.mell - bevétel'!H102</f>
        <v>10097846</v>
      </c>
      <c r="F19" s="1" t="s">
        <v>377</v>
      </c>
    </row>
    <row r="20" spans="1:5" s="1" customFormat="1" ht="15.75">
      <c r="A20" s="290"/>
      <c r="B20" s="8"/>
      <c r="C20" s="51"/>
      <c r="E20" s="93"/>
    </row>
    <row r="21" spans="1:6" s="1" customFormat="1" ht="15.75">
      <c r="A21" s="290" t="s">
        <v>401</v>
      </c>
      <c r="B21" s="7" t="s">
        <v>148</v>
      </c>
      <c r="C21" s="50"/>
      <c r="E21" s="93">
        <v>0</v>
      </c>
      <c r="F21" s="1" t="s">
        <v>377</v>
      </c>
    </row>
    <row r="22" spans="1:5" s="1" customFormat="1" ht="15.75">
      <c r="A22" s="290"/>
      <c r="B22" s="8"/>
      <c r="C22" s="50"/>
      <c r="E22" s="93"/>
    </row>
    <row r="23" spans="1:6" s="1" customFormat="1" ht="15.75">
      <c r="A23" s="290" t="s">
        <v>402</v>
      </c>
      <c r="B23" s="7" t="s">
        <v>149</v>
      </c>
      <c r="E23" s="93">
        <f>C24+C25</f>
        <v>0</v>
      </c>
      <c r="F23" s="1" t="s">
        <v>377</v>
      </c>
    </row>
    <row r="24" spans="1:8" s="6" customFormat="1" ht="32.25">
      <c r="A24" s="291" t="s">
        <v>403</v>
      </c>
      <c r="B24" s="94" t="s">
        <v>150</v>
      </c>
      <c r="C24" s="51">
        <v>0</v>
      </c>
      <c r="D24" s="1" t="s">
        <v>5</v>
      </c>
      <c r="E24" s="93"/>
      <c r="F24" s="1"/>
      <c r="G24" s="1"/>
      <c r="H24" s="70"/>
    </row>
    <row r="25" spans="1:8" ht="18.75">
      <c r="A25" s="290"/>
      <c r="B25" s="44" t="s">
        <v>151</v>
      </c>
      <c r="C25" s="50">
        <v>0</v>
      </c>
      <c r="D25" s="1" t="s">
        <v>5</v>
      </c>
      <c r="E25" s="93"/>
      <c r="F25" s="1"/>
      <c r="G25" s="6"/>
      <c r="H25" s="71"/>
    </row>
    <row r="26" spans="1:8" s="1" customFormat="1" ht="18.75">
      <c r="A26" s="290"/>
      <c r="B26" s="59"/>
      <c r="C26" s="49"/>
      <c r="D26" s="4"/>
      <c r="E26" s="95"/>
      <c r="F26" s="6"/>
      <c r="H26" s="72"/>
    </row>
    <row r="27" spans="1:6" s="1" customFormat="1" ht="15.75">
      <c r="A27" s="290" t="s">
        <v>404</v>
      </c>
      <c r="B27" s="7" t="s">
        <v>128</v>
      </c>
      <c r="C27" s="50"/>
      <c r="E27" s="93">
        <f>C28+C29</f>
        <v>121800</v>
      </c>
      <c r="F27" s="1" t="s">
        <v>377</v>
      </c>
    </row>
    <row r="28" spans="1:5" s="1" customFormat="1" ht="31.5">
      <c r="A28" s="290" t="s">
        <v>405</v>
      </c>
      <c r="B28" s="94" t="s">
        <v>152</v>
      </c>
      <c r="C28" s="50">
        <f>'2.mell - bevétel'!H109</f>
        <v>121800</v>
      </c>
      <c r="D28" s="1" t="s">
        <v>5</v>
      </c>
      <c r="E28" s="93"/>
    </row>
    <row r="29" spans="1:5" s="1" customFormat="1" ht="15.75">
      <c r="A29" s="290" t="s">
        <v>406</v>
      </c>
      <c r="B29" s="44" t="s">
        <v>153</v>
      </c>
      <c r="C29" s="50">
        <v>0</v>
      </c>
      <c r="D29" s="1" t="s">
        <v>5</v>
      </c>
      <c r="E29" s="93"/>
    </row>
    <row r="30" spans="1:5" s="1" customFormat="1" ht="15.75">
      <c r="A30" s="290"/>
      <c r="B30" s="59"/>
      <c r="E30" s="92"/>
    </row>
    <row r="31" spans="1:6" s="1" customFormat="1" ht="15.75">
      <c r="A31" s="290" t="s">
        <v>21</v>
      </c>
      <c r="B31" s="7" t="s">
        <v>40</v>
      </c>
      <c r="E31" s="96">
        <f>SUM(E11:E30)</f>
        <v>53772054</v>
      </c>
      <c r="F31" s="1" t="s">
        <v>377</v>
      </c>
    </row>
    <row r="32" spans="1:5" s="1" customFormat="1" ht="15.75">
      <c r="A32" s="290"/>
      <c r="B32" s="44"/>
      <c r="E32" s="92"/>
    </row>
    <row r="33" spans="1:5" s="1" customFormat="1" ht="18.75">
      <c r="A33" s="290" t="s">
        <v>39</v>
      </c>
      <c r="B33" s="91" t="s">
        <v>154</v>
      </c>
      <c r="E33" s="92"/>
    </row>
    <row r="34" spans="1:6" s="1" customFormat="1" ht="15.75">
      <c r="A34" s="290" t="s">
        <v>407</v>
      </c>
      <c r="B34" s="9" t="s">
        <v>12</v>
      </c>
      <c r="C34" s="50"/>
      <c r="E34" s="93">
        <f>C36+C37+C38+C39+C40+C41</f>
        <v>92936380</v>
      </c>
      <c r="F34" s="1" t="s">
        <v>377</v>
      </c>
    </row>
    <row r="35" spans="1:5" s="1" customFormat="1" ht="15.75">
      <c r="A35" s="290"/>
      <c r="B35" s="8" t="s">
        <v>11</v>
      </c>
      <c r="C35" s="50"/>
      <c r="E35" s="93"/>
    </row>
    <row r="36" spans="1:5" s="1" customFormat="1" ht="15.75">
      <c r="A36" s="290" t="s">
        <v>408</v>
      </c>
      <c r="B36" s="44" t="s">
        <v>155</v>
      </c>
      <c r="C36" s="50">
        <f>'4.mell. - kiadás'!E46</f>
        <v>22457310</v>
      </c>
      <c r="D36" s="1" t="s">
        <v>377</v>
      </c>
      <c r="E36" s="93"/>
    </row>
    <row r="37" spans="1:5" s="1" customFormat="1" ht="15.75">
      <c r="A37" s="290" t="s">
        <v>409</v>
      </c>
      <c r="B37" s="44" t="s">
        <v>156</v>
      </c>
      <c r="C37" s="50">
        <f>'4.mell. - kiadás'!F46</f>
        <v>4490499</v>
      </c>
      <c r="D37" s="1" t="s">
        <v>377</v>
      </c>
      <c r="E37" s="93"/>
    </row>
    <row r="38" spans="1:5" s="1" customFormat="1" ht="15.75">
      <c r="A38" s="290" t="s">
        <v>410</v>
      </c>
      <c r="B38" s="44" t="s">
        <v>157</v>
      </c>
      <c r="C38" s="50">
        <f>'4.mell. - kiadás'!G46</f>
        <v>22661724</v>
      </c>
      <c r="D38" s="1" t="s">
        <v>377</v>
      </c>
      <c r="E38" s="93"/>
    </row>
    <row r="39" spans="1:5" s="1" customFormat="1" ht="15.75">
      <c r="A39" s="290" t="s">
        <v>411</v>
      </c>
      <c r="B39" s="97" t="s">
        <v>158</v>
      </c>
      <c r="C39" s="50">
        <f>'4.mell. - kiadás'!H46</f>
        <v>3001400</v>
      </c>
      <c r="D39" s="1" t="s">
        <v>377</v>
      </c>
      <c r="E39" s="93"/>
    </row>
    <row r="40" spans="1:5" s="1" customFormat="1" ht="15.75">
      <c r="A40" s="290" t="s">
        <v>418</v>
      </c>
      <c r="B40" s="44" t="s">
        <v>63</v>
      </c>
      <c r="C40" s="50">
        <f>'4.mell. - kiadás'!I46-C41</f>
        <v>2568500</v>
      </c>
      <c r="D40" s="1" t="s">
        <v>377</v>
      </c>
      <c r="E40" s="93"/>
    </row>
    <row r="41" spans="1:5" s="1" customFormat="1" ht="15.75">
      <c r="A41" s="290" t="s">
        <v>428</v>
      </c>
      <c r="B41" s="44" t="s">
        <v>427</v>
      </c>
      <c r="C41" s="51">
        <v>37756947</v>
      </c>
      <c r="D41" s="1" t="s">
        <v>1</v>
      </c>
      <c r="E41" s="93"/>
    </row>
    <row r="42" spans="1:6" s="1" customFormat="1" ht="15.75">
      <c r="A42" s="290" t="s">
        <v>412</v>
      </c>
      <c r="B42" s="9" t="s">
        <v>13</v>
      </c>
      <c r="C42" s="50"/>
      <c r="E42" s="98">
        <f>C44+C45+C46</f>
        <v>64464566</v>
      </c>
      <c r="F42" s="1" t="s">
        <v>377</v>
      </c>
    </row>
    <row r="43" spans="1:5" s="1" customFormat="1" ht="15.75">
      <c r="A43" s="290"/>
      <c r="B43" s="8" t="s">
        <v>11</v>
      </c>
      <c r="C43" s="50"/>
      <c r="E43" s="93"/>
    </row>
    <row r="44" spans="1:5" s="1" customFormat="1" ht="15.75">
      <c r="A44" s="290" t="s">
        <v>419</v>
      </c>
      <c r="B44" s="44" t="s">
        <v>159</v>
      </c>
      <c r="C44" s="51">
        <f>'4.mell. - kiadás'!K46</f>
        <v>768509</v>
      </c>
      <c r="D44" s="1" t="s">
        <v>377</v>
      </c>
      <c r="E44" s="93"/>
    </row>
    <row r="45" spans="1:5" s="1" customFormat="1" ht="15.75">
      <c r="A45" s="290" t="s">
        <v>413</v>
      </c>
      <c r="B45" s="44" t="s">
        <v>160</v>
      </c>
      <c r="C45" s="51">
        <f>'4.mell. - kiadás'!L46</f>
        <v>61696057</v>
      </c>
      <c r="D45" s="1" t="s">
        <v>377</v>
      </c>
      <c r="E45" s="93"/>
    </row>
    <row r="46" spans="1:7" ht="15.75">
      <c r="A46" s="290" t="s">
        <v>414</v>
      </c>
      <c r="B46" s="44" t="s">
        <v>64</v>
      </c>
      <c r="C46" s="51">
        <f>'4.mell. - kiadás'!M46</f>
        <v>2000000</v>
      </c>
      <c r="D46" s="1" t="s">
        <v>377</v>
      </c>
      <c r="E46" s="93"/>
      <c r="F46" s="1"/>
      <c r="G46" s="1"/>
    </row>
    <row r="47" s="1" customFormat="1" ht="7.5" customHeight="1">
      <c r="E47" s="93"/>
    </row>
    <row r="48" spans="1:6" s="1" customFormat="1" ht="15.75">
      <c r="A48" s="290" t="s">
        <v>86</v>
      </c>
      <c r="B48" s="18" t="s">
        <v>161</v>
      </c>
      <c r="C48" s="51"/>
      <c r="E48" s="93">
        <f>C49+C50+C51</f>
        <v>1417579</v>
      </c>
      <c r="F48" s="1" t="s">
        <v>377</v>
      </c>
    </row>
    <row r="49" spans="1:5" s="1" customFormat="1" ht="15.75">
      <c r="A49" s="290" t="s">
        <v>415</v>
      </c>
      <c r="B49" s="44" t="s">
        <v>162</v>
      </c>
      <c r="C49" s="50"/>
      <c r="D49" s="1" t="s">
        <v>377</v>
      </c>
      <c r="E49" s="93"/>
    </row>
    <row r="50" spans="1:7" s="6" customFormat="1" ht="18.75">
      <c r="A50" s="292" t="s">
        <v>416</v>
      </c>
      <c r="B50" s="44" t="s">
        <v>163</v>
      </c>
      <c r="C50" s="50"/>
      <c r="D50" s="1" t="s">
        <v>377</v>
      </c>
      <c r="E50" s="93"/>
      <c r="F50" s="1"/>
      <c r="G50" s="4"/>
    </row>
    <row r="51" spans="1:7" ht="15.75">
      <c r="A51" s="290" t="s">
        <v>417</v>
      </c>
      <c r="B51" s="44" t="s">
        <v>367</v>
      </c>
      <c r="C51" s="51">
        <f>'4.mell. - kiadás'!O19</f>
        <v>1417579</v>
      </c>
      <c r="D51" s="1" t="s">
        <v>377</v>
      </c>
      <c r="E51" s="93"/>
      <c r="F51" s="1"/>
      <c r="G51" s="1"/>
    </row>
    <row r="52" spans="1:7" ht="15.75">
      <c r="A52" s="290" t="s">
        <v>87</v>
      </c>
      <c r="B52" s="7" t="s">
        <v>42</v>
      </c>
      <c r="C52" s="51"/>
      <c r="D52" s="1"/>
      <c r="E52" s="41">
        <f>SUM(E34:E51)</f>
        <v>158818525</v>
      </c>
      <c r="F52" s="4" t="s">
        <v>377</v>
      </c>
      <c r="G52" s="1"/>
    </row>
    <row r="53" spans="1:7" ht="15.75">
      <c r="A53" s="290"/>
      <c r="B53" s="44"/>
      <c r="C53" s="50"/>
      <c r="D53" s="1"/>
      <c r="E53" s="98"/>
      <c r="F53" s="1"/>
      <c r="G53" s="1"/>
    </row>
    <row r="54" spans="1:7" ht="18.75">
      <c r="A54" s="290" t="s">
        <v>93</v>
      </c>
      <c r="B54" s="7" t="s">
        <v>43</v>
      </c>
      <c r="C54" s="50"/>
      <c r="D54" s="1"/>
      <c r="E54" s="41">
        <f>E31-E52</f>
        <v>-105046471</v>
      </c>
      <c r="F54" s="4" t="s">
        <v>377</v>
      </c>
      <c r="G54" s="6"/>
    </row>
    <row r="55" spans="1:5" ht="15.75">
      <c r="A55" s="290"/>
      <c r="B55" s="44"/>
      <c r="C55" s="50"/>
      <c r="D55" s="1"/>
      <c r="E55" s="41"/>
    </row>
    <row r="56" spans="1:6" ht="32.25">
      <c r="A56" s="290" t="s">
        <v>228</v>
      </c>
      <c r="B56" s="86" t="s">
        <v>485</v>
      </c>
      <c r="C56" s="52"/>
      <c r="D56" s="6"/>
      <c r="E56" s="41">
        <f>'2.mell - bevétel'!H115</f>
        <v>59598107</v>
      </c>
      <c r="F56" s="4" t="s">
        <v>377</v>
      </c>
    </row>
    <row r="57" spans="1:7" s="1" customFormat="1" ht="15.75">
      <c r="A57" s="290" t="s">
        <v>230</v>
      </c>
      <c r="B57" s="21" t="s">
        <v>478</v>
      </c>
      <c r="C57" s="49"/>
      <c r="D57" s="4"/>
      <c r="E57" s="41">
        <f>'4.mell. - kiadás'!O19</f>
        <v>1417579</v>
      </c>
      <c r="F57" s="4"/>
      <c r="G57" s="4"/>
    </row>
    <row r="58" spans="1:7" s="1" customFormat="1" ht="31.5">
      <c r="A58" s="290" t="s">
        <v>232</v>
      </c>
      <c r="B58" s="86" t="s">
        <v>522</v>
      </c>
      <c r="C58" s="49"/>
      <c r="D58" s="4"/>
      <c r="E58" s="41">
        <f>'2.mell - bevétel'!H118</f>
        <v>44030785</v>
      </c>
      <c r="F58" s="4"/>
      <c r="G58" s="4"/>
    </row>
    <row r="59" spans="1:6" ht="15.75">
      <c r="A59" s="293" t="s">
        <v>238</v>
      </c>
      <c r="B59" s="7" t="s">
        <v>421</v>
      </c>
      <c r="E59" s="41">
        <f>E54+E56+E57+E58</f>
        <v>0</v>
      </c>
      <c r="F59" s="4" t="s">
        <v>377</v>
      </c>
    </row>
    <row r="60" spans="2:5" s="1" customFormat="1" ht="10.5" customHeight="1">
      <c r="B60" s="5"/>
      <c r="C60" s="50"/>
      <c r="E60" s="24"/>
    </row>
    <row r="61" spans="2:6" ht="15.75">
      <c r="B61" s="5"/>
      <c r="C61" s="50"/>
      <c r="D61" s="1"/>
      <c r="E61" s="24"/>
      <c r="F61" s="7"/>
    </row>
    <row r="62" spans="2:6" ht="15.75">
      <c r="B62" s="7"/>
      <c r="E62" s="25"/>
      <c r="F62" s="7"/>
    </row>
  </sheetData>
  <sheetProtection/>
  <mergeCells count="6">
    <mergeCell ref="B8:F8"/>
    <mergeCell ref="B6:F6"/>
    <mergeCell ref="B5:F5"/>
    <mergeCell ref="B7:F7"/>
    <mergeCell ref="A3:F3"/>
    <mergeCell ref="A1:F1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156"/>
  <sheetViews>
    <sheetView view="pageBreakPreview" zoomScale="60" zoomScalePageLayoutView="0" workbookViewId="0" topLeftCell="A32">
      <selection activeCell="L17" sqref="L17"/>
    </sheetView>
  </sheetViews>
  <sheetFormatPr defaultColWidth="9.00390625" defaultRowHeight="12.75"/>
  <cols>
    <col min="1" max="1" width="4.25390625" style="58" customWidth="1"/>
    <col min="2" max="5" width="3.125" style="57" customWidth="1"/>
    <col min="6" max="6" width="55.375" style="8" customWidth="1"/>
    <col min="7" max="7" width="13.25390625" style="8" customWidth="1"/>
    <col min="8" max="8" width="12.625" style="8" customWidth="1"/>
    <col min="9" max="9" width="9.375" style="8" customWidth="1"/>
    <col min="10" max="10" width="9.125" style="8" customWidth="1"/>
    <col min="11" max="11" width="10.125" style="8" bestFit="1" customWidth="1"/>
    <col min="12" max="16384" width="9.125" style="8" customWidth="1"/>
  </cols>
  <sheetData>
    <row r="1" spans="1:9" ht="15.75">
      <c r="A1" s="416" t="s">
        <v>524</v>
      </c>
      <c r="B1" s="416"/>
      <c r="C1" s="416"/>
      <c r="D1" s="416"/>
      <c r="E1" s="416"/>
      <c r="F1" s="416"/>
      <c r="G1" s="416"/>
      <c r="H1" s="416"/>
      <c r="I1" s="416"/>
    </row>
    <row r="2" spans="1:9" ht="15.75">
      <c r="A2" s="405"/>
      <c r="B2" s="405"/>
      <c r="C2" s="405"/>
      <c r="D2" s="405"/>
      <c r="E2" s="405"/>
      <c r="F2" s="405"/>
      <c r="G2" s="405"/>
      <c r="H2" s="405"/>
      <c r="I2" s="405"/>
    </row>
    <row r="3" spans="1:9" ht="15.75">
      <c r="A3" s="414" t="s">
        <v>489</v>
      </c>
      <c r="B3" s="414"/>
      <c r="C3" s="414"/>
      <c r="D3" s="414"/>
      <c r="E3" s="414"/>
      <c r="F3" s="414"/>
      <c r="G3" s="414"/>
      <c r="H3" s="414"/>
      <c r="I3" s="414"/>
    </row>
    <row r="4" spans="1:9" s="9" customFormat="1" ht="15.75">
      <c r="A4" s="426" t="s">
        <v>4</v>
      </c>
      <c r="B4" s="426"/>
      <c r="C4" s="426"/>
      <c r="D4" s="426"/>
      <c r="E4" s="426"/>
      <c r="F4" s="426"/>
      <c r="G4" s="426"/>
      <c r="H4" s="426"/>
      <c r="I4" s="426"/>
    </row>
    <row r="5" spans="1:9" s="9" customFormat="1" ht="15.75">
      <c r="A5" s="426" t="s">
        <v>32</v>
      </c>
      <c r="B5" s="426"/>
      <c r="C5" s="426"/>
      <c r="D5" s="426"/>
      <c r="E5" s="426"/>
      <c r="F5" s="426"/>
      <c r="G5" s="426"/>
      <c r="H5" s="426"/>
      <c r="I5" s="426"/>
    </row>
    <row r="6" spans="1:9" ht="15.75">
      <c r="A6" s="426" t="s">
        <v>435</v>
      </c>
      <c r="B6" s="426"/>
      <c r="C6" s="426"/>
      <c r="D6" s="426"/>
      <c r="E6" s="426"/>
      <c r="F6" s="426"/>
      <c r="G6" s="426"/>
      <c r="H6" s="426"/>
      <c r="I6" s="426"/>
    </row>
    <row r="7" ht="15.75" hidden="1"/>
    <row r="8" spans="1:9" ht="15.75">
      <c r="A8" s="429"/>
      <c r="B8" s="429"/>
      <c r="C8" s="429"/>
      <c r="D8" s="429"/>
      <c r="E8" s="429"/>
      <c r="F8" s="429"/>
      <c r="G8" s="429"/>
      <c r="H8" s="429"/>
      <c r="I8" s="429"/>
    </row>
    <row r="9" spans="8:9" ht="16.5" thickBot="1">
      <c r="H9" s="60"/>
      <c r="I9" s="61" t="s">
        <v>374</v>
      </c>
    </row>
    <row r="10" spans="1:9" ht="15.75">
      <c r="A10" s="430" t="s">
        <v>16</v>
      </c>
      <c r="B10" s="431"/>
      <c r="C10" s="431"/>
      <c r="D10" s="431"/>
      <c r="E10" s="431"/>
      <c r="F10" s="432"/>
      <c r="G10" s="62" t="s">
        <v>14</v>
      </c>
      <c r="H10" s="62" t="s">
        <v>14</v>
      </c>
      <c r="I10" s="62" t="s">
        <v>15</v>
      </c>
    </row>
    <row r="11" spans="1:9" ht="15.75">
      <c r="A11" s="433"/>
      <c r="B11" s="434"/>
      <c r="C11" s="434"/>
      <c r="D11" s="434"/>
      <c r="E11" s="434"/>
      <c r="F11" s="435"/>
      <c r="G11" s="63" t="s">
        <v>9</v>
      </c>
      <c r="H11" s="63" t="s">
        <v>9</v>
      </c>
      <c r="I11" s="63"/>
    </row>
    <row r="12" spans="1:9" ht="16.5" thickBot="1">
      <c r="A12" s="436"/>
      <c r="B12" s="437"/>
      <c r="C12" s="437"/>
      <c r="D12" s="437"/>
      <c r="E12" s="437"/>
      <c r="F12" s="438"/>
      <c r="G12" s="64" t="s">
        <v>373</v>
      </c>
      <c r="H12" s="64" t="s">
        <v>435</v>
      </c>
      <c r="I12" s="64" t="s">
        <v>17</v>
      </c>
    </row>
    <row r="13" spans="1:9" ht="6.75" customHeight="1">
      <c r="A13" s="233"/>
      <c r="B13" s="233"/>
      <c r="C13" s="233"/>
      <c r="D13" s="233"/>
      <c r="E13" s="233"/>
      <c r="F13" s="233"/>
      <c r="G13" s="233"/>
      <c r="H13" s="233"/>
      <c r="I13" s="233"/>
    </row>
    <row r="14" spans="1:9" ht="15.75">
      <c r="A14" s="18" t="s">
        <v>44</v>
      </c>
      <c r="B14" s="420" t="s">
        <v>68</v>
      </c>
      <c r="C14" s="420"/>
      <c r="D14" s="420"/>
      <c r="E14" s="420"/>
      <c r="F14" s="420"/>
      <c r="G14" s="76"/>
      <c r="H14" s="77"/>
      <c r="I14" s="76"/>
    </row>
    <row r="15" spans="1:9" ht="15.75">
      <c r="A15" s="18"/>
      <c r="B15" s="18" t="s">
        <v>44</v>
      </c>
      <c r="C15" s="18" t="s">
        <v>69</v>
      </c>
      <c r="D15" s="18"/>
      <c r="E15" s="18"/>
      <c r="F15" s="18"/>
      <c r="G15" s="39"/>
      <c r="H15" s="39"/>
      <c r="I15" s="18"/>
    </row>
    <row r="16" spans="1:9" ht="18" customHeight="1">
      <c r="A16" s="18"/>
      <c r="B16" s="18"/>
      <c r="C16" s="18" t="s">
        <v>38</v>
      </c>
      <c r="D16" s="420" t="s">
        <v>70</v>
      </c>
      <c r="E16" s="420"/>
      <c r="F16" s="420"/>
      <c r="G16" s="77"/>
      <c r="H16" s="77"/>
      <c r="I16" s="76"/>
    </row>
    <row r="17" spans="1:9" ht="21.75" customHeight="1">
      <c r="A17" s="18"/>
      <c r="B17" s="18"/>
      <c r="C17" s="18"/>
      <c r="D17" s="18" t="s">
        <v>38</v>
      </c>
      <c r="E17" s="420" t="s">
        <v>71</v>
      </c>
      <c r="F17" s="420"/>
      <c r="G17" s="77"/>
      <c r="H17" s="77"/>
      <c r="I17" s="76"/>
    </row>
    <row r="18" spans="1:9" ht="15.75">
      <c r="A18" s="21"/>
      <c r="B18" s="21"/>
      <c r="C18" s="21"/>
      <c r="D18" s="21"/>
      <c r="E18" s="21" t="s">
        <v>51</v>
      </c>
      <c r="F18" s="21" t="s">
        <v>45</v>
      </c>
      <c r="G18" s="38"/>
      <c r="H18" s="38"/>
      <c r="I18" s="78"/>
    </row>
    <row r="19" spans="1:9" ht="10.5" customHeight="1">
      <c r="A19" s="21"/>
      <c r="B19" s="21"/>
      <c r="C19" s="21"/>
      <c r="D19" s="21"/>
      <c r="E19" s="21"/>
      <c r="F19" s="21" t="s">
        <v>72</v>
      </c>
      <c r="G19" s="38"/>
      <c r="I19" s="78"/>
    </row>
    <row r="20" spans="1:9" ht="17.25" customHeight="1">
      <c r="A20" s="21"/>
      <c r="B20" s="21"/>
      <c r="C20" s="21"/>
      <c r="D20" s="21"/>
      <c r="E20" s="21" t="s">
        <v>52</v>
      </c>
      <c r="F20" s="79" t="s">
        <v>46</v>
      </c>
      <c r="G20" s="80"/>
      <c r="I20" s="78"/>
    </row>
    <row r="21" spans="1:9" ht="30.75" customHeight="1">
      <c r="A21" s="21"/>
      <c r="B21" s="21"/>
      <c r="C21" s="21"/>
      <c r="D21" s="21"/>
      <c r="E21" s="21" t="s">
        <v>73</v>
      </c>
      <c r="F21" s="79" t="s">
        <v>74</v>
      </c>
      <c r="G21" s="251">
        <f>2553350</f>
        <v>2553350</v>
      </c>
      <c r="H21" s="251">
        <v>2553350</v>
      </c>
      <c r="I21" s="78">
        <f>H21/G21*100</f>
        <v>100</v>
      </c>
    </row>
    <row r="22" spans="1:9" ht="13.5" customHeight="1">
      <c r="A22" s="21"/>
      <c r="B22" s="21"/>
      <c r="C22" s="21"/>
      <c r="D22" s="21"/>
      <c r="E22" s="21"/>
      <c r="F22" s="21" t="s">
        <v>72</v>
      </c>
      <c r="G22" s="251"/>
      <c r="H22" s="251"/>
      <c r="I22" s="78"/>
    </row>
    <row r="23" spans="1:9" ht="15.75">
      <c r="A23" s="21"/>
      <c r="B23" s="21"/>
      <c r="C23" s="21"/>
      <c r="D23" s="21"/>
      <c r="E23" s="21" t="s">
        <v>75</v>
      </c>
      <c r="F23" s="79" t="s">
        <v>76</v>
      </c>
      <c r="G23" s="251">
        <v>3040000</v>
      </c>
      <c r="H23" s="251">
        <v>3040000</v>
      </c>
      <c r="I23" s="78">
        <f>H23/G23*100</f>
        <v>100</v>
      </c>
    </row>
    <row r="24" spans="1:9" ht="15.75">
      <c r="A24" s="21"/>
      <c r="B24" s="21"/>
      <c r="C24" s="21"/>
      <c r="D24" s="21"/>
      <c r="E24" s="21"/>
      <c r="F24" s="21" t="s">
        <v>72</v>
      </c>
      <c r="G24" s="251"/>
      <c r="H24" s="251"/>
      <c r="I24" s="78"/>
    </row>
    <row r="25" spans="1:9" ht="17.25" customHeight="1">
      <c r="A25" s="21"/>
      <c r="B25" s="21"/>
      <c r="C25" s="21"/>
      <c r="D25" s="21"/>
      <c r="E25" s="21" t="s">
        <v>77</v>
      </c>
      <c r="F25" s="79" t="s">
        <v>78</v>
      </c>
      <c r="G25" s="251">
        <v>100000</v>
      </c>
      <c r="H25" s="251">
        <v>100000</v>
      </c>
      <c r="I25" s="78">
        <f>H25/G25*100</f>
        <v>100</v>
      </c>
    </row>
    <row r="26" spans="1:9" ht="14.25" customHeight="1">
      <c r="A26" s="21"/>
      <c r="B26" s="21"/>
      <c r="C26" s="21"/>
      <c r="D26" s="21"/>
      <c r="E26" s="21"/>
      <c r="F26" s="21" t="s">
        <v>72</v>
      </c>
      <c r="G26" s="251"/>
      <c r="H26" s="251"/>
      <c r="I26" s="78"/>
    </row>
    <row r="27" spans="1:9" ht="15.75">
      <c r="A27" s="21"/>
      <c r="B27" s="21"/>
      <c r="C27" s="21"/>
      <c r="D27" s="21"/>
      <c r="E27" s="21" t="s">
        <v>79</v>
      </c>
      <c r="F27" s="79" t="s">
        <v>80</v>
      </c>
      <c r="G27" s="251">
        <v>7506890</v>
      </c>
      <c r="H27" s="251">
        <v>7506890</v>
      </c>
      <c r="I27" s="78">
        <f>H27/G27*100</f>
        <v>100</v>
      </c>
    </row>
    <row r="28" spans="1:9" s="45" customFormat="1" ht="15.75">
      <c r="A28" s="21"/>
      <c r="B28" s="21"/>
      <c r="C28" s="21"/>
      <c r="D28" s="21"/>
      <c r="E28" s="21"/>
      <c r="F28" s="21" t="s">
        <v>72</v>
      </c>
      <c r="G28" s="252"/>
      <c r="H28" s="252"/>
      <c r="I28" s="78"/>
    </row>
    <row r="29" spans="1:9" ht="15.75">
      <c r="A29" s="21"/>
      <c r="B29" s="21"/>
      <c r="C29" s="21"/>
      <c r="D29" s="21" t="s">
        <v>53</v>
      </c>
      <c r="E29" s="21" t="s">
        <v>81</v>
      </c>
      <c r="F29" s="21"/>
      <c r="G29" s="251">
        <v>5000000</v>
      </c>
      <c r="H29" s="251">
        <v>5000000</v>
      </c>
      <c r="I29" s="78">
        <f>H29/G29*100</f>
        <v>100</v>
      </c>
    </row>
    <row r="30" spans="1:9" ht="15.75">
      <c r="A30" s="21"/>
      <c r="B30" s="21"/>
      <c r="C30" s="21"/>
      <c r="D30" s="21"/>
      <c r="E30" s="21"/>
      <c r="F30" s="21" t="s">
        <v>72</v>
      </c>
      <c r="G30" s="251"/>
      <c r="H30" s="251"/>
      <c r="I30" s="78"/>
    </row>
    <row r="31" spans="1:9" ht="15.75">
      <c r="A31" s="21"/>
      <c r="B31" s="21"/>
      <c r="C31" s="21"/>
      <c r="D31" s="21"/>
      <c r="E31" s="21" t="s">
        <v>376</v>
      </c>
      <c r="F31" s="21"/>
      <c r="G31" s="251">
        <v>3331195</v>
      </c>
      <c r="H31" s="251">
        <v>3664298</v>
      </c>
      <c r="I31" s="78"/>
    </row>
    <row r="32" spans="1:9" ht="15.75">
      <c r="A32" s="21"/>
      <c r="B32" s="21"/>
      <c r="C32" s="21"/>
      <c r="D32" s="21" t="s">
        <v>54</v>
      </c>
      <c r="E32" s="21" t="s">
        <v>137</v>
      </c>
      <c r="F32" s="21"/>
      <c r="G32" s="251">
        <v>20400</v>
      </c>
      <c r="H32" s="251">
        <v>17850</v>
      </c>
      <c r="I32" s="78">
        <f>H32/G32*100</f>
        <v>87.5</v>
      </c>
    </row>
    <row r="33" spans="1:9" ht="15.75">
      <c r="A33" s="21"/>
      <c r="B33" s="21"/>
      <c r="C33" s="21"/>
      <c r="D33" s="21" t="s">
        <v>138</v>
      </c>
      <c r="E33" s="21" t="s">
        <v>94</v>
      </c>
      <c r="F33" s="21"/>
      <c r="G33" s="251">
        <v>286000</v>
      </c>
      <c r="H33" s="251">
        <v>103400</v>
      </c>
      <c r="I33" s="78">
        <f>H33/G33*100</f>
        <v>36.15384615384615</v>
      </c>
    </row>
    <row r="34" spans="1:9" ht="15.75">
      <c r="A34" s="21"/>
      <c r="B34" s="21"/>
      <c r="C34" s="21" t="s">
        <v>21</v>
      </c>
      <c r="D34" s="419" t="s">
        <v>82</v>
      </c>
      <c r="E34" s="419"/>
      <c r="F34" s="419"/>
      <c r="G34" s="251">
        <v>3000</v>
      </c>
      <c r="H34" s="251">
        <v>3000</v>
      </c>
      <c r="I34" s="78">
        <f>H34/G34*100</f>
        <v>100</v>
      </c>
    </row>
    <row r="35" spans="1:9" ht="15.75">
      <c r="A35" s="21"/>
      <c r="B35" s="21"/>
      <c r="C35" s="21" t="s">
        <v>87</v>
      </c>
      <c r="D35" s="21" t="s">
        <v>375</v>
      </c>
      <c r="E35" s="21"/>
      <c r="F35" s="21"/>
      <c r="G35" s="251">
        <v>11938</v>
      </c>
      <c r="H35" s="251"/>
      <c r="I35" s="78">
        <f>H35/G35*100</f>
        <v>0</v>
      </c>
    </row>
    <row r="36" spans="1:9" ht="16.5" customHeight="1">
      <c r="A36" s="21"/>
      <c r="B36" s="21"/>
      <c r="C36" s="21" t="s">
        <v>93</v>
      </c>
      <c r="D36" s="21" t="s">
        <v>438</v>
      </c>
      <c r="E36" s="21"/>
      <c r="F36" s="21"/>
      <c r="G36" s="251"/>
      <c r="H36" s="251">
        <v>1170400</v>
      </c>
      <c r="I36" s="78"/>
    </row>
    <row r="37" spans="1:9" ht="18.75" customHeight="1">
      <c r="A37" s="82"/>
      <c r="B37" s="82"/>
      <c r="C37" s="83"/>
      <c r="D37" s="427" t="s">
        <v>83</v>
      </c>
      <c r="E37" s="427"/>
      <c r="F37" s="427"/>
      <c r="G37" s="253">
        <f>SUM(G18:G36)</f>
        <v>21852773</v>
      </c>
      <c r="H37" s="253">
        <f>SUM(H18:H36)</f>
        <v>23159188</v>
      </c>
      <c r="I37" s="78">
        <f>H37/G37*100</f>
        <v>105.97825731315655</v>
      </c>
    </row>
    <row r="38" spans="1:9" ht="33" customHeight="1">
      <c r="A38" s="21"/>
      <c r="B38" s="18" t="s">
        <v>48</v>
      </c>
      <c r="C38" s="18" t="s">
        <v>39</v>
      </c>
      <c r="D38" s="420" t="s">
        <v>84</v>
      </c>
      <c r="E38" s="420"/>
      <c r="F38" s="420"/>
      <c r="G38" s="251"/>
      <c r="H38" s="251"/>
      <c r="I38" s="78"/>
    </row>
    <row r="39" spans="1:9" ht="15.75">
      <c r="A39" s="21"/>
      <c r="B39" s="21"/>
      <c r="C39" s="21"/>
      <c r="D39" s="21" t="s">
        <v>38</v>
      </c>
      <c r="E39" s="21" t="s">
        <v>139</v>
      </c>
      <c r="F39" s="21"/>
      <c r="G39" s="251"/>
      <c r="H39" s="251"/>
      <c r="I39" s="78"/>
    </row>
    <row r="40" spans="1:9" ht="30.75" customHeight="1">
      <c r="A40" s="21"/>
      <c r="B40" s="21"/>
      <c r="C40" s="21"/>
      <c r="D40" s="21" t="s">
        <v>21</v>
      </c>
      <c r="E40" s="419" t="s">
        <v>140</v>
      </c>
      <c r="F40" s="419"/>
      <c r="G40" s="251">
        <v>4162000</v>
      </c>
      <c r="H40" s="251">
        <v>4111000</v>
      </c>
      <c r="I40" s="78">
        <f>H40/G40*100</f>
        <v>98.77462758289283</v>
      </c>
    </row>
    <row r="41" spans="1:9" ht="15.75">
      <c r="A41" s="21"/>
      <c r="B41" s="21"/>
      <c r="C41" s="21"/>
      <c r="D41" s="21" t="s">
        <v>39</v>
      </c>
      <c r="E41" s="21" t="s">
        <v>85</v>
      </c>
      <c r="F41" s="21"/>
      <c r="G41" s="251">
        <v>830400</v>
      </c>
      <c r="H41" s="251">
        <v>830400</v>
      </c>
      <c r="I41" s="78">
        <f>H41/G41*100</f>
        <v>100</v>
      </c>
    </row>
    <row r="42" spans="1:9" ht="15.75">
      <c r="A42" s="21"/>
      <c r="B42" s="21"/>
      <c r="C42" s="21"/>
      <c r="D42" s="21" t="s">
        <v>87</v>
      </c>
      <c r="E42" s="21" t="s">
        <v>88</v>
      </c>
      <c r="F42" s="21"/>
      <c r="G42" s="251"/>
      <c r="H42" s="251"/>
      <c r="I42" s="78"/>
    </row>
    <row r="43" spans="1:9" ht="30.75" customHeight="1">
      <c r="A43" s="21"/>
      <c r="B43" s="21"/>
      <c r="C43" s="21"/>
      <c r="D43" s="21"/>
      <c r="E43" s="21" t="s">
        <v>51</v>
      </c>
      <c r="F43" s="79" t="s">
        <v>439</v>
      </c>
      <c r="G43" s="251">
        <v>1672000</v>
      </c>
      <c r="H43" s="251">
        <v>1672000</v>
      </c>
      <c r="I43" s="78">
        <f>H43/G43*100</f>
        <v>100</v>
      </c>
    </row>
    <row r="44" spans="1:9" ht="15.75">
      <c r="A44" s="21"/>
      <c r="B44" s="21"/>
      <c r="C44" s="21"/>
      <c r="D44" s="21"/>
      <c r="E44" s="21" t="s">
        <v>52</v>
      </c>
      <c r="F44" s="21" t="s">
        <v>440</v>
      </c>
      <c r="G44" s="251">
        <v>3495759</v>
      </c>
      <c r="H44" s="251">
        <v>3869880</v>
      </c>
      <c r="I44" s="78">
        <f>H44/G44*100</f>
        <v>110.70213936372618</v>
      </c>
    </row>
    <row r="45" spans="1:9" ht="33.75" customHeight="1">
      <c r="A45" s="82"/>
      <c r="B45" s="82"/>
      <c r="C45" s="427" t="s">
        <v>89</v>
      </c>
      <c r="D45" s="427"/>
      <c r="E45" s="427"/>
      <c r="F45" s="427"/>
      <c r="G45" s="254">
        <f>SUM(G39:G44)</f>
        <v>10160159</v>
      </c>
      <c r="H45" s="254">
        <f>SUM(H39:H44)</f>
        <v>10483280</v>
      </c>
      <c r="I45" s="78">
        <f>H45/G45*100</f>
        <v>103.18027503309742</v>
      </c>
    </row>
    <row r="46" spans="1:9" ht="3" customHeight="1">
      <c r="A46" s="82"/>
      <c r="B46" s="82"/>
      <c r="C46" s="231"/>
      <c r="D46" s="231"/>
      <c r="E46" s="231"/>
      <c r="F46" s="231"/>
      <c r="G46" s="254"/>
      <c r="H46" s="251"/>
      <c r="I46" s="78"/>
    </row>
    <row r="47" spans="1:9" ht="14.25" customHeight="1">
      <c r="A47" s="21"/>
      <c r="B47" s="21"/>
      <c r="C47" s="18" t="s">
        <v>86</v>
      </c>
      <c r="D47" s="420" t="s">
        <v>90</v>
      </c>
      <c r="E47" s="420"/>
      <c r="F47" s="420"/>
      <c r="G47" s="255"/>
      <c r="H47" s="251"/>
      <c r="I47" s="78"/>
    </row>
    <row r="48" spans="1:9" ht="15.75">
      <c r="A48" s="21"/>
      <c r="B48" s="21"/>
      <c r="C48" s="21"/>
      <c r="D48" s="21" t="s">
        <v>38</v>
      </c>
      <c r="E48" s="419" t="s">
        <v>49</v>
      </c>
      <c r="F48" s="419"/>
      <c r="G48" s="256"/>
      <c r="H48" s="251"/>
      <c r="I48" s="78"/>
    </row>
    <row r="49" spans="1:9" ht="31.5">
      <c r="A49" s="21"/>
      <c r="B49" s="21"/>
      <c r="C49" s="21"/>
      <c r="D49" s="21"/>
      <c r="E49" s="21" t="s">
        <v>54</v>
      </c>
      <c r="F49" s="79" t="s">
        <v>91</v>
      </c>
      <c r="G49" s="256">
        <v>1200000</v>
      </c>
      <c r="H49" s="251">
        <v>1800000</v>
      </c>
      <c r="I49" s="78">
        <f>H49/G49*100</f>
        <v>150</v>
      </c>
    </row>
    <row r="50" spans="1:9" ht="29.25" customHeight="1">
      <c r="A50" s="21"/>
      <c r="B50" s="21"/>
      <c r="C50" s="427" t="s">
        <v>92</v>
      </c>
      <c r="D50" s="427"/>
      <c r="E50" s="427"/>
      <c r="F50" s="427"/>
      <c r="G50" s="254">
        <f>SUM(G49:G49)</f>
        <v>1200000</v>
      </c>
      <c r="H50" s="254">
        <f>SUM(H49:H49)</f>
        <v>1800000</v>
      </c>
      <c r="I50" s="78">
        <f>H50/G50*100</f>
        <v>150</v>
      </c>
    </row>
    <row r="51" spans="1:9" ht="10.5" customHeight="1">
      <c r="A51" s="21"/>
      <c r="B51" s="21"/>
      <c r="C51" s="231"/>
      <c r="D51" s="231"/>
      <c r="E51" s="231"/>
      <c r="F51" s="231"/>
      <c r="G51" s="254"/>
      <c r="H51" s="254"/>
      <c r="I51" s="78"/>
    </row>
    <row r="52" spans="1:9" ht="15.75">
      <c r="A52" s="21"/>
      <c r="B52" s="21"/>
      <c r="C52" s="18" t="s">
        <v>87</v>
      </c>
      <c r="D52" s="18" t="s">
        <v>516</v>
      </c>
      <c r="E52" s="18"/>
      <c r="F52" s="76"/>
      <c r="G52" s="256"/>
      <c r="H52" s="251"/>
      <c r="I52" s="78"/>
    </row>
    <row r="53" spans="1:9" ht="15.75">
      <c r="A53" s="21"/>
      <c r="B53" s="21"/>
      <c r="C53" s="21"/>
      <c r="D53" s="21"/>
      <c r="E53" s="21" t="s">
        <v>38</v>
      </c>
      <c r="F53" s="79" t="s">
        <v>517</v>
      </c>
      <c r="G53" s="256"/>
      <c r="H53" s="251">
        <v>11121</v>
      </c>
      <c r="I53" s="78"/>
    </row>
    <row r="54" spans="1:9" ht="15.75">
      <c r="A54" s="21"/>
      <c r="B54" s="21"/>
      <c r="C54" s="21"/>
      <c r="D54" s="21"/>
      <c r="E54" s="21" t="s">
        <v>520</v>
      </c>
      <c r="F54" s="79" t="s">
        <v>518</v>
      </c>
      <c r="G54" s="256"/>
      <c r="H54" s="251">
        <v>177800</v>
      </c>
      <c r="I54" s="78"/>
    </row>
    <row r="55" spans="1:9" ht="15.75">
      <c r="A55" s="21"/>
      <c r="B55" s="21"/>
      <c r="C55" s="82" t="s">
        <v>519</v>
      </c>
      <c r="D55" s="82"/>
      <c r="E55" s="82"/>
      <c r="F55" s="83"/>
      <c r="G55" s="256"/>
      <c r="H55" s="401">
        <f>H53+H54</f>
        <v>188921</v>
      </c>
      <c r="I55" s="78"/>
    </row>
    <row r="56" spans="1:9" ht="19.5" customHeight="1">
      <c r="A56" s="84"/>
      <c r="B56" s="424" t="s">
        <v>95</v>
      </c>
      <c r="C56" s="424"/>
      <c r="D56" s="424"/>
      <c r="E56" s="424"/>
      <c r="F56" s="424"/>
      <c r="G56" s="259">
        <f>G37+G45+G50</f>
        <v>33212932</v>
      </c>
      <c r="H56" s="259">
        <f>H37+H45+H50+H55</f>
        <v>35631389</v>
      </c>
      <c r="I56" s="78">
        <f>H56/G56*100</f>
        <v>107.28167269303415</v>
      </c>
    </row>
    <row r="57" spans="1:9" ht="12" customHeight="1">
      <c r="A57" s="21"/>
      <c r="B57" s="21"/>
      <c r="C57" s="21"/>
      <c r="D57" s="21"/>
      <c r="E57" s="21"/>
      <c r="F57" s="21"/>
      <c r="G57" s="257"/>
      <c r="H57" s="251"/>
      <c r="I57" s="78"/>
    </row>
    <row r="58" spans="1:9" ht="15.75">
      <c r="A58" s="84"/>
      <c r="B58" s="18" t="s">
        <v>47</v>
      </c>
      <c r="C58" s="420" t="s">
        <v>96</v>
      </c>
      <c r="D58" s="420"/>
      <c r="E58" s="420"/>
      <c r="F58" s="420"/>
      <c r="G58" s="255"/>
      <c r="H58" s="251"/>
      <c r="I58" s="78"/>
    </row>
    <row r="59" spans="1:9" ht="30" customHeight="1">
      <c r="A59" s="21"/>
      <c r="B59" s="21"/>
      <c r="C59" s="21" t="s">
        <v>38</v>
      </c>
      <c r="D59" s="425" t="s">
        <v>345</v>
      </c>
      <c r="E59" s="425"/>
      <c r="F59" s="425"/>
      <c r="G59" s="257">
        <v>46400</v>
      </c>
      <c r="H59" s="251">
        <v>46400</v>
      </c>
      <c r="I59" s="78">
        <f>H59/G59*100</f>
        <v>100</v>
      </c>
    </row>
    <row r="60" spans="1:9" ht="15.75" customHeight="1">
      <c r="A60" s="21"/>
      <c r="B60" s="21"/>
      <c r="C60" s="21" t="s">
        <v>21</v>
      </c>
      <c r="D60" s="21" t="s">
        <v>521</v>
      </c>
      <c r="E60" s="21"/>
      <c r="F60" s="21"/>
      <c r="G60" s="257"/>
      <c r="H60" s="251">
        <v>61619</v>
      </c>
      <c r="I60" s="78"/>
    </row>
    <row r="61" spans="1:9" ht="15.75" customHeight="1">
      <c r="A61" s="84"/>
      <c r="B61" s="420" t="s">
        <v>97</v>
      </c>
      <c r="C61" s="420"/>
      <c r="D61" s="420"/>
      <c r="E61" s="420"/>
      <c r="F61" s="420"/>
      <c r="G61" s="259">
        <f>SUM(G59:G60)</f>
        <v>46400</v>
      </c>
      <c r="H61" s="259">
        <f>SUM(H59:H60)</f>
        <v>108019</v>
      </c>
      <c r="I61" s="78">
        <f>H61/G61*100</f>
        <v>232.79956896551727</v>
      </c>
    </row>
    <row r="62" spans="1:9" ht="36" customHeight="1">
      <c r="A62" s="420" t="s">
        <v>98</v>
      </c>
      <c r="B62" s="420"/>
      <c r="C62" s="420"/>
      <c r="D62" s="420"/>
      <c r="E62" s="420"/>
      <c r="F62" s="420"/>
      <c r="G62" s="260">
        <f>G61+G56</f>
        <v>33259332</v>
      </c>
      <c r="H62" s="260">
        <f>H61+H56</f>
        <v>35739408</v>
      </c>
      <c r="I62" s="78">
        <f>H62/G62*100</f>
        <v>107.4567823550996</v>
      </c>
    </row>
    <row r="63" spans="1:9" s="65" customFormat="1" ht="32.25" customHeight="1">
      <c r="A63" s="18" t="s">
        <v>47</v>
      </c>
      <c r="B63" s="420" t="s">
        <v>99</v>
      </c>
      <c r="C63" s="420"/>
      <c r="D63" s="420"/>
      <c r="E63" s="420"/>
      <c r="F63" s="420"/>
      <c r="G63" s="260"/>
      <c r="H63" s="255"/>
      <c r="I63" s="78"/>
    </row>
    <row r="64" spans="1:9" ht="5.25" customHeight="1">
      <c r="A64" s="75"/>
      <c r="B64" s="75"/>
      <c r="C64" s="75"/>
      <c r="D64" s="75"/>
      <c r="E64" s="75"/>
      <c r="F64" s="75"/>
      <c r="G64" s="259"/>
      <c r="H64" s="259"/>
      <c r="I64" s="78"/>
    </row>
    <row r="65" spans="1:9" ht="15.75">
      <c r="A65" s="18" t="s">
        <v>48</v>
      </c>
      <c r="B65" s="18" t="s">
        <v>100</v>
      </c>
      <c r="C65" s="18"/>
      <c r="D65" s="18"/>
      <c r="E65" s="18"/>
      <c r="F65" s="18"/>
      <c r="G65" s="261"/>
      <c r="H65" s="262"/>
      <c r="I65" s="78"/>
    </row>
    <row r="66" spans="1:9" ht="15.75">
      <c r="A66" s="21"/>
      <c r="B66" s="21" t="s">
        <v>38</v>
      </c>
      <c r="C66" s="21" t="s">
        <v>101</v>
      </c>
      <c r="D66" s="21"/>
      <c r="E66" s="21"/>
      <c r="F66" s="21"/>
      <c r="G66" s="263"/>
      <c r="H66" s="257"/>
      <c r="I66" s="78"/>
    </row>
    <row r="67" spans="1:9" ht="15.75">
      <c r="A67" s="21"/>
      <c r="B67" s="21"/>
      <c r="C67" s="21" t="s">
        <v>38</v>
      </c>
      <c r="D67" s="21" t="s">
        <v>102</v>
      </c>
      <c r="E67" s="21"/>
      <c r="F67" s="21"/>
      <c r="G67" s="257">
        <v>1500000</v>
      </c>
      <c r="H67" s="251">
        <v>1500000</v>
      </c>
      <c r="I67" s="78">
        <f>H67/G67*100</f>
        <v>100</v>
      </c>
    </row>
    <row r="68" spans="1:9" ht="15.75">
      <c r="A68" s="18"/>
      <c r="B68" s="18" t="s">
        <v>21</v>
      </c>
      <c r="C68" s="18" t="s">
        <v>103</v>
      </c>
      <c r="D68" s="18"/>
      <c r="E68" s="18"/>
      <c r="F68" s="18"/>
      <c r="G68" s="262"/>
      <c r="H68" s="251"/>
      <c r="I68" s="78"/>
    </row>
    <row r="69" spans="1:9" s="9" customFormat="1" ht="15.75">
      <c r="A69" s="21"/>
      <c r="B69" s="21"/>
      <c r="C69" s="21" t="s">
        <v>38</v>
      </c>
      <c r="D69" s="21" t="s">
        <v>104</v>
      </c>
      <c r="E69" s="21"/>
      <c r="F69" s="21"/>
      <c r="G69" s="257">
        <v>3900000</v>
      </c>
      <c r="H69" s="264">
        <v>3900000</v>
      </c>
      <c r="I69" s="78">
        <f>H69/G69*100</f>
        <v>100</v>
      </c>
    </row>
    <row r="70" spans="1:9" ht="15.75">
      <c r="A70" s="18"/>
      <c r="B70" s="18" t="s">
        <v>39</v>
      </c>
      <c r="C70" s="18" t="s">
        <v>105</v>
      </c>
      <c r="D70" s="18"/>
      <c r="E70" s="18"/>
      <c r="F70" s="18"/>
      <c r="G70" s="262"/>
      <c r="H70" s="251"/>
      <c r="I70" s="78"/>
    </row>
    <row r="71" spans="1:9" ht="15.75">
      <c r="A71" s="21"/>
      <c r="B71" s="21"/>
      <c r="C71" s="21" t="s">
        <v>38</v>
      </c>
      <c r="D71" s="21" t="s">
        <v>106</v>
      </c>
      <c r="E71" s="21"/>
      <c r="F71" s="21"/>
      <c r="G71" s="257">
        <v>1913000</v>
      </c>
      <c r="H71" s="251">
        <v>1913000</v>
      </c>
      <c r="I71" s="78">
        <f>H71/G71*100</f>
        <v>100</v>
      </c>
    </row>
    <row r="72" spans="1:9" ht="15.75">
      <c r="A72" s="21"/>
      <c r="B72" s="18" t="s">
        <v>86</v>
      </c>
      <c r="C72" s="18" t="s">
        <v>107</v>
      </c>
      <c r="D72" s="21"/>
      <c r="E72" s="21"/>
      <c r="F72" s="21"/>
      <c r="G72" s="257"/>
      <c r="H72" s="251"/>
      <c r="I72" s="78"/>
    </row>
    <row r="73" spans="1:9" ht="15.75">
      <c r="A73" s="21"/>
      <c r="B73" s="21"/>
      <c r="C73" s="21" t="s">
        <v>38</v>
      </c>
      <c r="D73" s="21" t="s">
        <v>108</v>
      </c>
      <c r="E73" s="21"/>
      <c r="F73" s="21"/>
      <c r="G73" s="257">
        <v>140000</v>
      </c>
      <c r="H73" s="251">
        <v>140000</v>
      </c>
      <c r="I73" s="78">
        <f>H73/G73*100</f>
        <v>100</v>
      </c>
    </row>
    <row r="74" spans="1:9" ht="15.75">
      <c r="A74" s="21"/>
      <c r="B74" s="21"/>
      <c r="C74" s="21" t="s">
        <v>21</v>
      </c>
      <c r="D74" s="21" t="s">
        <v>67</v>
      </c>
      <c r="E74" s="21"/>
      <c r="F74" s="21"/>
      <c r="G74" s="257">
        <v>280000</v>
      </c>
      <c r="H74" s="251">
        <v>280000</v>
      </c>
      <c r="I74" s="78">
        <f>H74/G74*100</f>
        <v>100</v>
      </c>
    </row>
    <row r="75" spans="1:9" ht="15.75">
      <c r="A75" s="18"/>
      <c r="B75" s="18" t="s">
        <v>87</v>
      </c>
      <c r="C75" s="18" t="s">
        <v>109</v>
      </c>
      <c r="D75" s="18"/>
      <c r="E75" s="18"/>
      <c r="F75" s="18"/>
      <c r="G75" s="262"/>
      <c r="H75" s="251"/>
      <c r="I75" s="78"/>
    </row>
    <row r="76" spans="1:9" ht="15.75">
      <c r="A76" s="21"/>
      <c r="B76" s="21"/>
      <c r="C76" s="18" t="s">
        <v>38</v>
      </c>
      <c r="D76" s="21" t="s">
        <v>110</v>
      </c>
      <c r="E76" s="21"/>
      <c r="F76" s="21"/>
      <c r="G76" s="257">
        <v>5000</v>
      </c>
      <c r="H76" s="251">
        <v>5000</v>
      </c>
      <c r="I76" s="78">
        <f>H76/G76*100</f>
        <v>100</v>
      </c>
    </row>
    <row r="77" spans="1:9" ht="15.75" customHeight="1">
      <c r="A77" s="84"/>
      <c r="B77" s="84"/>
      <c r="C77" s="84" t="s">
        <v>39</v>
      </c>
      <c r="D77" s="87" t="s">
        <v>109</v>
      </c>
      <c r="E77" s="84"/>
      <c r="F77" s="84"/>
      <c r="G77" s="258"/>
      <c r="H77" s="251"/>
      <c r="I77" s="78"/>
    </row>
    <row r="78" spans="1:9" ht="15.75">
      <c r="A78" s="21"/>
      <c r="B78" s="21"/>
      <c r="C78" s="18" t="s">
        <v>86</v>
      </c>
      <c r="D78" s="21" t="s">
        <v>111</v>
      </c>
      <c r="E78" s="21"/>
      <c r="F78" s="21"/>
      <c r="G78" s="257">
        <v>75000</v>
      </c>
      <c r="H78" s="251">
        <v>75000</v>
      </c>
      <c r="I78" s="78">
        <f>H78/G78*100</f>
        <v>100</v>
      </c>
    </row>
    <row r="79" spans="1:9" ht="9" customHeight="1">
      <c r="A79" s="84"/>
      <c r="B79" s="84"/>
      <c r="C79" s="84"/>
      <c r="D79" s="84"/>
      <c r="E79" s="84"/>
      <c r="F79" s="84"/>
      <c r="G79" s="258"/>
      <c r="H79" s="251"/>
      <c r="I79" s="78"/>
    </row>
    <row r="80" spans="1:9" s="9" customFormat="1" ht="15.75">
      <c r="A80" s="18" t="s">
        <v>56</v>
      </c>
      <c r="B80" s="84"/>
      <c r="C80" s="84"/>
      <c r="D80" s="84"/>
      <c r="E80" s="84"/>
      <c r="F80" s="84"/>
      <c r="G80" s="259">
        <f>G67+G69+G71+G73+G74+G76+G77+G78</f>
        <v>7813000</v>
      </c>
      <c r="H80" s="259">
        <f>H67+H69+H71+H73+H74+H76+H77+H78</f>
        <v>7813000</v>
      </c>
      <c r="I80" s="78">
        <f>H80/G80*100</f>
        <v>100</v>
      </c>
    </row>
    <row r="81" spans="1:9" ht="15.75">
      <c r="A81" s="18" t="s">
        <v>112</v>
      </c>
      <c r="B81" s="18" t="s">
        <v>50</v>
      </c>
      <c r="C81" s="18"/>
      <c r="D81" s="18"/>
      <c r="E81" s="18"/>
      <c r="F81" s="18"/>
      <c r="G81" s="261"/>
      <c r="H81" s="262"/>
      <c r="I81" s="78"/>
    </row>
    <row r="82" spans="1:9" ht="15.75">
      <c r="A82" s="84"/>
      <c r="B82" s="84" t="s">
        <v>38</v>
      </c>
      <c r="C82" s="423" t="s">
        <v>113</v>
      </c>
      <c r="D82" s="423"/>
      <c r="E82" s="423"/>
      <c r="F82" s="423"/>
      <c r="G82" s="258"/>
      <c r="H82" s="258"/>
      <c r="I82" s="78"/>
    </row>
    <row r="83" spans="1:9" ht="15.75">
      <c r="A83" s="84"/>
      <c r="B83" s="84"/>
      <c r="C83" s="84" t="s">
        <v>38</v>
      </c>
      <c r="D83" s="87" t="s">
        <v>124</v>
      </c>
      <c r="E83" s="87"/>
      <c r="F83" s="87"/>
      <c r="G83" s="258">
        <v>186535</v>
      </c>
      <c r="H83" s="251">
        <f>82942</f>
        <v>82942</v>
      </c>
      <c r="I83" s="78">
        <f>H83/G83*100</f>
        <v>44.46457769319431</v>
      </c>
    </row>
    <row r="84" spans="1:9" ht="15.75">
      <c r="A84" s="84"/>
      <c r="B84" s="84"/>
      <c r="C84" s="84" t="s">
        <v>21</v>
      </c>
      <c r="D84" s="87" t="s">
        <v>116</v>
      </c>
      <c r="E84" s="87"/>
      <c r="F84" s="87"/>
      <c r="G84" s="258"/>
      <c r="H84" s="330"/>
      <c r="I84" s="78"/>
    </row>
    <row r="85" spans="1:9" ht="15.75">
      <c r="A85" s="84"/>
      <c r="B85" s="84"/>
      <c r="C85" s="84"/>
      <c r="D85" s="87" t="s">
        <v>38</v>
      </c>
      <c r="E85" s="87" t="s">
        <v>117</v>
      </c>
      <c r="F85" s="87"/>
      <c r="G85" s="258">
        <v>20000</v>
      </c>
      <c r="H85" s="251">
        <v>20000</v>
      </c>
      <c r="I85" s="78">
        <f>H85/G85*100</f>
        <v>100</v>
      </c>
    </row>
    <row r="86" spans="1:9" ht="15.75">
      <c r="A86" s="84"/>
      <c r="B86" s="84"/>
      <c r="C86" s="84"/>
      <c r="D86" s="87" t="s">
        <v>21</v>
      </c>
      <c r="E86" s="87" t="s">
        <v>118</v>
      </c>
      <c r="F86" s="87"/>
      <c r="G86" s="258">
        <v>820000</v>
      </c>
      <c r="H86" s="251">
        <v>820000</v>
      </c>
      <c r="I86" s="78">
        <f>H86/G86*100</f>
        <v>100</v>
      </c>
    </row>
    <row r="87" spans="1:9" ht="15.75">
      <c r="A87" s="84"/>
      <c r="B87" s="84"/>
      <c r="C87" s="84"/>
      <c r="D87" s="87" t="s">
        <v>39</v>
      </c>
      <c r="E87" s="87" t="s">
        <v>119</v>
      </c>
      <c r="F87" s="87"/>
      <c r="G87" s="258">
        <v>2000</v>
      </c>
      <c r="H87" s="251">
        <v>2000</v>
      </c>
      <c r="I87" s="78">
        <f>H87/G87*100</f>
        <v>100</v>
      </c>
    </row>
    <row r="88" spans="1:9" ht="15.75">
      <c r="A88" s="84"/>
      <c r="B88" s="84"/>
      <c r="C88" s="84"/>
      <c r="D88" s="87" t="s">
        <v>86</v>
      </c>
      <c r="E88" s="87" t="s">
        <v>120</v>
      </c>
      <c r="F88" s="87"/>
      <c r="G88" s="258">
        <v>85179</v>
      </c>
      <c r="H88" s="251">
        <v>85179</v>
      </c>
      <c r="I88" s="78">
        <f>H88/G88*100</f>
        <v>100</v>
      </c>
    </row>
    <row r="89" spans="1:9" ht="15.75">
      <c r="A89" s="84"/>
      <c r="B89" s="84"/>
      <c r="C89" s="84" t="s">
        <v>39</v>
      </c>
      <c r="D89" s="87" t="s">
        <v>141</v>
      </c>
      <c r="E89" s="87"/>
      <c r="F89" s="87"/>
      <c r="G89" s="258"/>
      <c r="H89" s="330"/>
      <c r="I89" s="78"/>
    </row>
    <row r="90" spans="1:9" ht="15.75">
      <c r="A90" s="84"/>
      <c r="B90" s="84"/>
      <c r="D90" s="84" t="s">
        <v>38</v>
      </c>
      <c r="E90" s="87" t="s">
        <v>114</v>
      </c>
      <c r="F90" s="84"/>
      <c r="G90" s="258">
        <v>51800</v>
      </c>
      <c r="H90" s="251">
        <v>41000</v>
      </c>
      <c r="I90" s="78">
        <f>H90/G90*100</f>
        <v>79.15057915057915</v>
      </c>
    </row>
    <row r="91" spans="1:9" ht="15.75">
      <c r="A91" s="84"/>
      <c r="B91" s="84"/>
      <c r="D91" s="84" t="s">
        <v>21</v>
      </c>
      <c r="E91" s="87" t="s">
        <v>115</v>
      </c>
      <c r="F91" s="87"/>
      <c r="G91" s="258">
        <v>177600</v>
      </c>
      <c r="H91" s="251">
        <v>274498</v>
      </c>
      <c r="I91" s="78">
        <f>H91/G91*100</f>
        <v>154.5596846846847</v>
      </c>
    </row>
    <row r="92" spans="4:9" ht="15.75">
      <c r="D92" s="57" t="s">
        <v>39</v>
      </c>
      <c r="E92" s="87" t="s">
        <v>57</v>
      </c>
      <c r="G92" s="258">
        <v>660744</v>
      </c>
      <c r="H92" s="251">
        <v>521023</v>
      </c>
      <c r="I92" s="78">
        <f>H92/G92*100</f>
        <v>78.85398883682636</v>
      </c>
    </row>
    <row r="93" spans="1:9" ht="15.75">
      <c r="A93" s="84"/>
      <c r="B93" s="84" t="s">
        <v>21</v>
      </c>
      <c r="C93" s="87" t="s">
        <v>121</v>
      </c>
      <c r="D93" s="87"/>
      <c r="E93" s="87"/>
      <c r="F93" s="87"/>
      <c r="G93" s="258"/>
      <c r="H93" s="330"/>
      <c r="I93" s="78"/>
    </row>
    <row r="94" spans="1:9" ht="15.75">
      <c r="A94" s="84"/>
      <c r="B94" s="84"/>
      <c r="C94" s="84" t="s">
        <v>38</v>
      </c>
      <c r="D94" s="87" t="s">
        <v>122</v>
      </c>
      <c r="E94" s="87"/>
      <c r="F94" s="87"/>
      <c r="G94" s="258">
        <v>4099152</v>
      </c>
      <c r="H94" s="251">
        <v>4099152</v>
      </c>
      <c r="I94" s="78">
        <f>H94/G94*100</f>
        <v>100</v>
      </c>
    </row>
    <row r="95" spans="1:9" ht="15.75">
      <c r="A95" s="84"/>
      <c r="B95" s="84" t="s">
        <v>39</v>
      </c>
      <c r="C95" s="87" t="s">
        <v>123</v>
      </c>
      <c r="D95" s="87"/>
      <c r="E95" s="87"/>
      <c r="F95" s="87"/>
      <c r="G95" s="258"/>
      <c r="H95" s="330"/>
      <c r="I95" s="78"/>
    </row>
    <row r="96" spans="1:9" ht="15.75">
      <c r="A96" s="84"/>
      <c r="B96" s="84"/>
      <c r="C96" s="84" t="s">
        <v>38</v>
      </c>
      <c r="D96" s="87" t="s">
        <v>65</v>
      </c>
      <c r="E96" s="87"/>
      <c r="F96" s="87"/>
      <c r="G96" s="258">
        <v>1843937</v>
      </c>
      <c r="H96" s="251">
        <v>1267352</v>
      </c>
      <c r="I96" s="78">
        <f aca="true" t="shared" si="0" ref="I96:I102">H96/G96*100</f>
        <v>68.73076466278403</v>
      </c>
    </row>
    <row r="97" spans="1:9" ht="15.75">
      <c r="A97" s="84"/>
      <c r="B97" s="84" t="s">
        <v>86</v>
      </c>
      <c r="C97" s="87" t="s">
        <v>125</v>
      </c>
      <c r="D97" s="84"/>
      <c r="E97" s="84"/>
      <c r="F97" s="84"/>
      <c r="G97" s="258">
        <v>1412426</v>
      </c>
      <c r="H97" s="251">
        <f>10800+28938+1106771+74113+22394+140677+342184+2</f>
        <v>1725879</v>
      </c>
      <c r="I97" s="78">
        <f t="shared" si="0"/>
        <v>122.19252548452096</v>
      </c>
    </row>
    <row r="98" spans="1:9" ht="15.75">
      <c r="A98" s="84"/>
      <c r="B98" s="84" t="s">
        <v>87</v>
      </c>
      <c r="C98" s="87" t="s">
        <v>126</v>
      </c>
      <c r="D98" s="84"/>
      <c r="E98" s="84"/>
      <c r="F98" s="84"/>
      <c r="G98" s="258">
        <v>1316846</v>
      </c>
      <c r="H98" s="251">
        <f>701771+74113+60950+83806+236180+1</f>
        <v>1156821</v>
      </c>
      <c r="I98" s="78">
        <f t="shared" si="0"/>
        <v>87.8478576841939</v>
      </c>
    </row>
    <row r="99" spans="1:9" ht="16.5" customHeight="1">
      <c r="A99" s="84"/>
      <c r="B99" s="84" t="s">
        <v>93</v>
      </c>
      <c r="C99" s="87" t="s">
        <v>127</v>
      </c>
      <c r="D99" s="84"/>
      <c r="E99" s="84"/>
      <c r="F99" s="84"/>
      <c r="G99" s="258">
        <v>2000</v>
      </c>
      <c r="H99" s="251">
        <v>2000</v>
      </c>
      <c r="I99" s="78">
        <f t="shared" si="0"/>
        <v>100</v>
      </c>
    </row>
    <row r="100" spans="1:9" ht="15.75" customHeight="1">
      <c r="A100" s="84"/>
      <c r="B100" s="284" t="s">
        <v>228</v>
      </c>
      <c r="C100" s="423" t="s">
        <v>384</v>
      </c>
      <c r="D100" s="423"/>
      <c r="E100" s="423"/>
      <c r="F100" s="423"/>
      <c r="G100" s="258">
        <v>4825255</v>
      </c>
      <c r="H100" s="251"/>
      <c r="I100" s="78">
        <f t="shared" si="0"/>
        <v>0</v>
      </c>
    </row>
    <row r="101" spans="1:9" ht="12" customHeight="1">
      <c r="A101" s="84"/>
      <c r="B101" s="284"/>
      <c r="C101" s="87"/>
      <c r="D101" s="87"/>
      <c r="E101" s="87"/>
      <c r="F101" s="87"/>
      <c r="G101" s="258"/>
      <c r="H101" s="251"/>
      <c r="I101" s="78"/>
    </row>
    <row r="102" spans="1:11" ht="15.75">
      <c r="A102" s="18" t="s">
        <v>18</v>
      </c>
      <c r="B102" s="84"/>
      <c r="C102" s="84"/>
      <c r="D102" s="84"/>
      <c r="E102" s="84"/>
      <c r="F102" s="84"/>
      <c r="G102" s="259">
        <f>SUM(G82:G100)</f>
        <v>15503474</v>
      </c>
      <c r="H102" s="382">
        <f>SUM(H82:H100)</f>
        <v>10097846</v>
      </c>
      <c r="I102" s="78">
        <f t="shared" si="0"/>
        <v>65.13279539798629</v>
      </c>
      <c r="K102" s="250"/>
    </row>
    <row r="103" spans="1:9" ht="15.75">
      <c r="A103" s="84"/>
      <c r="B103" s="84"/>
      <c r="C103" s="84"/>
      <c r="D103" s="84"/>
      <c r="E103" s="84"/>
      <c r="F103" s="84"/>
      <c r="G103" s="258"/>
      <c r="H103" s="330"/>
      <c r="I103" s="78"/>
    </row>
    <row r="104" spans="1:9" ht="14.25" customHeight="1">
      <c r="A104" s="84"/>
      <c r="B104" s="84"/>
      <c r="C104" s="84"/>
      <c r="D104" s="84"/>
      <c r="E104" s="84"/>
      <c r="F104" s="84"/>
      <c r="G104" s="258"/>
      <c r="H104" s="330"/>
      <c r="I104" s="78"/>
    </row>
    <row r="105" spans="1:9" ht="15.75">
      <c r="A105" s="18" t="s">
        <v>55</v>
      </c>
      <c r="B105" s="18" t="s">
        <v>128</v>
      </c>
      <c r="C105" s="18"/>
      <c r="D105" s="18"/>
      <c r="E105" s="18"/>
      <c r="F105" s="18"/>
      <c r="G105" s="262"/>
      <c r="H105" s="330"/>
      <c r="I105" s="78"/>
    </row>
    <row r="106" spans="1:9" ht="42.75" customHeight="1">
      <c r="A106" s="21"/>
      <c r="B106" s="21" t="s">
        <v>38</v>
      </c>
      <c r="C106" s="419" t="s">
        <v>129</v>
      </c>
      <c r="D106" s="419"/>
      <c r="E106" s="419"/>
      <c r="F106" s="419"/>
      <c r="G106" s="256"/>
      <c r="H106" s="330"/>
      <c r="I106" s="78"/>
    </row>
    <row r="107" spans="1:9" ht="22.5" customHeight="1">
      <c r="A107" s="21"/>
      <c r="B107" s="21"/>
      <c r="C107" s="86" t="s">
        <v>38</v>
      </c>
      <c r="D107" s="421" t="s">
        <v>130</v>
      </c>
      <c r="E107" s="421"/>
      <c r="F107" s="421"/>
      <c r="G107" s="256">
        <v>61800</v>
      </c>
      <c r="H107" s="251">
        <v>121800</v>
      </c>
      <c r="I107" s="78">
        <f>H107/G107*100</f>
        <v>197.0873786407767</v>
      </c>
    </row>
    <row r="108" spans="1:9" ht="16.5" customHeight="1">
      <c r="A108" s="84"/>
      <c r="B108" s="84"/>
      <c r="C108" s="84"/>
      <c r="D108" s="21"/>
      <c r="E108" s="84"/>
      <c r="F108" s="84"/>
      <c r="G108" s="258"/>
      <c r="H108" s="251"/>
      <c r="I108" s="78"/>
    </row>
    <row r="109" spans="1:9" ht="15.75">
      <c r="A109" s="422" t="s">
        <v>131</v>
      </c>
      <c r="B109" s="422"/>
      <c r="C109" s="422"/>
      <c r="D109" s="422"/>
      <c r="E109" s="422"/>
      <c r="F109" s="422"/>
      <c r="G109" s="261">
        <f>SUM(G107:G108)</f>
        <v>61800</v>
      </c>
      <c r="H109" s="261">
        <f>SUM(H107:H108)</f>
        <v>121800</v>
      </c>
      <c r="I109" s="78">
        <f>H109/G109*100</f>
        <v>197.0873786407767</v>
      </c>
    </row>
    <row r="110" spans="1:9" ht="14.25" customHeight="1">
      <c r="A110" s="84"/>
      <c r="B110" s="84"/>
      <c r="C110" s="84"/>
      <c r="D110" s="84"/>
      <c r="E110" s="84"/>
      <c r="F110" s="84"/>
      <c r="G110" s="258"/>
      <c r="H110" s="251"/>
      <c r="I110" s="78"/>
    </row>
    <row r="111" spans="1:9" ht="16.5">
      <c r="A111" s="89" t="s">
        <v>132</v>
      </c>
      <c r="B111" s="89"/>
      <c r="C111" s="89"/>
      <c r="D111" s="89"/>
      <c r="E111" s="89"/>
      <c r="F111" s="89"/>
      <c r="G111" s="261">
        <f>G109+G102+G80+G62</f>
        <v>56637606</v>
      </c>
      <c r="H111" s="261">
        <f>H109+H102+H80+H62</f>
        <v>53772054</v>
      </c>
      <c r="I111" s="78">
        <f>H111/G111*100</f>
        <v>94.94054886430051</v>
      </c>
    </row>
    <row r="112" spans="1:9" ht="16.5">
      <c r="A112" s="89"/>
      <c r="B112" s="89"/>
      <c r="C112" s="89"/>
      <c r="D112" s="89"/>
      <c r="E112" s="89"/>
      <c r="F112" s="89"/>
      <c r="G112" s="265"/>
      <c r="H112" s="251"/>
      <c r="I112" s="78"/>
    </row>
    <row r="113" spans="1:9" ht="15.75">
      <c r="A113" s="90" t="s">
        <v>133</v>
      </c>
      <c r="B113" s="420" t="s">
        <v>134</v>
      </c>
      <c r="C113" s="420"/>
      <c r="D113" s="420"/>
      <c r="E113" s="420"/>
      <c r="F113" s="420"/>
      <c r="G113" s="256"/>
      <c r="H113" s="251"/>
      <c r="I113" s="78"/>
    </row>
    <row r="114" spans="1:9" ht="15.75">
      <c r="A114" s="18"/>
      <c r="B114" s="75" t="s">
        <v>38</v>
      </c>
      <c r="C114" s="420" t="s">
        <v>135</v>
      </c>
      <c r="D114" s="420"/>
      <c r="E114" s="420"/>
      <c r="F114" s="420"/>
      <c r="G114" s="256"/>
      <c r="H114" s="251"/>
      <c r="I114" s="78"/>
    </row>
    <row r="115" spans="1:9" ht="36" customHeight="1">
      <c r="A115" s="18"/>
      <c r="B115" s="75"/>
      <c r="C115" s="86" t="s">
        <v>38</v>
      </c>
      <c r="D115" s="419" t="s">
        <v>484</v>
      </c>
      <c r="E115" s="419"/>
      <c r="F115" s="419"/>
      <c r="G115" s="256">
        <v>12010222</v>
      </c>
      <c r="H115" s="251">
        <f>57466277-1417579+2228909+1003000+317500</f>
        <v>59598107</v>
      </c>
      <c r="I115" s="78">
        <f>H115/G115*100</f>
        <v>496.2281879552268</v>
      </c>
    </row>
    <row r="116" spans="1:9" ht="39" customHeight="1">
      <c r="A116" s="21"/>
      <c r="B116" s="21"/>
      <c r="C116" s="289" t="s">
        <v>21</v>
      </c>
      <c r="D116" s="418" t="s">
        <v>393</v>
      </c>
      <c r="E116" s="418"/>
      <c r="F116" s="418"/>
      <c r="G116" s="257">
        <v>10000000</v>
      </c>
      <c r="H116" s="330"/>
      <c r="I116" s="78"/>
    </row>
    <row r="117" spans="1:9" ht="16.5" customHeight="1">
      <c r="A117" s="21"/>
      <c r="B117" s="21"/>
      <c r="C117" s="21" t="s">
        <v>39</v>
      </c>
      <c r="D117" s="418" t="s">
        <v>394</v>
      </c>
      <c r="E117" s="418"/>
      <c r="F117" s="418"/>
      <c r="G117" s="257">
        <v>1121209</v>
      </c>
      <c r="H117" s="381">
        <v>1417579</v>
      </c>
      <c r="I117" s="78"/>
    </row>
    <row r="118" spans="1:9" ht="16.5" customHeight="1">
      <c r="A118" s="21"/>
      <c r="B118" s="21"/>
      <c r="C118" s="21" t="s">
        <v>86</v>
      </c>
      <c r="D118" s="419" t="s">
        <v>135</v>
      </c>
      <c r="E118" s="428"/>
      <c r="F118" s="428"/>
      <c r="G118" s="75"/>
      <c r="H118" s="381">
        <f>1115738+600000+38100+2520923+296450+100000+38756947+602627</f>
        <v>44030785</v>
      </c>
      <c r="I118" s="78"/>
    </row>
    <row r="119" spans="1:9" ht="16.5">
      <c r="A119" s="89" t="s">
        <v>134</v>
      </c>
      <c r="B119" s="89"/>
      <c r="C119" s="89"/>
      <c r="D119" s="89"/>
      <c r="E119" s="89"/>
      <c r="F119" s="89"/>
      <c r="G119" s="261">
        <f>G115+G116+G117</f>
        <v>23131431</v>
      </c>
      <c r="H119" s="261">
        <f>SUM(H115:H118)</f>
        <v>105046471</v>
      </c>
      <c r="I119" s="78">
        <f>H119/G119*100</f>
        <v>454.1287177606954</v>
      </c>
    </row>
    <row r="120" spans="1:9" ht="15" customHeight="1">
      <c r="A120" s="21"/>
      <c r="B120" s="21"/>
      <c r="C120" s="21"/>
      <c r="D120" s="21"/>
      <c r="E120" s="21"/>
      <c r="F120" s="21"/>
      <c r="G120" s="266"/>
      <c r="H120" s="263"/>
      <c r="I120" s="78"/>
    </row>
    <row r="121" spans="1:9" ht="18.75">
      <c r="A121" s="20" t="s">
        <v>136</v>
      </c>
      <c r="B121" s="20"/>
      <c r="C121" s="20"/>
      <c r="D121" s="20"/>
      <c r="E121" s="20"/>
      <c r="F121" s="20"/>
      <c r="G121" s="261">
        <f>G111+G119</f>
        <v>79769037</v>
      </c>
      <c r="H121" s="261">
        <f>H111+H119</f>
        <v>158818525</v>
      </c>
      <c r="I121" s="78">
        <f>H121/G121*100</f>
        <v>199.0979595253231</v>
      </c>
    </row>
    <row r="122" spans="7:9" ht="15.75">
      <c r="G122" s="250"/>
      <c r="H122" s="250"/>
      <c r="I122" s="78"/>
    </row>
    <row r="123" spans="7:9" ht="15.75">
      <c r="G123" s="250"/>
      <c r="H123" s="250"/>
      <c r="I123" s="78"/>
    </row>
    <row r="124" spans="7:8" ht="15.75">
      <c r="G124" s="250"/>
      <c r="H124" s="250"/>
    </row>
    <row r="125" spans="7:8" ht="15.75">
      <c r="G125" s="250"/>
      <c r="H125" s="250"/>
    </row>
    <row r="126" spans="7:8" ht="15.75">
      <c r="G126" s="250"/>
      <c r="H126" s="250"/>
    </row>
    <row r="127" spans="7:8" ht="15.75">
      <c r="G127" s="250"/>
      <c r="H127" s="250"/>
    </row>
    <row r="128" spans="7:8" ht="15.75">
      <c r="G128" s="250"/>
      <c r="H128" s="250"/>
    </row>
    <row r="129" spans="7:8" ht="15.75">
      <c r="G129" s="250"/>
      <c r="H129" s="250"/>
    </row>
    <row r="130" spans="7:8" ht="15.75">
      <c r="G130" s="250"/>
      <c r="H130" s="250"/>
    </row>
    <row r="131" spans="7:8" ht="15.75">
      <c r="G131" s="250"/>
      <c r="H131" s="250"/>
    </row>
    <row r="132" spans="7:8" ht="15.75">
      <c r="G132" s="250"/>
      <c r="H132" s="250"/>
    </row>
    <row r="133" spans="7:8" ht="15.75">
      <c r="G133" s="250"/>
      <c r="H133" s="250"/>
    </row>
    <row r="134" spans="7:8" ht="15.75">
      <c r="G134" s="250"/>
      <c r="H134" s="250"/>
    </row>
    <row r="135" spans="7:8" ht="15.75">
      <c r="G135" s="250"/>
      <c r="H135" s="250"/>
    </row>
    <row r="136" spans="7:8" ht="15.75">
      <c r="G136" s="250"/>
      <c r="H136" s="250"/>
    </row>
    <row r="137" spans="7:8" ht="15.75">
      <c r="G137" s="250"/>
      <c r="H137" s="250"/>
    </row>
    <row r="138" spans="7:8" ht="15.75">
      <c r="G138" s="250"/>
      <c r="H138" s="250"/>
    </row>
    <row r="139" spans="7:8" ht="15.75">
      <c r="G139" s="250"/>
      <c r="H139" s="250"/>
    </row>
    <row r="140" spans="7:8" ht="15.75">
      <c r="G140" s="250"/>
      <c r="H140" s="250"/>
    </row>
    <row r="141" spans="7:8" ht="15.75">
      <c r="G141" s="250"/>
      <c r="H141" s="250"/>
    </row>
    <row r="142" spans="7:8" ht="15.75">
      <c r="G142" s="250"/>
      <c r="H142" s="250"/>
    </row>
    <row r="143" spans="7:8" ht="15.75">
      <c r="G143" s="250"/>
      <c r="H143" s="250"/>
    </row>
    <row r="144" spans="7:8" ht="15.75">
      <c r="G144" s="250"/>
      <c r="H144" s="250"/>
    </row>
    <row r="145" spans="7:8" ht="15.75">
      <c r="G145" s="250"/>
      <c r="H145" s="250"/>
    </row>
    <row r="146" spans="7:8" ht="15.75">
      <c r="G146" s="250"/>
      <c r="H146" s="250"/>
    </row>
    <row r="147" spans="7:8" ht="15.75">
      <c r="G147" s="250"/>
      <c r="H147" s="250"/>
    </row>
    <row r="148" spans="7:8" ht="15.75">
      <c r="G148" s="250"/>
      <c r="H148" s="250"/>
    </row>
    <row r="149" spans="7:8" ht="15.75">
      <c r="G149" s="250"/>
      <c r="H149" s="250"/>
    </row>
    <row r="150" spans="7:8" ht="15.75">
      <c r="G150" s="250"/>
      <c r="H150" s="250"/>
    </row>
    <row r="151" spans="7:8" ht="15.75">
      <c r="G151" s="250"/>
      <c r="H151" s="250"/>
    </row>
    <row r="152" spans="7:8" ht="15.75">
      <c r="G152" s="250"/>
      <c r="H152" s="250"/>
    </row>
    <row r="153" spans="7:8" ht="15.75">
      <c r="G153" s="250"/>
      <c r="H153" s="250"/>
    </row>
    <row r="154" spans="7:8" ht="15.75">
      <c r="G154" s="250"/>
      <c r="H154" s="250"/>
    </row>
    <row r="155" spans="7:8" ht="15.75">
      <c r="G155" s="250"/>
      <c r="H155" s="250"/>
    </row>
    <row r="156" spans="7:8" ht="15.75">
      <c r="G156" s="250"/>
      <c r="H156" s="250"/>
    </row>
  </sheetData>
  <sheetProtection/>
  <mergeCells count="36">
    <mergeCell ref="A3:I3"/>
    <mergeCell ref="D118:F118"/>
    <mergeCell ref="D16:F16"/>
    <mergeCell ref="C100:F100"/>
    <mergeCell ref="A1:I1"/>
    <mergeCell ref="A8:I8"/>
    <mergeCell ref="B14:F14"/>
    <mergeCell ref="A10:F12"/>
    <mergeCell ref="A4:I4"/>
    <mergeCell ref="A5:I5"/>
    <mergeCell ref="A6:I6"/>
    <mergeCell ref="D47:F47"/>
    <mergeCell ref="E48:F48"/>
    <mergeCell ref="C50:F50"/>
    <mergeCell ref="C45:F45"/>
    <mergeCell ref="E17:F17"/>
    <mergeCell ref="D34:F34"/>
    <mergeCell ref="D37:F37"/>
    <mergeCell ref="D38:F38"/>
    <mergeCell ref="C82:F82"/>
    <mergeCell ref="B63:F63"/>
    <mergeCell ref="B61:F61"/>
    <mergeCell ref="B56:F56"/>
    <mergeCell ref="C58:F58"/>
    <mergeCell ref="D59:F59"/>
    <mergeCell ref="D116:F116"/>
    <mergeCell ref="D117:F117"/>
    <mergeCell ref="C106:F106"/>
    <mergeCell ref="C114:F114"/>
    <mergeCell ref="D115:F115"/>
    <mergeCell ref="E40:F40"/>
    <mergeCell ref="D107:F107"/>
    <mergeCell ref="A109:F109"/>
    <mergeCell ref="B113:F113"/>
    <mergeCell ref="A62:F62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34"/>
  <sheetViews>
    <sheetView view="pageBreakPreview" zoomScale="60" zoomScalePageLayoutView="0" workbookViewId="0" topLeftCell="A1">
      <selection activeCell="J11" sqref="J11"/>
    </sheetView>
  </sheetViews>
  <sheetFormatPr defaultColWidth="9.00390625" defaultRowHeight="12.75"/>
  <cols>
    <col min="1" max="1" width="3.875" style="161" customWidth="1"/>
    <col min="2" max="2" width="9.125" style="161" customWidth="1"/>
    <col min="3" max="3" width="61.125" style="161" customWidth="1"/>
    <col min="4" max="7" width="26.25390625" style="161" customWidth="1"/>
    <col min="8" max="16384" width="9.125" style="161" customWidth="1"/>
  </cols>
  <sheetData>
    <row r="1" spans="1:7" ht="15" customHeight="1">
      <c r="A1" s="440" t="s">
        <v>525</v>
      </c>
      <c r="B1" s="417"/>
      <c r="C1" s="417"/>
      <c r="D1" s="417"/>
      <c r="E1" s="417"/>
      <c r="F1" s="417"/>
      <c r="G1" s="417"/>
    </row>
    <row r="3" spans="1:7" s="153" customFormat="1" ht="15.75">
      <c r="A3" s="439" t="s">
        <v>490</v>
      </c>
      <c r="B3" s="415"/>
      <c r="C3" s="415"/>
      <c r="D3" s="415"/>
      <c r="E3" s="415"/>
      <c r="F3" s="415"/>
      <c r="G3" s="415"/>
    </row>
    <row r="4" spans="3:7" s="67" customFormat="1" ht="15" customHeight="1">
      <c r="C4" s="441"/>
      <c r="D4" s="441"/>
      <c r="E4" s="441"/>
      <c r="F4" s="441"/>
      <c r="G4" s="441"/>
    </row>
    <row r="5" spans="2:7" s="155" customFormat="1" ht="15" customHeight="1">
      <c r="B5" s="442"/>
      <c r="C5" s="442"/>
      <c r="D5" s="442"/>
      <c r="E5" s="442"/>
      <c r="F5" s="442"/>
      <c r="G5" s="442"/>
    </row>
    <row r="6" spans="2:7" s="109" customFormat="1" ht="15" customHeight="1">
      <c r="B6" s="442" t="s">
        <v>35</v>
      </c>
      <c r="C6" s="442"/>
      <c r="D6" s="442"/>
      <c r="E6" s="442"/>
      <c r="F6" s="442"/>
      <c r="G6" s="442"/>
    </row>
    <row r="7" spans="2:7" s="109" customFormat="1" ht="15.75" customHeight="1">
      <c r="B7" s="443" t="s">
        <v>272</v>
      </c>
      <c r="C7" s="443"/>
      <c r="D7" s="443"/>
      <c r="E7" s="443"/>
      <c r="F7" s="443"/>
      <c r="G7" s="443"/>
    </row>
    <row r="8" spans="3:7" s="109" customFormat="1" ht="15" customHeight="1">
      <c r="C8" s="442" t="s">
        <v>435</v>
      </c>
      <c r="D8" s="442"/>
      <c r="E8" s="442"/>
      <c r="F8" s="442"/>
      <c r="G8" s="442"/>
    </row>
    <row r="9" spans="3:7" s="153" customFormat="1" ht="12" customHeight="1" thickBot="1">
      <c r="C9" s="154"/>
      <c r="D9" s="158"/>
      <c r="E9" s="159"/>
      <c r="F9" s="159"/>
      <c r="G9" s="160"/>
    </row>
    <row r="10" spans="1:7" s="153" customFormat="1" ht="23.25" customHeight="1" thickBot="1">
      <c r="A10" s="444" t="s">
        <v>378</v>
      </c>
      <c r="B10" s="447" t="s">
        <v>165</v>
      </c>
      <c r="C10" s="450" t="s">
        <v>166</v>
      </c>
      <c r="D10" s="453" t="s">
        <v>273</v>
      </c>
      <c r="E10" s="456" t="s">
        <v>274</v>
      </c>
      <c r="F10" s="456"/>
      <c r="G10" s="457"/>
    </row>
    <row r="11" spans="1:7" s="153" customFormat="1" ht="39.75" customHeight="1" thickBot="1">
      <c r="A11" s="445"/>
      <c r="B11" s="448"/>
      <c r="C11" s="451"/>
      <c r="D11" s="454"/>
      <c r="E11" s="271" t="s">
        <v>275</v>
      </c>
      <c r="F11" s="272" t="s">
        <v>276</v>
      </c>
      <c r="G11" s="273" t="s">
        <v>277</v>
      </c>
    </row>
    <row r="12" spans="1:7" s="153" customFormat="1" ht="22.5" customHeight="1">
      <c r="A12" s="445"/>
      <c r="B12" s="448"/>
      <c r="C12" s="451"/>
      <c r="D12" s="454"/>
      <c r="E12" s="458" t="s">
        <v>278</v>
      </c>
      <c r="F12" s="459"/>
      <c r="G12" s="460"/>
    </row>
    <row r="13" spans="1:7" ht="21.75" customHeight="1" thickBot="1">
      <c r="A13" s="446"/>
      <c r="B13" s="449"/>
      <c r="C13" s="452"/>
      <c r="D13" s="455"/>
      <c r="E13" s="461"/>
      <c r="F13" s="462"/>
      <c r="G13" s="463"/>
    </row>
    <row r="14" spans="1:7" ht="30">
      <c r="A14" s="274" t="s">
        <v>38</v>
      </c>
      <c r="B14" s="267" t="s">
        <v>182</v>
      </c>
      <c r="C14" s="162" t="s">
        <v>183</v>
      </c>
      <c r="D14" s="163">
        <f>SUM(E14:G14)</f>
        <v>128800</v>
      </c>
      <c r="E14" s="163">
        <v>7000</v>
      </c>
      <c r="F14" s="163">
        <v>121800</v>
      </c>
      <c r="G14" s="164"/>
    </row>
    <row r="15" spans="1:7" ht="15">
      <c r="A15" s="270" t="s">
        <v>21</v>
      </c>
      <c r="B15" s="268" t="s">
        <v>184</v>
      </c>
      <c r="C15" s="102" t="s">
        <v>30</v>
      </c>
      <c r="D15" s="165">
        <f aca="true" t="shared" si="0" ref="D15:D22">SUM(E15:G15)</f>
        <v>51800</v>
      </c>
      <c r="E15" s="165">
        <v>51800</v>
      </c>
      <c r="F15" s="165"/>
      <c r="G15" s="166"/>
    </row>
    <row r="16" spans="1:7" ht="15">
      <c r="A16" s="270" t="s">
        <v>39</v>
      </c>
      <c r="B16" s="268" t="s">
        <v>185</v>
      </c>
      <c r="C16" s="102" t="s">
        <v>186</v>
      </c>
      <c r="D16" s="165">
        <f t="shared" si="0"/>
        <v>956117</v>
      </c>
      <c r="E16" s="165">
        <v>820000</v>
      </c>
      <c r="F16" s="165">
        <f>85179+2000+20000+28938</f>
        <v>136117</v>
      </c>
      <c r="G16" s="166"/>
    </row>
    <row r="17" spans="1:7" ht="15">
      <c r="A17" s="270" t="s">
        <v>86</v>
      </c>
      <c r="B17" s="268" t="s">
        <v>279</v>
      </c>
      <c r="C17" s="102" t="s">
        <v>280</v>
      </c>
      <c r="D17" s="165">
        <f t="shared" si="0"/>
        <v>35631389</v>
      </c>
      <c r="E17" s="165">
        <f>35442468+11121+177800</f>
        <v>35631389</v>
      </c>
      <c r="F17" s="165"/>
      <c r="G17" s="166"/>
    </row>
    <row r="18" spans="1:7" ht="15">
      <c r="A18" s="270" t="s">
        <v>87</v>
      </c>
      <c r="B18" s="268" t="s">
        <v>380</v>
      </c>
      <c r="C18" s="102" t="s">
        <v>381</v>
      </c>
      <c r="D18" s="165">
        <f t="shared" si="0"/>
        <v>104443844</v>
      </c>
      <c r="E18" s="165">
        <f>57466277+2228909+1320500+1115738+600000+38100+2520923+296450+100000+38756947</f>
        <v>104443844</v>
      </c>
      <c r="F18" s="165"/>
      <c r="G18" s="166"/>
    </row>
    <row r="19" spans="1:7" ht="15">
      <c r="A19" s="270" t="s">
        <v>93</v>
      </c>
      <c r="B19" s="268" t="s">
        <v>441</v>
      </c>
      <c r="C19" s="102" t="s">
        <v>442</v>
      </c>
      <c r="D19" s="165">
        <f t="shared" si="0"/>
        <v>61619</v>
      </c>
      <c r="E19" s="165">
        <v>61619</v>
      </c>
      <c r="F19" s="165"/>
      <c r="G19" s="166"/>
    </row>
    <row r="20" spans="1:7" ht="15">
      <c r="A20" s="270" t="s">
        <v>228</v>
      </c>
      <c r="B20" s="268" t="s">
        <v>189</v>
      </c>
      <c r="C20" s="102" t="s">
        <v>190</v>
      </c>
      <c r="D20" s="165">
        <f t="shared" si="0"/>
        <v>5907694</v>
      </c>
      <c r="E20" s="165">
        <v>5907694</v>
      </c>
      <c r="F20" s="165"/>
      <c r="G20" s="166"/>
    </row>
    <row r="21" spans="1:7" ht="15">
      <c r="A21" s="270" t="s">
        <v>230</v>
      </c>
      <c r="B21" s="269">
        <v>104051</v>
      </c>
      <c r="C21" s="102" t="s">
        <v>340</v>
      </c>
      <c r="D21" s="165">
        <f t="shared" si="0"/>
        <v>46400</v>
      </c>
      <c r="E21" s="165"/>
      <c r="F21" s="165"/>
      <c r="G21" s="166">
        <v>46400</v>
      </c>
    </row>
    <row r="22" spans="1:7" ht="30.75" thickBot="1">
      <c r="A22" s="270" t="s">
        <v>232</v>
      </c>
      <c r="B22" s="269">
        <v>900020</v>
      </c>
      <c r="C22" s="102" t="s">
        <v>285</v>
      </c>
      <c r="D22" s="165">
        <f t="shared" si="0"/>
        <v>7808000</v>
      </c>
      <c r="E22" s="165">
        <v>7808000</v>
      </c>
      <c r="F22" s="165"/>
      <c r="G22" s="166"/>
    </row>
    <row r="23" spans="1:7" ht="30" customHeight="1" thickBot="1">
      <c r="A23" s="372" t="s">
        <v>238</v>
      </c>
      <c r="B23" s="373"/>
      <c r="C23" s="361" t="s">
        <v>443</v>
      </c>
      <c r="D23" s="363">
        <f>SUM(D14:D22)</f>
        <v>155035663</v>
      </c>
      <c r="E23" s="363">
        <f>SUM(E14:E22)</f>
        <v>154731346</v>
      </c>
      <c r="F23" s="363">
        <f>SUM(F14:F22)</f>
        <v>257917</v>
      </c>
      <c r="G23" s="363">
        <f>SUM(G14:G22)</f>
        <v>46400</v>
      </c>
    </row>
    <row r="24" ht="13.5" thickBot="1"/>
    <row r="25" spans="1:7" ht="17.25" customHeight="1">
      <c r="A25" s="270" t="s">
        <v>240</v>
      </c>
      <c r="B25" s="389" t="s">
        <v>380</v>
      </c>
      <c r="C25" s="390" t="s">
        <v>381</v>
      </c>
      <c r="D25" s="393">
        <f>SUM(E25:G25)</f>
        <v>602627</v>
      </c>
      <c r="E25" s="393">
        <v>602627</v>
      </c>
      <c r="F25" s="391"/>
      <c r="G25" s="392"/>
    </row>
    <row r="26" spans="1:7" ht="15">
      <c r="A26" s="270" t="s">
        <v>242</v>
      </c>
      <c r="B26" s="294" t="s">
        <v>281</v>
      </c>
      <c r="C26" s="295" t="s">
        <v>282</v>
      </c>
      <c r="D26" s="163">
        <f>SUM(E26:G26)</f>
        <v>422725</v>
      </c>
      <c r="E26" s="163">
        <v>422725</v>
      </c>
      <c r="F26" s="163"/>
      <c r="G26" s="164"/>
    </row>
    <row r="27" spans="1:7" ht="15">
      <c r="A27" s="270" t="s">
        <v>247</v>
      </c>
      <c r="B27" s="268" t="s">
        <v>283</v>
      </c>
      <c r="C27" s="102" t="s">
        <v>284</v>
      </c>
      <c r="D27" s="165">
        <f>SUM(E27:G27)</f>
        <v>166287</v>
      </c>
      <c r="E27" s="165"/>
      <c r="F27" s="165">
        <v>166287</v>
      </c>
      <c r="G27" s="166"/>
    </row>
    <row r="28" spans="1:7" ht="15">
      <c r="A28" s="355" t="s">
        <v>249</v>
      </c>
      <c r="B28" s="268" t="s">
        <v>283</v>
      </c>
      <c r="C28" s="104" t="s">
        <v>347</v>
      </c>
      <c r="D28" s="165">
        <f>SUM(E28:G28)</f>
        <v>745507</v>
      </c>
      <c r="E28" s="165"/>
      <c r="F28" s="165">
        <v>745507</v>
      </c>
      <c r="G28" s="166"/>
    </row>
    <row r="29" spans="1:7" ht="15.75" thickBot="1">
      <c r="A29" s="355" t="s">
        <v>251</v>
      </c>
      <c r="B29" s="269" t="s">
        <v>206</v>
      </c>
      <c r="C29" s="335" t="s">
        <v>338</v>
      </c>
      <c r="D29" s="359">
        <f>SUM(E29:G29)</f>
        <v>1845716</v>
      </c>
      <c r="E29" s="359">
        <v>1845716</v>
      </c>
      <c r="F29" s="359"/>
      <c r="G29" s="360"/>
    </row>
    <row r="30" spans="1:7" ht="15" thickBot="1">
      <c r="A30" s="383" t="s">
        <v>258</v>
      </c>
      <c r="B30" s="167"/>
      <c r="C30" s="348" t="s">
        <v>446</v>
      </c>
      <c r="D30" s="374">
        <f>D26+D27+D28+D29+D25</f>
        <v>3782862</v>
      </c>
      <c r="E30" s="374">
        <f>E26+E27+E28+E29+E25</f>
        <v>2871068</v>
      </c>
      <c r="F30" s="374">
        <f>F26+F27+F28+F29</f>
        <v>911794</v>
      </c>
      <c r="G30" s="374">
        <f>G26+G27+G28+G29</f>
        <v>0</v>
      </c>
    </row>
    <row r="31" spans="1:7" ht="16.5" thickBot="1">
      <c r="A31" s="383" t="s">
        <v>261</v>
      </c>
      <c r="B31" s="167"/>
      <c r="C31" s="349" t="s">
        <v>447</v>
      </c>
      <c r="D31" s="374">
        <f>D23+D30</f>
        <v>158818525</v>
      </c>
      <c r="E31" s="374">
        <f>E23+E30</f>
        <v>157602414</v>
      </c>
      <c r="F31" s="374">
        <f>F23+F30</f>
        <v>1169711</v>
      </c>
      <c r="G31" s="374">
        <f>G23+G30</f>
        <v>46400</v>
      </c>
    </row>
    <row r="34" ht="12.75">
      <c r="D34" s="406"/>
    </row>
  </sheetData>
  <sheetProtection/>
  <mergeCells count="13">
    <mergeCell ref="A10:A13"/>
    <mergeCell ref="B10:B13"/>
    <mergeCell ref="C10:C13"/>
    <mergeCell ref="D10:D13"/>
    <mergeCell ref="E10:G10"/>
    <mergeCell ref="E12:G13"/>
    <mergeCell ref="A3:G3"/>
    <mergeCell ref="A1:G1"/>
    <mergeCell ref="C4:G4"/>
    <mergeCell ref="C8:G8"/>
    <mergeCell ref="B5:G5"/>
    <mergeCell ref="B6:G6"/>
    <mergeCell ref="B7:G7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49"/>
  <sheetViews>
    <sheetView view="pageBreakPreview" zoomScale="60" zoomScalePageLayoutView="0" workbookViewId="0" topLeftCell="A1">
      <selection activeCell="B7" sqref="B7:T7"/>
    </sheetView>
  </sheetViews>
  <sheetFormatPr defaultColWidth="9.00390625" defaultRowHeight="12.75"/>
  <cols>
    <col min="1" max="1" width="4.75390625" style="10" customWidth="1"/>
    <col min="2" max="2" width="9.125" style="10" customWidth="1"/>
    <col min="3" max="3" width="44.125" style="10" customWidth="1"/>
    <col min="4" max="4" width="13.00390625" style="10" customWidth="1"/>
    <col min="5" max="5" width="11.75390625" style="10" customWidth="1"/>
    <col min="6" max="6" width="10.375" style="10" customWidth="1"/>
    <col min="7" max="7" width="12.625" style="10" customWidth="1"/>
    <col min="8" max="8" width="10.375" style="10" customWidth="1"/>
    <col min="9" max="9" width="12.375" style="10" customWidth="1"/>
    <col min="10" max="10" width="12.25390625" style="10" customWidth="1"/>
    <col min="11" max="11" width="11.125" style="10" customWidth="1"/>
    <col min="12" max="12" width="12.25390625" style="10" customWidth="1"/>
    <col min="13" max="13" width="11.125" style="10" customWidth="1"/>
    <col min="14" max="14" width="13.375" style="10" customWidth="1"/>
    <col min="15" max="15" width="15.25390625" style="10" customWidth="1"/>
    <col min="16" max="16" width="9.875" style="10" customWidth="1"/>
    <col min="17" max="17" width="10.625" style="10" customWidth="1"/>
    <col min="18" max="18" width="11.00390625" style="10" customWidth="1"/>
    <col min="19" max="16384" width="9.125" style="10" customWidth="1"/>
  </cols>
  <sheetData>
    <row r="1" spans="1:20" ht="15" customHeight="1">
      <c r="A1" s="440" t="s">
        <v>526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</row>
    <row r="3" spans="1:20" ht="15.75">
      <c r="A3" s="439" t="s">
        <v>491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</row>
    <row r="4" spans="2:17" ht="15.75" customHeight="1"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</row>
    <row r="5" spans="2:20" s="100" customFormat="1" ht="15.75" customHeight="1"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</row>
    <row r="6" spans="2:17" s="100" customFormat="1" ht="15.75" customHeight="1"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</row>
    <row r="7" spans="2:20" s="100" customFormat="1" ht="15.75" customHeight="1">
      <c r="B7" s="477" t="s">
        <v>35</v>
      </c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477"/>
      <c r="Q7" s="477"/>
      <c r="R7" s="477"/>
      <c r="S7" s="477"/>
      <c r="T7" s="477"/>
    </row>
    <row r="8" spans="2:20" s="100" customFormat="1" ht="15.75" customHeight="1">
      <c r="B8" s="477" t="s">
        <v>164</v>
      </c>
      <c r="C8" s="477"/>
      <c r="D8" s="477"/>
      <c r="E8" s="477"/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477"/>
      <c r="Q8" s="477"/>
      <c r="R8" s="477"/>
      <c r="S8" s="477"/>
      <c r="T8" s="477"/>
    </row>
    <row r="9" spans="2:20" s="100" customFormat="1" ht="15.75" customHeight="1">
      <c r="B9" s="477" t="s">
        <v>434</v>
      </c>
      <c r="C9" s="477"/>
      <c r="D9" s="477"/>
      <c r="E9" s="477"/>
      <c r="F9" s="477"/>
      <c r="G9" s="477"/>
      <c r="H9" s="477"/>
      <c r="I9" s="477"/>
      <c r="J9" s="477"/>
      <c r="K9" s="477"/>
      <c r="L9" s="477"/>
      <c r="M9" s="477"/>
      <c r="N9" s="477"/>
      <c r="O9" s="477"/>
      <c r="P9" s="477"/>
      <c r="Q9" s="477"/>
      <c r="R9" s="477"/>
      <c r="S9" s="477"/>
      <c r="T9" s="477"/>
    </row>
    <row r="10" spans="19:20" s="100" customFormat="1" ht="15.75" thickBot="1">
      <c r="S10" s="478" t="s">
        <v>379</v>
      </c>
      <c r="T10" s="478"/>
    </row>
    <row r="11" spans="1:20" s="101" customFormat="1" ht="20.25" customHeight="1" thickBot="1">
      <c r="A11" s="473" t="s">
        <v>378</v>
      </c>
      <c r="B11" s="470" t="s">
        <v>165</v>
      </c>
      <c r="C11" s="464" t="s">
        <v>166</v>
      </c>
      <c r="D11" s="467" t="s">
        <v>167</v>
      </c>
      <c r="E11" s="481" t="s">
        <v>168</v>
      </c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3"/>
      <c r="S11" s="479" t="s">
        <v>3</v>
      </c>
      <c r="T11" s="480"/>
    </row>
    <row r="12" spans="1:20" s="101" customFormat="1" ht="38.25" customHeight="1" thickBot="1">
      <c r="A12" s="474"/>
      <c r="B12" s="471"/>
      <c r="C12" s="465"/>
      <c r="D12" s="468"/>
      <c r="E12" s="484" t="s">
        <v>58</v>
      </c>
      <c r="F12" s="485"/>
      <c r="G12" s="485"/>
      <c r="H12" s="485"/>
      <c r="I12" s="485"/>
      <c r="J12" s="486"/>
      <c r="K12" s="498" t="s">
        <v>59</v>
      </c>
      <c r="L12" s="499"/>
      <c r="M12" s="499"/>
      <c r="N12" s="500"/>
      <c r="O12" s="487" t="s">
        <v>169</v>
      </c>
      <c r="P12" s="488"/>
      <c r="Q12" s="488"/>
      <c r="R12" s="489"/>
      <c r="S12" s="493" t="s">
        <v>7</v>
      </c>
      <c r="T12" s="494"/>
    </row>
    <row r="13" spans="1:20" s="101" customFormat="1" ht="21" customHeight="1" thickBot="1">
      <c r="A13" s="474"/>
      <c r="B13" s="471"/>
      <c r="C13" s="465"/>
      <c r="D13" s="468"/>
      <c r="E13" s="467" t="s">
        <v>170</v>
      </c>
      <c r="F13" s="467" t="s">
        <v>171</v>
      </c>
      <c r="G13" s="467" t="s">
        <v>172</v>
      </c>
      <c r="H13" s="467" t="s">
        <v>173</v>
      </c>
      <c r="I13" s="467" t="s">
        <v>174</v>
      </c>
      <c r="J13" s="503" t="s">
        <v>175</v>
      </c>
      <c r="K13" s="495" t="s">
        <v>176</v>
      </c>
      <c r="L13" s="495" t="s">
        <v>60</v>
      </c>
      <c r="M13" s="467" t="s">
        <v>286</v>
      </c>
      <c r="N13" s="490" t="s">
        <v>287</v>
      </c>
      <c r="O13" s="467" t="s">
        <v>348</v>
      </c>
      <c r="P13" s="467" t="s">
        <v>177</v>
      </c>
      <c r="Q13" s="467" t="s">
        <v>178</v>
      </c>
      <c r="R13" s="490" t="s">
        <v>288</v>
      </c>
      <c r="S13" s="151" t="s">
        <v>179</v>
      </c>
      <c r="T13" s="152" t="s">
        <v>180</v>
      </c>
    </row>
    <row r="14" spans="1:20" s="101" customFormat="1" ht="18.75" customHeight="1">
      <c r="A14" s="474"/>
      <c r="B14" s="471"/>
      <c r="C14" s="465"/>
      <c r="D14" s="468"/>
      <c r="E14" s="468"/>
      <c r="F14" s="468"/>
      <c r="G14" s="468"/>
      <c r="H14" s="468"/>
      <c r="I14" s="468"/>
      <c r="J14" s="504"/>
      <c r="K14" s="496"/>
      <c r="L14" s="496"/>
      <c r="M14" s="468"/>
      <c r="N14" s="491"/>
      <c r="O14" s="468"/>
      <c r="P14" s="468"/>
      <c r="Q14" s="468"/>
      <c r="R14" s="491"/>
      <c r="S14" s="501" t="s">
        <v>181</v>
      </c>
      <c r="T14" s="502"/>
    </row>
    <row r="15" spans="1:20" s="101" customFormat="1" ht="20.25" customHeight="1" thickBot="1">
      <c r="A15" s="475"/>
      <c r="B15" s="472"/>
      <c r="C15" s="466"/>
      <c r="D15" s="469"/>
      <c r="E15" s="469"/>
      <c r="F15" s="469"/>
      <c r="G15" s="469"/>
      <c r="H15" s="469"/>
      <c r="I15" s="469"/>
      <c r="J15" s="505"/>
      <c r="K15" s="497"/>
      <c r="L15" s="497"/>
      <c r="M15" s="469"/>
      <c r="N15" s="492"/>
      <c r="O15" s="469"/>
      <c r="P15" s="469"/>
      <c r="Q15" s="469"/>
      <c r="R15" s="492"/>
      <c r="S15" s="493"/>
      <c r="T15" s="494"/>
    </row>
    <row r="16" spans="1:20" s="100" customFormat="1" ht="30">
      <c r="A16" s="318" t="s">
        <v>38</v>
      </c>
      <c r="B16" s="316" t="s">
        <v>182</v>
      </c>
      <c r="C16" s="102" t="s">
        <v>183</v>
      </c>
      <c r="D16" s="283">
        <f>J16+N16+P16+Q16</f>
        <v>57670985</v>
      </c>
      <c r="E16" s="275">
        <v>12122418</v>
      </c>
      <c r="F16" s="276">
        <v>2531780</v>
      </c>
      <c r="G16" s="276">
        <f>3646740+100000+1003000</f>
        <v>4749740</v>
      </c>
      <c r="H16" s="276"/>
      <c r="I16" s="276">
        <f>348500+60000+38756947-1000000</f>
        <v>38165447</v>
      </c>
      <c r="J16" s="277">
        <f aca="true" t="shared" si="0" ref="J16:J38">SUM(E16:I16)</f>
        <v>57569385</v>
      </c>
      <c r="K16" s="278">
        <v>101600</v>
      </c>
      <c r="L16" s="278"/>
      <c r="M16" s="278"/>
      <c r="N16" s="279">
        <f>SUM(K16:M16)</f>
        <v>101600</v>
      </c>
      <c r="O16" s="279"/>
      <c r="P16" s="280"/>
      <c r="Q16" s="281"/>
      <c r="R16" s="281"/>
      <c r="S16" s="323">
        <f>0.5+0.1+0.2-0.3</f>
        <v>0.5</v>
      </c>
      <c r="T16" s="324">
        <v>0.5</v>
      </c>
    </row>
    <row r="17" spans="1:20" s="100" customFormat="1" ht="15">
      <c r="A17" s="318" t="s">
        <v>21</v>
      </c>
      <c r="B17" s="268" t="s">
        <v>184</v>
      </c>
      <c r="C17" s="102" t="s">
        <v>30</v>
      </c>
      <c r="D17" s="283">
        <f aca="true" t="shared" si="1" ref="D17:D38">J17+N17+P17+Q17</f>
        <v>68150</v>
      </c>
      <c r="E17" s="275"/>
      <c r="F17" s="276"/>
      <c r="G17" s="276">
        <v>68150</v>
      </c>
      <c r="H17" s="276"/>
      <c r="I17" s="276"/>
      <c r="J17" s="277">
        <f t="shared" si="0"/>
        <v>68150</v>
      </c>
      <c r="K17" s="278"/>
      <c r="L17" s="278"/>
      <c r="M17" s="278"/>
      <c r="N17" s="279"/>
      <c r="O17" s="279"/>
      <c r="P17" s="280"/>
      <c r="Q17" s="281"/>
      <c r="R17" s="281"/>
      <c r="S17" s="325"/>
      <c r="T17" s="326"/>
    </row>
    <row r="18" spans="1:20" s="100" customFormat="1" ht="29.25" customHeight="1">
      <c r="A18" s="318" t="s">
        <v>39</v>
      </c>
      <c r="B18" s="268" t="s">
        <v>185</v>
      </c>
      <c r="C18" s="102" t="s">
        <v>186</v>
      </c>
      <c r="D18" s="283">
        <f>J18+N18+R18</f>
        <v>765340</v>
      </c>
      <c r="E18" s="275"/>
      <c r="F18" s="276"/>
      <c r="G18" s="276">
        <f>282890+381000</f>
        <v>663890</v>
      </c>
      <c r="H18" s="276"/>
      <c r="I18" s="276"/>
      <c r="J18" s="277">
        <f t="shared" si="0"/>
        <v>663890</v>
      </c>
      <c r="K18" s="278">
        <v>101450</v>
      </c>
      <c r="L18" s="278"/>
      <c r="M18" s="278"/>
      <c r="N18" s="279">
        <f>SUM(K18:M18)</f>
        <v>101450</v>
      </c>
      <c r="O18" s="279"/>
      <c r="P18" s="280"/>
      <c r="Q18" s="281"/>
      <c r="R18" s="281"/>
      <c r="S18" s="327"/>
      <c r="T18" s="326"/>
    </row>
    <row r="19" spans="1:20" s="100" customFormat="1" ht="30" customHeight="1">
      <c r="A19" s="318" t="s">
        <v>86</v>
      </c>
      <c r="B19" s="268" t="s">
        <v>279</v>
      </c>
      <c r="C19" s="102" t="s">
        <v>280</v>
      </c>
      <c r="D19" s="283">
        <f>J19+N19+R19</f>
        <v>1417579</v>
      </c>
      <c r="E19" s="275"/>
      <c r="F19" s="276"/>
      <c r="G19" s="276"/>
      <c r="H19" s="276"/>
      <c r="I19" s="276"/>
      <c r="J19" s="277">
        <f t="shared" si="0"/>
        <v>0</v>
      </c>
      <c r="K19" s="278"/>
      <c r="L19" s="278"/>
      <c r="M19" s="278"/>
      <c r="N19" s="279">
        <f>SUM(K19:M19)</f>
        <v>0</v>
      </c>
      <c r="O19" s="279">
        <v>1417579</v>
      </c>
      <c r="P19" s="280"/>
      <c r="Q19" s="281"/>
      <c r="R19" s="281">
        <f>O19+P19+Q19</f>
        <v>1417579</v>
      </c>
      <c r="S19" s="323"/>
      <c r="T19" s="326"/>
    </row>
    <row r="20" spans="1:20" s="100" customFormat="1" ht="18.75" customHeight="1">
      <c r="A20" s="318" t="s">
        <v>87</v>
      </c>
      <c r="B20" s="268" t="s">
        <v>441</v>
      </c>
      <c r="C20" s="102" t="s">
        <v>442</v>
      </c>
      <c r="D20" s="283">
        <f>J20+N20+R20</f>
        <v>242615</v>
      </c>
      <c r="E20" s="275">
        <f>163059+57077</f>
        <v>220136</v>
      </c>
      <c r="F20" s="276">
        <f>17937+4542</f>
        <v>22479</v>
      </c>
      <c r="G20" s="276"/>
      <c r="H20" s="276"/>
      <c r="I20" s="276"/>
      <c r="J20" s="277">
        <f t="shared" si="0"/>
        <v>242615</v>
      </c>
      <c r="K20" s="278"/>
      <c r="L20" s="278"/>
      <c r="M20" s="278"/>
      <c r="N20" s="279"/>
      <c r="O20" s="279"/>
      <c r="P20" s="280"/>
      <c r="Q20" s="281"/>
      <c r="R20" s="281"/>
      <c r="S20" s="323"/>
      <c r="T20" s="326"/>
    </row>
    <row r="21" spans="1:20" s="100" customFormat="1" ht="30" customHeight="1">
      <c r="A21" s="318" t="s">
        <v>93</v>
      </c>
      <c r="B21" s="268" t="s">
        <v>382</v>
      </c>
      <c r="C21" s="102" t="s">
        <v>383</v>
      </c>
      <c r="D21" s="283">
        <f>J21+N21+R21</f>
        <v>59746057</v>
      </c>
      <c r="E21" s="275"/>
      <c r="F21" s="276"/>
      <c r="G21" s="276"/>
      <c r="H21" s="276"/>
      <c r="I21" s="276"/>
      <c r="J21" s="277"/>
      <c r="K21" s="278"/>
      <c r="L21" s="278">
        <f>53880487+2228909+1115738+2520923</f>
        <v>59746057</v>
      </c>
      <c r="M21" s="278"/>
      <c r="N21" s="279">
        <f aca="true" t="shared" si="2" ref="N21:N26">SUM(K21:M21)</f>
        <v>59746057</v>
      </c>
      <c r="O21" s="279"/>
      <c r="P21" s="280"/>
      <c r="Q21" s="281"/>
      <c r="R21" s="281"/>
      <c r="S21" s="323"/>
      <c r="T21" s="326"/>
    </row>
    <row r="22" spans="1:20" s="100" customFormat="1" ht="30">
      <c r="A22" s="318" t="s">
        <v>228</v>
      </c>
      <c r="B22" s="268" t="s">
        <v>187</v>
      </c>
      <c r="C22" s="102" t="s">
        <v>188</v>
      </c>
      <c r="D22" s="283">
        <f>J22+N22+P22+Q22</f>
        <v>26670</v>
      </c>
      <c r="E22" s="275"/>
      <c r="F22" s="276"/>
      <c r="G22" s="276">
        <v>26670</v>
      </c>
      <c r="H22" s="276"/>
      <c r="I22" s="276"/>
      <c r="J22" s="277">
        <f t="shared" si="0"/>
        <v>26670</v>
      </c>
      <c r="K22" s="278"/>
      <c r="L22" s="278"/>
      <c r="M22" s="278"/>
      <c r="N22" s="279">
        <f t="shared" si="2"/>
        <v>0</v>
      </c>
      <c r="O22" s="279"/>
      <c r="P22" s="280"/>
      <c r="Q22" s="281"/>
      <c r="R22" s="281"/>
      <c r="S22" s="323"/>
      <c r="T22" s="326"/>
    </row>
    <row r="23" spans="1:20" s="100" customFormat="1" ht="15">
      <c r="A23" s="318" t="s">
        <v>230</v>
      </c>
      <c r="B23" s="268" t="s">
        <v>354</v>
      </c>
      <c r="C23" s="102" t="s">
        <v>355</v>
      </c>
      <c r="D23" s="283">
        <f>J23+N23+P23+Q23</f>
        <v>19050</v>
      </c>
      <c r="E23" s="275"/>
      <c r="F23" s="276"/>
      <c r="G23" s="276">
        <v>19050</v>
      </c>
      <c r="H23" s="276"/>
      <c r="I23" s="276"/>
      <c r="J23" s="277">
        <f t="shared" si="0"/>
        <v>19050</v>
      </c>
      <c r="K23" s="278"/>
      <c r="L23" s="278"/>
      <c r="M23" s="278"/>
      <c r="N23" s="279">
        <f t="shared" si="2"/>
        <v>0</v>
      </c>
      <c r="O23" s="279"/>
      <c r="P23" s="280"/>
      <c r="Q23" s="281"/>
      <c r="R23" s="281"/>
      <c r="S23" s="323"/>
      <c r="T23" s="326"/>
    </row>
    <row r="24" spans="1:20" s="100" customFormat="1" ht="30">
      <c r="A24" s="318" t="s">
        <v>232</v>
      </c>
      <c r="B24" s="268" t="s">
        <v>189</v>
      </c>
      <c r="C24" s="102" t="s">
        <v>190</v>
      </c>
      <c r="D24" s="283">
        <f>J24+N24+P24+Q24</f>
        <v>5907694</v>
      </c>
      <c r="E24" s="275"/>
      <c r="F24" s="276"/>
      <c r="G24" s="276">
        <f>4407694-450000</f>
        <v>3957694</v>
      </c>
      <c r="H24" s="276"/>
      <c r="I24" s="276"/>
      <c r="J24" s="277">
        <f t="shared" si="0"/>
        <v>3957694</v>
      </c>
      <c r="K24" s="278"/>
      <c r="L24" s="278">
        <f>1500000+450000</f>
        <v>1950000</v>
      </c>
      <c r="M24" s="278"/>
      <c r="N24" s="279">
        <f t="shared" si="2"/>
        <v>1950000</v>
      </c>
      <c r="O24" s="279"/>
      <c r="P24" s="280"/>
      <c r="Q24" s="281"/>
      <c r="R24" s="281"/>
      <c r="S24" s="327"/>
      <c r="T24" s="326"/>
    </row>
    <row r="25" spans="1:20" s="100" customFormat="1" ht="15">
      <c r="A25" s="318" t="s">
        <v>238</v>
      </c>
      <c r="B25" s="268" t="s">
        <v>191</v>
      </c>
      <c r="C25" s="102" t="s">
        <v>192</v>
      </c>
      <c r="D25" s="283">
        <f>J25+N25+P25+Q25</f>
        <v>2000000</v>
      </c>
      <c r="E25" s="275"/>
      <c r="F25" s="276"/>
      <c r="G25" s="276"/>
      <c r="H25" s="276"/>
      <c r="I25" s="276"/>
      <c r="J25" s="277"/>
      <c r="K25" s="278"/>
      <c r="L25" s="278"/>
      <c r="M25" s="278">
        <f>1000000+1000000</f>
        <v>2000000</v>
      </c>
      <c r="N25" s="279">
        <f t="shared" si="2"/>
        <v>2000000</v>
      </c>
      <c r="O25" s="279"/>
      <c r="P25" s="280"/>
      <c r="Q25" s="281"/>
      <c r="R25" s="281"/>
      <c r="S25" s="327"/>
      <c r="T25" s="326"/>
    </row>
    <row r="26" spans="1:20" s="100" customFormat="1" ht="15">
      <c r="A26" s="318" t="s">
        <v>240</v>
      </c>
      <c r="B26" s="268" t="s">
        <v>193</v>
      </c>
      <c r="C26" s="102" t="s">
        <v>194</v>
      </c>
      <c r="D26" s="283">
        <f>J26+N26+P26+Q26</f>
        <v>1990852</v>
      </c>
      <c r="E26" s="275"/>
      <c r="F26" s="276"/>
      <c r="G26" s="276">
        <v>1952752</v>
      </c>
      <c r="H26" s="278"/>
      <c r="I26" s="276"/>
      <c r="J26" s="277">
        <f t="shared" si="0"/>
        <v>1952752</v>
      </c>
      <c r="K26" s="278">
        <v>38100</v>
      </c>
      <c r="L26" s="278"/>
      <c r="M26" s="278"/>
      <c r="N26" s="279">
        <f t="shared" si="2"/>
        <v>38100</v>
      </c>
      <c r="O26" s="279"/>
      <c r="P26" s="280"/>
      <c r="Q26" s="281"/>
      <c r="R26" s="281"/>
      <c r="S26" s="327"/>
      <c r="T26" s="326"/>
    </row>
    <row r="27" spans="1:20" s="100" customFormat="1" ht="15">
      <c r="A27" s="318" t="s">
        <v>242</v>
      </c>
      <c r="B27" s="268" t="s">
        <v>195</v>
      </c>
      <c r="C27" s="102" t="s">
        <v>196</v>
      </c>
      <c r="D27" s="283">
        <f t="shared" si="1"/>
        <v>254000</v>
      </c>
      <c r="E27" s="275"/>
      <c r="F27" s="276"/>
      <c r="G27" s="276">
        <f>635000-381000</f>
        <v>254000</v>
      </c>
      <c r="H27" s="278"/>
      <c r="I27" s="276"/>
      <c r="J27" s="277">
        <f t="shared" si="0"/>
        <v>254000</v>
      </c>
      <c r="K27" s="278"/>
      <c r="L27" s="278"/>
      <c r="M27" s="278"/>
      <c r="N27" s="279"/>
      <c r="O27" s="279"/>
      <c r="P27" s="280"/>
      <c r="Q27" s="281"/>
      <c r="R27" s="281"/>
      <c r="S27" s="327"/>
      <c r="T27" s="326"/>
    </row>
    <row r="28" spans="1:20" s="100" customFormat="1" ht="30">
      <c r="A28" s="318" t="s">
        <v>247</v>
      </c>
      <c r="B28" s="268" t="s">
        <v>197</v>
      </c>
      <c r="C28" s="102" t="s">
        <v>198</v>
      </c>
      <c r="D28" s="283">
        <f t="shared" si="1"/>
        <v>4108914</v>
      </c>
      <c r="E28" s="275">
        <v>2155000</v>
      </c>
      <c r="F28" s="276">
        <v>390308</v>
      </c>
      <c r="G28" s="276">
        <f>1051106+317500</f>
        <v>1368606</v>
      </c>
      <c r="H28" s="278"/>
      <c r="I28" s="276"/>
      <c r="J28" s="277">
        <f t="shared" si="0"/>
        <v>3913914</v>
      </c>
      <c r="K28" s="278">
        <v>195000</v>
      </c>
      <c r="L28" s="278"/>
      <c r="M28" s="278"/>
      <c r="N28" s="279">
        <f>SUM(K28:M28)</f>
        <v>195000</v>
      </c>
      <c r="O28" s="279"/>
      <c r="P28" s="280"/>
      <c r="Q28" s="281"/>
      <c r="R28" s="281"/>
      <c r="S28" s="327">
        <v>1</v>
      </c>
      <c r="T28" s="326">
        <v>1</v>
      </c>
    </row>
    <row r="29" spans="1:20" s="100" customFormat="1" ht="15">
      <c r="A29" s="318" t="s">
        <v>249</v>
      </c>
      <c r="B29" s="268" t="s">
        <v>199</v>
      </c>
      <c r="C29" s="102" t="s">
        <v>28</v>
      </c>
      <c r="D29" s="283">
        <f t="shared" si="1"/>
        <v>125730</v>
      </c>
      <c r="E29" s="275"/>
      <c r="F29" s="276"/>
      <c r="G29" s="276">
        <v>125730</v>
      </c>
      <c r="H29" s="278"/>
      <c r="I29" s="276"/>
      <c r="J29" s="277">
        <f t="shared" si="0"/>
        <v>125730</v>
      </c>
      <c r="K29" s="278"/>
      <c r="L29" s="278"/>
      <c r="M29" s="278"/>
      <c r="N29" s="279">
        <f aca="true" t="shared" si="3" ref="N29:N38">SUM(K29:M29)</f>
        <v>0</v>
      </c>
      <c r="O29" s="279"/>
      <c r="P29" s="280"/>
      <c r="Q29" s="281"/>
      <c r="R29" s="281"/>
      <c r="S29" s="327"/>
      <c r="T29" s="326"/>
    </row>
    <row r="30" spans="1:20" s="100" customFormat="1" ht="31.5" customHeight="1">
      <c r="A30" s="318" t="s">
        <v>251</v>
      </c>
      <c r="B30" s="268" t="s">
        <v>200</v>
      </c>
      <c r="C30" s="102" t="s">
        <v>201</v>
      </c>
      <c r="D30" s="283">
        <f t="shared" si="1"/>
        <v>675000</v>
      </c>
      <c r="E30" s="275"/>
      <c r="F30" s="276"/>
      <c r="G30" s="276"/>
      <c r="H30" s="276"/>
      <c r="I30" s="276">
        <v>675000</v>
      </c>
      <c r="J30" s="277">
        <f t="shared" si="0"/>
        <v>675000</v>
      </c>
      <c r="K30" s="278"/>
      <c r="L30" s="278"/>
      <c r="M30" s="278"/>
      <c r="N30" s="279">
        <f t="shared" si="3"/>
        <v>0</v>
      </c>
      <c r="O30" s="279"/>
      <c r="P30" s="280"/>
      <c r="Q30" s="281"/>
      <c r="R30" s="281"/>
      <c r="S30" s="327"/>
      <c r="T30" s="326"/>
    </row>
    <row r="31" spans="1:20" s="100" customFormat="1" ht="15">
      <c r="A31" s="318" t="s">
        <v>258</v>
      </c>
      <c r="B31" s="268" t="s">
        <v>202</v>
      </c>
      <c r="C31" s="102" t="s">
        <v>31</v>
      </c>
      <c r="D31" s="283">
        <f t="shared" si="1"/>
        <v>909491</v>
      </c>
      <c r="E31" s="275">
        <v>586500</v>
      </c>
      <c r="F31" s="276">
        <v>117067</v>
      </c>
      <c r="G31" s="276">
        <v>82550</v>
      </c>
      <c r="H31" s="276"/>
      <c r="I31" s="276"/>
      <c r="J31" s="277">
        <f t="shared" si="0"/>
        <v>786117</v>
      </c>
      <c r="K31" s="278">
        <f>179959-56585</f>
        <v>123374</v>
      </c>
      <c r="L31" s="278"/>
      <c r="M31" s="278"/>
      <c r="N31" s="279">
        <f t="shared" si="3"/>
        <v>123374</v>
      </c>
      <c r="O31" s="279"/>
      <c r="P31" s="280"/>
      <c r="Q31" s="281"/>
      <c r="R31" s="281"/>
      <c r="S31" s="327">
        <v>0.2</v>
      </c>
      <c r="T31" s="326">
        <v>0.2</v>
      </c>
    </row>
    <row r="32" spans="1:20" s="100" customFormat="1" ht="30">
      <c r="A32" s="318" t="s">
        <v>261</v>
      </c>
      <c r="B32" s="268" t="s">
        <v>349</v>
      </c>
      <c r="C32" s="102" t="s">
        <v>350</v>
      </c>
      <c r="D32" s="283">
        <f t="shared" si="1"/>
        <v>3289935</v>
      </c>
      <c r="E32" s="275">
        <f>2154350+9306</f>
        <v>2163656</v>
      </c>
      <c r="F32" s="276">
        <f>432499+1815</f>
        <v>434314</v>
      </c>
      <c r="G32" s="276">
        <v>635380</v>
      </c>
      <c r="H32" s="276"/>
      <c r="I32" s="276"/>
      <c r="J32" s="277">
        <f>SUM(E32:I32)</f>
        <v>3233350</v>
      </c>
      <c r="K32" s="278">
        <v>56585</v>
      </c>
      <c r="L32" s="278"/>
      <c r="M32" s="278"/>
      <c r="N32" s="279">
        <f t="shared" si="3"/>
        <v>56585</v>
      </c>
      <c r="O32" s="279"/>
      <c r="P32" s="280"/>
      <c r="Q32" s="281"/>
      <c r="R32" s="281"/>
      <c r="S32" s="327">
        <f>0.75+0.3</f>
        <v>1.05</v>
      </c>
      <c r="T32" s="326">
        <v>1.05</v>
      </c>
    </row>
    <row r="33" spans="1:20" s="100" customFormat="1" ht="15">
      <c r="A33" s="318" t="s">
        <v>263</v>
      </c>
      <c r="B33" s="268" t="s">
        <v>351</v>
      </c>
      <c r="C33" s="102" t="s">
        <v>352</v>
      </c>
      <c r="D33" s="283">
        <f t="shared" si="1"/>
        <v>376835</v>
      </c>
      <c r="E33" s="275">
        <v>320000</v>
      </c>
      <c r="F33" s="276">
        <v>56835</v>
      </c>
      <c r="G33" s="276"/>
      <c r="H33" s="276"/>
      <c r="I33" s="276"/>
      <c r="J33" s="277">
        <f>SUM(E33:I33)</f>
        <v>376835</v>
      </c>
      <c r="K33" s="278"/>
      <c r="L33" s="278"/>
      <c r="M33" s="278"/>
      <c r="N33" s="279">
        <f t="shared" si="3"/>
        <v>0</v>
      </c>
      <c r="O33" s="279"/>
      <c r="P33" s="280"/>
      <c r="Q33" s="281"/>
      <c r="R33" s="281"/>
      <c r="S33" s="327"/>
      <c r="T33" s="326"/>
    </row>
    <row r="34" spans="1:20" s="100" customFormat="1" ht="15">
      <c r="A34" s="318" t="s">
        <v>332</v>
      </c>
      <c r="B34" s="268" t="s">
        <v>203</v>
      </c>
      <c r="C34" s="102" t="s">
        <v>29</v>
      </c>
      <c r="D34" s="283">
        <f t="shared" si="1"/>
        <v>210000</v>
      </c>
      <c r="E34" s="275"/>
      <c r="F34" s="276"/>
      <c r="G34" s="276"/>
      <c r="H34" s="276"/>
      <c r="I34" s="276">
        <f>120000+90000</f>
        <v>210000</v>
      </c>
      <c r="J34" s="277">
        <f t="shared" si="0"/>
        <v>210000</v>
      </c>
      <c r="K34" s="278"/>
      <c r="L34" s="278"/>
      <c r="M34" s="278"/>
      <c r="N34" s="279">
        <f t="shared" si="3"/>
        <v>0</v>
      </c>
      <c r="O34" s="279"/>
      <c r="P34" s="280"/>
      <c r="Q34" s="281"/>
      <c r="R34" s="281"/>
      <c r="S34" s="327"/>
      <c r="T34" s="326"/>
    </row>
    <row r="35" spans="1:20" s="100" customFormat="1" ht="15">
      <c r="A35" s="318" t="s">
        <v>334</v>
      </c>
      <c r="B35" s="268" t="s">
        <v>204</v>
      </c>
      <c r="C35" s="102" t="s">
        <v>205</v>
      </c>
      <c r="D35" s="283">
        <f t="shared" si="1"/>
        <v>75000</v>
      </c>
      <c r="E35" s="275"/>
      <c r="F35" s="276"/>
      <c r="G35" s="276"/>
      <c r="H35" s="276"/>
      <c r="I35" s="276">
        <v>75000</v>
      </c>
      <c r="J35" s="277">
        <f t="shared" si="0"/>
        <v>75000</v>
      </c>
      <c r="K35" s="278"/>
      <c r="L35" s="278"/>
      <c r="M35" s="278"/>
      <c r="N35" s="279">
        <f t="shared" si="3"/>
        <v>0</v>
      </c>
      <c r="O35" s="279"/>
      <c r="P35" s="280"/>
      <c r="Q35" s="281"/>
      <c r="R35" s="281"/>
      <c r="S35" s="327"/>
      <c r="T35" s="326"/>
    </row>
    <row r="36" spans="1:20" s="100" customFormat="1" ht="30">
      <c r="A36" s="318" t="s">
        <v>385</v>
      </c>
      <c r="B36" s="268">
        <v>104051</v>
      </c>
      <c r="C36" s="102" t="s">
        <v>340</v>
      </c>
      <c r="D36" s="283">
        <f t="shared" si="1"/>
        <v>46400</v>
      </c>
      <c r="E36" s="275"/>
      <c r="F36" s="276"/>
      <c r="G36" s="276"/>
      <c r="H36" s="276">
        <v>46400</v>
      </c>
      <c r="I36" s="276"/>
      <c r="J36" s="277">
        <f t="shared" si="0"/>
        <v>46400</v>
      </c>
      <c r="K36" s="278"/>
      <c r="L36" s="278"/>
      <c r="M36" s="278"/>
      <c r="N36" s="279">
        <f t="shared" si="3"/>
        <v>0</v>
      </c>
      <c r="O36" s="279"/>
      <c r="P36" s="280"/>
      <c r="Q36" s="281"/>
      <c r="R36" s="281"/>
      <c r="S36" s="327"/>
      <c r="T36" s="326"/>
    </row>
    <row r="37" spans="1:20" s="100" customFormat="1" ht="15">
      <c r="A37" s="318" t="s">
        <v>386</v>
      </c>
      <c r="B37" s="268">
        <v>107052</v>
      </c>
      <c r="C37" s="105" t="s">
        <v>207</v>
      </c>
      <c r="D37" s="283">
        <f t="shared" si="1"/>
        <v>1274900</v>
      </c>
      <c r="E37" s="275"/>
      <c r="F37" s="276"/>
      <c r="G37" s="276">
        <v>74900</v>
      </c>
      <c r="H37" s="276"/>
      <c r="I37" s="276">
        <f>600000+600000</f>
        <v>1200000</v>
      </c>
      <c r="J37" s="277">
        <f t="shared" si="0"/>
        <v>1274900</v>
      </c>
      <c r="K37" s="278"/>
      <c r="L37" s="278"/>
      <c r="M37" s="278"/>
      <c r="N37" s="279">
        <f t="shared" si="3"/>
        <v>0</v>
      </c>
      <c r="O37" s="279"/>
      <c r="P37" s="280"/>
      <c r="Q37" s="281"/>
      <c r="R37" s="281"/>
      <c r="S37" s="327"/>
      <c r="T37" s="326"/>
    </row>
    <row r="38" spans="1:20" s="100" customFormat="1" ht="27.75" customHeight="1" thickBot="1">
      <c r="A38" s="318" t="s">
        <v>387</v>
      </c>
      <c r="B38" s="268">
        <v>107060</v>
      </c>
      <c r="C38" s="102" t="s">
        <v>208</v>
      </c>
      <c r="D38" s="283">
        <f t="shared" si="1"/>
        <v>3132800</v>
      </c>
      <c r="E38" s="275"/>
      <c r="F38" s="276"/>
      <c r="G38" s="276">
        <v>177800</v>
      </c>
      <c r="H38" s="276">
        <f>3015000+-60000</f>
        <v>2955000</v>
      </c>
      <c r="I38" s="276"/>
      <c r="J38" s="277">
        <f t="shared" si="0"/>
        <v>3132800</v>
      </c>
      <c r="K38" s="278"/>
      <c r="L38" s="278"/>
      <c r="M38" s="278"/>
      <c r="N38" s="279">
        <f t="shared" si="3"/>
        <v>0</v>
      </c>
      <c r="O38" s="279"/>
      <c r="P38" s="280"/>
      <c r="Q38" s="281"/>
      <c r="R38" s="281"/>
      <c r="S38" s="323"/>
      <c r="T38" s="326"/>
    </row>
    <row r="39" spans="1:20" ht="15" thickBot="1">
      <c r="A39" s="346" t="s">
        <v>388</v>
      </c>
      <c r="B39" s="317"/>
      <c r="C39" s="168" t="s">
        <v>443</v>
      </c>
      <c r="D39" s="282">
        <f>SUM(D16:D38)</f>
        <v>144333997</v>
      </c>
      <c r="E39" s="282">
        <f aca="true" t="shared" si="4" ref="E39:T39">SUM(E16:E38)</f>
        <v>17567710</v>
      </c>
      <c r="F39" s="282">
        <f t="shared" si="4"/>
        <v>3552783</v>
      </c>
      <c r="G39" s="282">
        <f t="shared" si="4"/>
        <v>14156912</v>
      </c>
      <c r="H39" s="282">
        <f t="shared" si="4"/>
        <v>3001400</v>
      </c>
      <c r="I39" s="282">
        <f t="shared" si="4"/>
        <v>40325447</v>
      </c>
      <c r="J39" s="282">
        <f t="shared" si="4"/>
        <v>78604252</v>
      </c>
      <c r="K39" s="282">
        <f t="shared" si="4"/>
        <v>616109</v>
      </c>
      <c r="L39" s="282">
        <f t="shared" si="4"/>
        <v>61696057</v>
      </c>
      <c r="M39" s="282">
        <f t="shared" si="4"/>
        <v>2000000</v>
      </c>
      <c r="N39" s="282">
        <f t="shared" si="4"/>
        <v>64312166</v>
      </c>
      <c r="O39" s="282">
        <f t="shared" si="4"/>
        <v>1417579</v>
      </c>
      <c r="P39" s="282">
        <f t="shared" si="4"/>
        <v>0</v>
      </c>
      <c r="Q39" s="282">
        <f t="shared" si="4"/>
        <v>0</v>
      </c>
      <c r="R39" s="282">
        <f t="shared" si="4"/>
        <v>1417579</v>
      </c>
      <c r="S39" s="328">
        <f t="shared" si="4"/>
        <v>2.75</v>
      </c>
      <c r="T39" s="328">
        <f t="shared" si="4"/>
        <v>2.75</v>
      </c>
    </row>
    <row r="40" spans="1:20" ht="14.25">
      <c r="A40" s="395"/>
      <c r="B40" s="350"/>
      <c r="C40" s="350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  <c r="S40" s="352"/>
      <c r="T40" s="352"/>
    </row>
    <row r="41" spans="1:20" ht="15">
      <c r="A41" s="318" t="s">
        <v>389</v>
      </c>
      <c r="B41" s="268" t="s">
        <v>281</v>
      </c>
      <c r="C41" s="102" t="s">
        <v>282</v>
      </c>
      <c r="D41" s="332">
        <f>J41+N41+P41+Q41</f>
        <v>7026485</v>
      </c>
      <c r="E41" s="331">
        <v>2444800</v>
      </c>
      <c r="F41" s="276">
        <v>468858</v>
      </c>
      <c r="G41" s="276">
        <f>3735637+300990</f>
        <v>4036627</v>
      </c>
      <c r="H41" s="276"/>
      <c r="I41" s="276"/>
      <c r="J41" s="277">
        <f>SUM(E41:I41)</f>
        <v>6950285</v>
      </c>
      <c r="K41" s="278">
        <v>76200</v>
      </c>
      <c r="L41" s="278"/>
      <c r="M41" s="278"/>
      <c r="N41" s="279">
        <f>SUM(K41:M41)</f>
        <v>76200</v>
      </c>
      <c r="O41" s="279"/>
      <c r="P41" s="280"/>
      <c r="Q41" s="281"/>
      <c r="R41" s="281"/>
      <c r="S41" s="327">
        <v>1</v>
      </c>
      <c r="T41" s="326">
        <v>1</v>
      </c>
    </row>
    <row r="42" spans="1:20" ht="30">
      <c r="A42" s="318" t="s">
        <v>390</v>
      </c>
      <c r="B42" s="268" t="s">
        <v>283</v>
      </c>
      <c r="C42" s="102" t="s">
        <v>284</v>
      </c>
      <c r="D42" s="333">
        <f>J42+N42+P42+Q42</f>
        <v>1140671</v>
      </c>
      <c r="E42" s="331">
        <v>391168</v>
      </c>
      <c r="F42" s="276">
        <v>75017</v>
      </c>
      <c r="G42" s="276">
        <f>608200+54094</f>
        <v>662294</v>
      </c>
      <c r="H42" s="276"/>
      <c r="I42" s="276"/>
      <c r="J42" s="277">
        <f>SUM(E42:I42)</f>
        <v>1128479</v>
      </c>
      <c r="K42" s="278">
        <v>12192</v>
      </c>
      <c r="L42" s="278"/>
      <c r="M42" s="278"/>
      <c r="N42" s="279">
        <f>SUM(K42:M42)</f>
        <v>12192</v>
      </c>
      <c r="O42" s="279"/>
      <c r="P42" s="280"/>
      <c r="Q42" s="281"/>
      <c r="R42" s="281"/>
      <c r="S42" s="327"/>
      <c r="T42" s="326"/>
    </row>
    <row r="43" spans="1:20" ht="15">
      <c r="A43" s="318" t="s">
        <v>391</v>
      </c>
      <c r="B43" s="268" t="s">
        <v>339</v>
      </c>
      <c r="C43" s="104" t="s">
        <v>353</v>
      </c>
      <c r="D43" s="333">
        <f>J43+N43+P43+Q43</f>
        <v>1676712</v>
      </c>
      <c r="E43" s="331">
        <v>537856</v>
      </c>
      <c r="F43" s="276">
        <v>103149</v>
      </c>
      <c r="G43" s="276">
        <f>946161+72782</f>
        <v>1018943</v>
      </c>
      <c r="H43" s="276"/>
      <c r="I43" s="276"/>
      <c r="J43" s="277">
        <f>SUM(E43:I43)</f>
        <v>1659948</v>
      </c>
      <c r="K43" s="278">
        <v>16764</v>
      </c>
      <c r="L43" s="278"/>
      <c r="M43" s="278"/>
      <c r="N43" s="279">
        <f>SUM(K43:M43)</f>
        <v>16764</v>
      </c>
      <c r="O43" s="279"/>
      <c r="P43" s="280"/>
      <c r="Q43" s="281"/>
      <c r="R43" s="281"/>
      <c r="S43" s="327"/>
      <c r="T43" s="326"/>
    </row>
    <row r="44" spans="1:20" ht="15.75" thickBot="1">
      <c r="A44" s="334" t="s">
        <v>420</v>
      </c>
      <c r="B44" s="269" t="s">
        <v>206</v>
      </c>
      <c r="C44" s="335" t="s">
        <v>338</v>
      </c>
      <c r="D44" s="336">
        <f>J44+N44+P44+Q44</f>
        <v>4640660</v>
      </c>
      <c r="E44" s="337">
        <v>1515776</v>
      </c>
      <c r="F44" s="338">
        <v>290692</v>
      </c>
      <c r="G44" s="338">
        <f>2612187+174761</f>
        <v>2786948</v>
      </c>
      <c r="H44" s="338"/>
      <c r="I44" s="338"/>
      <c r="J44" s="339">
        <f>SUM(E44:I44)</f>
        <v>4593416</v>
      </c>
      <c r="K44" s="340">
        <v>47244</v>
      </c>
      <c r="L44" s="340"/>
      <c r="M44" s="340"/>
      <c r="N44" s="341">
        <f>SUM(K44:M44)</f>
        <v>47244</v>
      </c>
      <c r="O44" s="341"/>
      <c r="P44" s="342"/>
      <c r="Q44" s="343"/>
      <c r="R44" s="343"/>
      <c r="S44" s="325">
        <v>1</v>
      </c>
      <c r="T44" s="344">
        <v>1</v>
      </c>
    </row>
    <row r="45" spans="1:20" ht="16.5" customHeight="1" thickBot="1">
      <c r="A45" s="347" t="s">
        <v>444</v>
      </c>
      <c r="B45" s="345"/>
      <c r="C45" s="348" t="s">
        <v>446</v>
      </c>
      <c r="D45" s="353">
        <f>D42+D43+D44+D41</f>
        <v>14484528</v>
      </c>
      <c r="E45" s="353">
        <f aca="true" t="shared" si="5" ref="E45:T45">E42+E43+E44+E41</f>
        <v>4889600</v>
      </c>
      <c r="F45" s="353">
        <f t="shared" si="5"/>
        <v>937716</v>
      </c>
      <c r="G45" s="353">
        <f t="shared" si="5"/>
        <v>8504812</v>
      </c>
      <c r="H45" s="353">
        <f t="shared" si="5"/>
        <v>0</v>
      </c>
      <c r="I45" s="353">
        <f t="shared" si="5"/>
        <v>0</v>
      </c>
      <c r="J45" s="353">
        <f t="shared" si="5"/>
        <v>14332128</v>
      </c>
      <c r="K45" s="353">
        <f t="shared" si="5"/>
        <v>152400</v>
      </c>
      <c r="L45" s="353">
        <f t="shared" si="5"/>
        <v>0</v>
      </c>
      <c r="M45" s="353">
        <f t="shared" si="5"/>
        <v>0</v>
      </c>
      <c r="N45" s="353">
        <f t="shared" si="5"/>
        <v>152400</v>
      </c>
      <c r="O45" s="353">
        <f t="shared" si="5"/>
        <v>0</v>
      </c>
      <c r="P45" s="353">
        <f t="shared" si="5"/>
        <v>0</v>
      </c>
      <c r="Q45" s="353">
        <f t="shared" si="5"/>
        <v>0</v>
      </c>
      <c r="R45" s="353">
        <f t="shared" si="5"/>
        <v>0</v>
      </c>
      <c r="S45" s="353">
        <f t="shared" si="5"/>
        <v>2</v>
      </c>
      <c r="T45" s="353">
        <f t="shared" si="5"/>
        <v>2</v>
      </c>
    </row>
    <row r="46" spans="1:20" ht="21.75" customHeight="1" thickBot="1">
      <c r="A46" s="347" t="s">
        <v>445</v>
      </c>
      <c r="B46" s="345"/>
      <c r="C46" s="349" t="s">
        <v>447</v>
      </c>
      <c r="D46" s="353">
        <f>D39+D45</f>
        <v>158818525</v>
      </c>
      <c r="E46" s="353">
        <f aca="true" t="shared" si="6" ref="E46:T46">E39+E45</f>
        <v>22457310</v>
      </c>
      <c r="F46" s="353">
        <f t="shared" si="6"/>
        <v>4490499</v>
      </c>
      <c r="G46" s="353">
        <f t="shared" si="6"/>
        <v>22661724</v>
      </c>
      <c r="H46" s="353">
        <f t="shared" si="6"/>
        <v>3001400</v>
      </c>
      <c r="I46" s="353">
        <f t="shared" si="6"/>
        <v>40325447</v>
      </c>
      <c r="J46" s="353">
        <f t="shared" si="6"/>
        <v>92936380</v>
      </c>
      <c r="K46" s="353">
        <f t="shared" si="6"/>
        <v>768509</v>
      </c>
      <c r="L46" s="353">
        <f t="shared" si="6"/>
        <v>61696057</v>
      </c>
      <c r="M46" s="353">
        <f t="shared" si="6"/>
        <v>2000000</v>
      </c>
      <c r="N46" s="353">
        <f t="shared" si="6"/>
        <v>64464566</v>
      </c>
      <c r="O46" s="353">
        <f t="shared" si="6"/>
        <v>1417579</v>
      </c>
      <c r="P46" s="353">
        <f t="shared" si="6"/>
        <v>0</v>
      </c>
      <c r="Q46" s="353">
        <f t="shared" si="6"/>
        <v>0</v>
      </c>
      <c r="R46" s="353">
        <f t="shared" si="6"/>
        <v>1417579</v>
      </c>
      <c r="S46" s="385">
        <f t="shared" si="6"/>
        <v>4.75</v>
      </c>
      <c r="T46" s="385">
        <f t="shared" si="6"/>
        <v>4.75</v>
      </c>
    </row>
    <row r="48" ht="12.75">
      <c r="D48" s="354"/>
    </row>
    <row r="49" ht="12.75">
      <c r="D49" s="354"/>
    </row>
  </sheetData>
  <sheetProtection/>
  <mergeCells count="33">
    <mergeCell ref="S14:T15"/>
    <mergeCell ref="G13:G15"/>
    <mergeCell ref="L13:L15"/>
    <mergeCell ref="J13:J15"/>
    <mergeCell ref="M13:M15"/>
    <mergeCell ref="H13:H15"/>
    <mergeCell ref="R13:R15"/>
    <mergeCell ref="E13:E15"/>
    <mergeCell ref="K13:K15"/>
    <mergeCell ref="P13:P15"/>
    <mergeCell ref="O13:O15"/>
    <mergeCell ref="K12:N12"/>
    <mergeCell ref="Q13:Q15"/>
    <mergeCell ref="S10:T10"/>
    <mergeCell ref="B8:T8"/>
    <mergeCell ref="S11:T11"/>
    <mergeCell ref="E11:R11"/>
    <mergeCell ref="B9:T9"/>
    <mergeCell ref="E12:J12"/>
    <mergeCell ref="D11:D15"/>
    <mergeCell ref="O12:R12"/>
    <mergeCell ref="N13:N15"/>
    <mergeCell ref="S12:T12"/>
    <mergeCell ref="A3:T3"/>
    <mergeCell ref="A1:T1"/>
    <mergeCell ref="C11:C15"/>
    <mergeCell ref="F13:F15"/>
    <mergeCell ref="B11:B15"/>
    <mergeCell ref="A11:A15"/>
    <mergeCell ref="I13:I15"/>
    <mergeCell ref="B4:Q4"/>
    <mergeCell ref="B5:T5"/>
    <mergeCell ref="B7:T7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8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44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4.125" style="161" customWidth="1"/>
    <col min="2" max="2" width="9.125" style="161" customWidth="1"/>
    <col min="3" max="3" width="63.125" style="161" customWidth="1"/>
    <col min="4" max="4" width="24.00390625" style="161" customWidth="1"/>
    <col min="5" max="7" width="26.25390625" style="161" customWidth="1"/>
    <col min="8" max="16384" width="9.125" style="161" customWidth="1"/>
  </cols>
  <sheetData>
    <row r="1" spans="1:7" ht="17.25" customHeight="1">
      <c r="A1" s="440" t="s">
        <v>527</v>
      </c>
      <c r="B1" s="417"/>
      <c r="C1" s="417"/>
      <c r="D1" s="417"/>
      <c r="E1" s="417"/>
      <c r="F1" s="417"/>
      <c r="G1" s="417"/>
    </row>
    <row r="3" spans="1:7" s="153" customFormat="1" ht="15.75">
      <c r="A3" s="439" t="s">
        <v>492</v>
      </c>
      <c r="B3" s="415"/>
      <c r="C3" s="415"/>
      <c r="D3" s="415"/>
      <c r="E3" s="415"/>
      <c r="F3" s="415"/>
      <c r="G3" s="415"/>
    </row>
    <row r="4" spans="3:7" s="67" customFormat="1" ht="15" customHeight="1">
      <c r="C4" s="441"/>
      <c r="D4" s="441"/>
      <c r="E4" s="441"/>
      <c r="F4" s="441"/>
      <c r="G4" s="441"/>
    </row>
    <row r="5" spans="4:7" s="155" customFormat="1" ht="15" customHeight="1">
      <c r="D5" s="156"/>
      <c r="E5" s="157"/>
      <c r="F5" s="157"/>
      <c r="G5" s="157"/>
    </row>
    <row r="6" spans="3:7" s="109" customFormat="1" ht="15" customHeight="1">
      <c r="C6" s="442" t="s">
        <v>35</v>
      </c>
      <c r="D6" s="442"/>
      <c r="E6" s="442"/>
      <c r="F6" s="442"/>
      <c r="G6" s="442"/>
    </row>
    <row r="7" spans="3:7" s="109" customFormat="1" ht="15.75">
      <c r="C7" s="443" t="s">
        <v>290</v>
      </c>
      <c r="D7" s="443"/>
      <c r="E7" s="443"/>
      <c r="F7" s="443"/>
      <c r="G7" s="443"/>
    </row>
    <row r="8" spans="3:7" s="109" customFormat="1" ht="15" customHeight="1">
      <c r="C8" s="442" t="s">
        <v>435</v>
      </c>
      <c r="D8" s="442"/>
      <c r="E8" s="442"/>
      <c r="F8" s="442"/>
      <c r="G8" s="442"/>
    </row>
    <row r="9" spans="3:7" s="153" customFormat="1" ht="12" customHeight="1" thickBot="1">
      <c r="C9" s="154"/>
      <c r="D9" s="158"/>
      <c r="E9" s="159"/>
      <c r="F9" s="159"/>
      <c r="G9" s="160"/>
    </row>
    <row r="10" spans="1:7" s="153" customFormat="1" ht="19.5" customHeight="1" thickBot="1">
      <c r="A10" s="506" t="s">
        <v>392</v>
      </c>
      <c r="B10" s="508" t="s">
        <v>165</v>
      </c>
      <c r="C10" s="450" t="s">
        <v>166</v>
      </c>
      <c r="D10" s="453" t="s">
        <v>291</v>
      </c>
      <c r="E10" s="456" t="s">
        <v>274</v>
      </c>
      <c r="F10" s="456"/>
      <c r="G10" s="457"/>
    </row>
    <row r="11" spans="1:7" s="153" customFormat="1" ht="33" customHeight="1" thickBot="1">
      <c r="A11" s="507"/>
      <c r="B11" s="509"/>
      <c r="C11" s="451"/>
      <c r="D11" s="454"/>
      <c r="E11" s="271" t="s">
        <v>275</v>
      </c>
      <c r="F11" s="272" t="s">
        <v>276</v>
      </c>
      <c r="G11" s="273" t="s">
        <v>277</v>
      </c>
    </row>
    <row r="12" spans="1:7" s="153" customFormat="1" ht="22.5" customHeight="1">
      <c r="A12" s="507"/>
      <c r="B12" s="509"/>
      <c r="C12" s="451"/>
      <c r="D12" s="454"/>
      <c r="E12" s="458" t="s">
        <v>278</v>
      </c>
      <c r="F12" s="459"/>
      <c r="G12" s="460"/>
    </row>
    <row r="13" spans="1:7" ht="13.5" thickBot="1">
      <c r="A13" s="507"/>
      <c r="B13" s="509"/>
      <c r="C13" s="451"/>
      <c r="D13" s="454"/>
      <c r="E13" s="510"/>
      <c r="F13" s="511"/>
      <c r="G13" s="512"/>
    </row>
    <row r="14" spans="1:7" ht="30">
      <c r="A14" s="394" t="s">
        <v>38</v>
      </c>
      <c r="B14" s="316" t="s">
        <v>182</v>
      </c>
      <c r="C14" s="398" t="s">
        <v>183</v>
      </c>
      <c r="D14" s="399">
        <f>SUM(E14:G14)</f>
        <v>57670985</v>
      </c>
      <c r="E14" s="396">
        <f>15792963+100000+38756947+1003000-1000000</f>
        <v>54652910</v>
      </c>
      <c r="F14" s="393">
        <f>2958075+60000</f>
        <v>3018075</v>
      </c>
      <c r="G14" s="397"/>
    </row>
    <row r="15" spans="1:7" ht="15">
      <c r="A15" s="274" t="s">
        <v>21</v>
      </c>
      <c r="B15" s="294" t="s">
        <v>184</v>
      </c>
      <c r="C15" s="295" t="s">
        <v>30</v>
      </c>
      <c r="D15" s="303">
        <f aca="true" t="shared" si="0" ref="D15:D35">SUM(E15:G15)</f>
        <v>68150</v>
      </c>
      <c r="E15" s="299">
        <v>68150</v>
      </c>
      <c r="F15" s="163"/>
      <c r="G15" s="164"/>
    </row>
    <row r="16" spans="1:7" ht="15">
      <c r="A16" s="270" t="s">
        <v>39</v>
      </c>
      <c r="B16" s="268" t="s">
        <v>185</v>
      </c>
      <c r="C16" s="102" t="s">
        <v>186</v>
      </c>
      <c r="D16" s="304">
        <f t="shared" si="0"/>
        <v>765340</v>
      </c>
      <c r="E16" s="300">
        <f>282890+101450+381000</f>
        <v>765340</v>
      </c>
      <c r="F16" s="165"/>
      <c r="G16" s="166"/>
    </row>
    <row r="17" spans="1:7" ht="15">
      <c r="A17" s="270" t="s">
        <v>86</v>
      </c>
      <c r="B17" s="268" t="s">
        <v>279</v>
      </c>
      <c r="C17" s="102" t="s">
        <v>280</v>
      </c>
      <c r="D17" s="304">
        <f>SUM(E17:G17)</f>
        <v>1417579</v>
      </c>
      <c r="E17" s="300">
        <v>1417579</v>
      </c>
      <c r="F17" s="165"/>
      <c r="G17" s="166"/>
    </row>
    <row r="18" spans="1:7" ht="15">
      <c r="A18" s="270" t="s">
        <v>87</v>
      </c>
      <c r="B18" s="268" t="s">
        <v>441</v>
      </c>
      <c r="C18" s="102" t="s">
        <v>442</v>
      </c>
      <c r="D18" s="304">
        <f>SUM(E18:G18)</f>
        <v>242615</v>
      </c>
      <c r="E18" s="300">
        <f>180996+61619</f>
        <v>242615</v>
      </c>
      <c r="F18" s="165"/>
      <c r="G18" s="166"/>
    </row>
    <row r="19" spans="1:7" ht="15">
      <c r="A19" s="270" t="s">
        <v>93</v>
      </c>
      <c r="B19" s="103" t="s">
        <v>382</v>
      </c>
      <c r="C19" s="102" t="s">
        <v>383</v>
      </c>
      <c r="D19" s="304">
        <f>SUM(E19:G19)</f>
        <v>59746057</v>
      </c>
      <c r="E19" s="300">
        <f>53880487+2228909+1115738+2520923</f>
        <v>59746057</v>
      </c>
      <c r="F19" s="165"/>
      <c r="G19" s="166"/>
    </row>
    <row r="20" spans="1:7" ht="27" customHeight="1">
      <c r="A20" s="270" t="s">
        <v>228</v>
      </c>
      <c r="B20" s="268" t="s">
        <v>187</v>
      </c>
      <c r="C20" s="102" t="s">
        <v>188</v>
      </c>
      <c r="D20" s="304">
        <f t="shared" si="0"/>
        <v>26670</v>
      </c>
      <c r="E20" s="300">
        <v>26670</v>
      </c>
      <c r="F20" s="165"/>
      <c r="G20" s="166"/>
    </row>
    <row r="21" spans="1:7" ht="15">
      <c r="A21" s="270" t="s">
        <v>230</v>
      </c>
      <c r="B21" s="268" t="s">
        <v>354</v>
      </c>
      <c r="C21" s="102" t="s">
        <v>355</v>
      </c>
      <c r="D21" s="304">
        <f t="shared" si="0"/>
        <v>19050</v>
      </c>
      <c r="E21" s="301">
        <v>19050</v>
      </c>
      <c r="F21" s="108"/>
      <c r="G21" s="296"/>
    </row>
    <row r="22" spans="1:7" ht="15">
      <c r="A22" s="270" t="s">
        <v>232</v>
      </c>
      <c r="B22" s="268" t="s">
        <v>189</v>
      </c>
      <c r="C22" s="102" t="s">
        <v>190</v>
      </c>
      <c r="D22" s="304">
        <f t="shared" si="0"/>
        <v>5907694</v>
      </c>
      <c r="E22" s="300">
        <f>5907694</f>
        <v>5907694</v>
      </c>
      <c r="F22" s="165"/>
      <c r="G22" s="166"/>
    </row>
    <row r="23" spans="1:7" ht="15">
      <c r="A23" s="270" t="s">
        <v>238</v>
      </c>
      <c r="B23" s="268" t="s">
        <v>191</v>
      </c>
      <c r="C23" s="102" t="s">
        <v>192</v>
      </c>
      <c r="D23" s="304">
        <f t="shared" si="0"/>
        <v>2000000</v>
      </c>
      <c r="E23" s="300"/>
      <c r="F23" s="165">
        <f>1000000+1000000</f>
        <v>2000000</v>
      </c>
      <c r="G23" s="166"/>
    </row>
    <row r="24" spans="1:7" ht="15">
      <c r="A24" s="270" t="s">
        <v>240</v>
      </c>
      <c r="B24" s="268" t="s">
        <v>193</v>
      </c>
      <c r="C24" s="102" t="s">
        <v>194</v>
      </c>
      <c r="D24" s="304">
        <f t="shared" si="0"/>
        <v>1990852</v>
      </c>
      <c r="E24" s="300">
        <f>1952752+38100</f>
        <v>1990852</v>
      </c>
      <c r="F24" s="165"/>
      <c r="G24" s="166"/>
    </row>
    <row r="25" spans="1:7" ht="15">
      <c r="A25" s="270" t="s">
        <v>242</v>
      </c>
      <c r="B25" s="268" t="s">
        <v>195</v>
      </c>
      <c r="C25" s="102" t="s">
        <v>196</v>
      </c>
      <c r="D25" s="304">
        <f t="shared" si="0"/>
        <v>254000</v>
      </c>
      <c r="E25" s="300">
        <f>635000-381000</f>
        <v>254000</v>
      </c>
      <c r="F25" s="165"/>
      <c r="G25" s="166"/>
    </row>
    <row r="26" spans="1:7" ht="15">
      <c r="A26" s="270" t="s">
        <v>247</v>
      </c>
      <c r="B26" s="268" t="s">
        <v>197</v>
      </c>
      <c r="C26" s="102" t="s">
        <v>198</v>
      </c>
      <c r="D26" s="304">
        <f t="shared" si="0"/>
        <v>4108914</v>
      </c>
      <c r="E26" s="300">
        <f>3596414+195000+317500</f>
        <v>4108914</v>
      </c>
      <c r="F26" s="165"/>
      <c r="G26" s="166"/>
    </row>
    <row r="27" spans="1:7" ht="15">
      <c r="A27" s="270" t="s">
        <v>249</v>
      </c>
      <c r="B27" s="268" t="s">
        <v>199</v>
      </c>
      <c r="C27" s="102" t="s">
        <v>28</v>
      </c>
      <c r="D27" s="304">
        <f t="shared" si="0"/>
        <v>125730</v>
      </c>
      <c r="E27" s="300">
        <v>125730</v>
      </c>
      <c r="F27" s="165"/>
      <c r="G27" s="166"/>
    </row>
    <row r="28" spans="1:7" ht="15">
      <c r="A28" s="270" t="s">
        <v>251</v>
      </c>
      <c r="B28" s="268" t="s">
        <v>200</v>
      </c>
      <c r="C28" s="102" t="s">
        <v>201</v>
      </c>
      <c r="D28" s="304">
        <f t="shared" si="0"/>
        <v>675000</v>
      </c>
      <c r="E28" s="300">
        <v>675000</v>
      </c>
      <c r="F28" s="165"/>
      <c r="G28" s="166"/>
    </row>
    <row r="29" spans="1:7" ht="15">
      <c r="A29" s="270" t="s">
        <v>258</v>
      </c>
      <c r="B29" s="268" t="s">
        <v>202</v>
      </c>
      <c r="C29" s="102" t="s">
        <v>31</v>
      </c>
      <c r="D29" s="304">
        <f t="shared" si="0"/>
        <v>909491</v>
      </c>
      <c r="E29" s="300">
        <f>951580-56585</f>
        <v>894995</v>
      </c>
      <c r="F29" s="165">
        <f>10800+1784+1912</f>
        <v>14496</v>
      </c>
      <c r="G29" s="166"/>
    </row>
    <row r="30" spans="1:7" ht="15">
      <c r="A30" s="270" t="s">
        <v>261</v>
      </c>
      <c r="B30" s="268" t="s">
        <v>349</v>
      </c>
      <c r="C30" s="102" t="s">
        <v>356</v>
      </c>
      <c r="D30" s="304">
        <f t="shared" si="0"/>
        <v>3289935</v>
      </c>
      <c r="E30" s="300">
        <f>3146126+11121+56585</f>
        <v>3213832</v>
      </c>
      <c r="F30" s="165">
        <f>16200+40500+9367+10036</f>
        <v>76103</v>
      </c>
      <c r="G30" s="166"/>
    </row>
    <row r="31" spans="1:7" ht="15">
      <c r="A31" s="270" t="s">
        <v>263</v>
      </c>
      <c r="B31" s="268" t="s">
        <v>357</v>
      </c>
      <c r="C31" s="102" t="s">
        <v>358</v>
      </c>
      <c r="D31" s="304">
        <f t="shared" si="0"/>
        <v>376835</v>
      </c>
      <c r="E31" s="300">
        <v>376835</v>
      </c>
      <c r="F31" s="165"/>
      <c r="G31" s="166"/>
    </row>
    <row r="32" spans="1:7" ht="15">
      <c r="A32" s="270" t="s">
        <v>332</v>
      </c>
      <c r="B32" s="268" t="s">
        <v>203</v>
      </c>
      <c r="C32" s="102" t="s">
        <v>29</v>
      </c>
      <c r="D32" s="304">
        <f t="shared" si="0"/>
        <v>210000</v>
      </c>
      <c r="E32" s="300"/>
      <c r="F32" s="165">
        <v>210000</v>
      </c>
      <c r="G32" s="166"/>
    </row>
    <row r="33" spans="1:7" ht="15">
      <c r="A33" s="270" t="s">
        <v>334</v>
      </c>
      <c r="B33" s="268" t="s">
        <v>204</v>
      </c>
      <c r="C33" s="102" t="s">
        <v>205</v>
      </c>
      <c r="D33" s="304">
        <f t="shared" si="0"/>
        <v>75000</v>
      </c>
      <c r="E33" s="300"/>
      <c r="F33" s="165">
        <v>75000</v>
      </c>
      <c r="G33" s="166"/>
    </row>
    <row r="34" spans="1:7" ht="15">
      <c r="A34" s="270" t="s">
        <v>388</v>
      </c>
      <c r="B34" s="268">
        <v>104051</v>
      </c>
      <c r="C34" s="105" t="s">
        <v>340</v>
      </c>
      <c r="D34" s="304">
        <f t="shared" si="0"/>
        <v>46400</v>
      </c>
      <c r="E34" s="300"/>
      <c r="F34" s="165"/>
      <c r="G34" s="166">
        <v>46400</v>
      </c>
    </row>
    <row r="35" spans="1:14" ht="15">
      <c r="A35" s="270" t="s">
        <v>390</v>
      </c>
      <c r="B35" s="268">
        <v>107052</v>
      </c>
      <c r="C35" s="105" t="s">
        <v>207</v>
      </c>
      <c r="D35" s="304">
        <f t="shared" si="0"/>
        <v>1274900</v>
      </c>
      <c r="E35" s="302">
        <f>674900+600000</f>
        <v>1274900</v>
      </c>
      <c r="F35" s="108"/>
      <c r="G35" s="296"/>
      <c r="H35" s="247"/>
      <c r="I35" s="247"/>
      <c r="J35" s="248"/>
      <c r="K35" s="249"/>
      <c r="L35" s="249"/>
      <c r="M35" s="249"/>
      <c r="N35" s="248"/>
    </row>
    <row r="36" spans="1:7" ht="15.75" thickBot="1">
      <c r="A36" s="270" t="s">
        <v>391</v>
      </c>
      <c r="B36" s="268">
        <v>107060</v>
      </c>
      <c r="C36" s="102" t="s">
        <v>208</v>
      </c>
      <c r="D36" s="304">
        <f>SUM(E36:G36)</f>
        <v>3132800</v>
      </c>
      <c r="E36" s="300">
        <f>3015000+177800-60000</f>
        <v>3132800</v>
      </c>
      <c r="F36" s="165"/>
      <c r="G36" s="166"/>
    </row>
    <row r="37" spans="1:7" ht="18.75" customHeight="1" thickBot="1">
      <c r="A37" s="297" t="s">
        <v>420</v>
      </c>
      <c r="B37" s="285"/>
      <c r="C37" s="298" t="s">
        <v>448</v>
      </c>
      <c r="D37" s="363">
        <f>SUM(D14:D36)</f>
        <v>144333997</v>
      </c>
      <c r="E37" s="364">
        <f>SUM(E14:E36)</f>
        <v>138893923</v>
      </c>
      <c r="F37" s="363">
        <f>SUM(F14:F36)</f>
        <v>5393674</v>
      </c>
      <c r="G37" s="363">
        <f>SUM(G14:G36)</f>
        <v>46400</v>
      </c>
    </row>
    <row r="38" ht="12.75">
      <c r="A38" s="246"/>
    </row>
    <row r="39" spans="1:7" ht="15">
      <c r="A39" s="270" t="s">
        <v>385</v>
      </c>
      <c r="B39" s="268" t="s">
        <v>281</v>
      </c>
      <c r="C39" s="102" t="s">
        <v>282</v>
      </c>
      <c r="D39" s="304">
        <f>SUM(E39:G39)</f>
        <v>7026485</v>
      </c>
      <c r="E39" s="300">
        <f>6662072+300990</f>
        <v>6963062</v>
      </c>
      <c r="F39" s="165">
        <v>63423</v>
      </c>
      <c r="G39" s="166"/>
    </row>
    <row r="40" spans="1:7" ht="15">
      <c r="A40" s="270" t="s">
        <v>386</v>
      </c>
      <c r="B40" s="268" t="s">
        <v>283</v>
      </c>
      <c r="C40" s="102" t="s">
        <v>284</v>
      </c>
      <c r="D40" s="304">
        <f>SUM(E40:G40)</f>
        <v>1140671</v>
      </c>
      <c r="E40" s="300"/>
      <c r="F40" s="165">
        <f>1086577+54094</f>
        <v>1140671</v>
      </c>
      <c r="G40" s="166"/>
    </row>
    <row r="41" spans="1:7" ht="15">
      <c r="A41" s="270" t="s">
        <v>387</v>
      </c>
      <c r="B41" s="268" t="s">
        <v>283</v>
      </c>
      <c r="C41" s="102" t="s">
        <v>450</v>
      </c>
      <c r="D41" s="304">
        <f>SUM(E41:G41)</f>
        <v>1676712</v>
      </c>
      <c r="E41" s="300"/>
      <c r="F41" s="165">
        <f>1603930+72782</f>
        <v>1676712</v>
      </c>
      <c r="G41" s="166"/>
    </row>
    <row r="42" spans="1:7" ht="15.75" thickBot="1">
      <c r="A42" s="355" t="s">
        <v>389</v>
      </c>
      <c r="B42" s="269" t="s">
        <v>206</v>
      </c>
      <c r="C42" s="356" t="s">
        <v>449</v>
      </c>
      <c r="D42" s="357">
        <f>SUM(E42:G42)</f>
        <v>4640660</v>
      </c>
      <c r="E42" s="358">
        <f>4426577+174761</f>
        <v>4601338</v>
      </c>
      <c r="F42" s="359">
        <v>39322</v>
      </c>
      <c r="G42" s="360"/>
    </row>
    <row r="43" spans="1:7" ht="18" customHeight="1" thickBot="1">
      <c r="A43" s="361" t="s">
        <v>390</v>
      </c>
      <c r="B43" s="361"/>
      <c r="C43" s="348" t="s">
        <v>446</v>
      </c>
      <c r="D43" s="362">
        <f>D39+D40+D41+D42</f>
        <v>14484528</v>
      </c>
      <c r="E43" s="362">
        <f>E39+E40+E41+E42</f>
        <v>11564400</v>
      </c>
      <c r="F43" s="362">
        <f>F39+F40+F41+F42</f>
        <v>2920128</v>
      </c>
      <c r="G43" s="362">
        <f>G39+G40+G41+G42</f>
        <v>0</v>
      </c>
    </row>
    <row r="44" spans="1:7" ht="24.75" customHeight="1" thickBot="1">
      <c r="A44" s="361" t="s">
        <v>391</v>
      </c>
      <c r="B44" s="361"/>
      <c r="C44" s="349" t="s">
        <v>447</v>
      </c>
      <c r="D44" s="362">
        <f>D37+D43</f>
        <v>158818525</v>
      </c>
      <c r="E44" s="362">
        <f>E37+E43</f>
        <v>150458323</v>
      </c>
      <c r="F44" s="362">
        <f>F37+F43</f>
        <v>8313802</v>
      </c>
      <c r="G44" s="362">
        <f>G37+G43</f>
        <v>46400</v>
      </c>
    </row>
  </sheetData>
  <sheetProtection/>
  <mergeCells count="12">
    <mergeCell ref="A10:A13"/>
    <mergeCell ref="B10:B13"/>
    <mergeCell ref="C10:C13"/>
    <mergeCell ref="D10:D13"/>
    <mergeCell ref="E10:G10"/>
    <mergeCell ref="E12:G13"/>
    <mergeCell ref="A1:G1"/>
    <mergeCell ref="C4:G4"/>
    <mergeCell ref="C6:G6"/>
    <mergeCell ref="C7:G7"/>
    <mergeCell ref="C8:G8"/>
    <mergeCell ref="A3:G3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IU39"/>
  <sheetViews>
    <sheetView view="pageBreakPreview" zoomScale="60" zoomScalePageLayoutView="0" workbookViewId="0" topLeftCell="A1">
      <selection activeCell="J34" sqref="J34"/>
    </sheetView>
  </sheetViews>
  <sheetFormatPr defaultColWidth="9.00390625" defaultRowHeight="12.75"/>
  <cols>
    <col min="1" max="2" width="9.125" style="11" customWidth="1"/>
    <col min="3" max="3" width="23.125" style="11" customWidth="1"/>
    <col min="4" max="4" width="17.375" style="11" customWidth="1"/>
    <col min="5" max="5" width="14.375" style="11" customWidth="1"/>
    <col min="6" max="6" width="17.125" style="11" customWidth="1"/>
    <col min="7" max="16384" width="9.125" style="11" customWidth="1"/>
  </cols>
  <sheetData>
    <row r="1" spans="1:6" ht="15.75">
      <c r="A1" s="440" t="s">
        <v>528</v>
      </c>
      <c r="B1" s="440"/>
      <c r="C1" s="440"/>
      <c r="D1" s="440"/>
      <c r="E1" s="440"/>
      <c r="F1" s="440"/>
    </row>
    <row r="3" spans="1:10" ht="15.75">
      <c r="A3" s="439" t="s">
        <v>493</v>
      </c>
      <c r="B3" s="439"/>
      <c r="C3" s="439"/>
      <c r="D3" s="439"/>
      <c r="E3" s="439"/>
      <c r="F3" s="439"/>
      <c r="G3" s="73"/>
      <c r="H3" s="73"/>
      <c r="I3" s="73"/>
      <c r="J3" s="73"/>
    </row>
    <row r="4" spans="1:6" ht="15">
      <c r="A4" s="527"/>
      <c r="B4" s="527"/>
      <c r="C4" s="527"/>
      <c r="D4" s="527"/>
      <c r="E4" s="527"/>
      <c r="F4" s="527"/>
    </row>
    <row r="5" spans="1:6" ht="15">
      <c r="A5" s="527"/>
      <c r="B5" s="527"/>
      <c r="C5" s="527"/>
      <c r="D5" s="527"/>
      <c r="E5" s="527"/>
      <c r="F5" s="527"/>
    </row>
    <row r="6" ht="12.75" customHeight="1"/>
    <row r="7" spans="1:6" s="21" customFormat="1" ht="15.75">
      <c r="A7" s="409" t="s">
        <v>4</v>
      </c>
      <c r="B7" s="409"/>
      <c r="C7" s="409"/>
      <c r="D7" s="409"/>
      <c r="E7" s="409"/>
      <c r="F7" s="409"/>
    </row>
    <row r="8" spans="1:6" s="21" customFormat="1" ht="15.75">
      <c r="A8" s="409" t="s">
        <v>359</v>
      </c>
      <c r="B8" s="409"/>
      <c r="C8" s="409"/>
      <c r="D8" s="409"/>
      <c r="E8" s="409"/>
      <c r="F8" s="409"/>
    </row>
    <row r="9" spans="1:6" ht="15">
      <c r="A9" s="527" t="s">
        <v>436</v>
      </c>
      <c r="B9" s="527"/>
      <c r="C9" s="527"/>
      <c r="D9" s="527"/>
      <c r="E9" s="527"/>
      <c r="F9" s="527"/>
    </row>
    <row r="10" ht="15">
      <c r="F10" s="106" t="s">
        <v>374</v>
      </c>
    </row>
    <row r="11" spans="1:6" ht="15">
      <c r="A11" s="513" t="s">
        <v>0</v>
      </c>
      <c r="B11" s="514"/>
      <c r="C11" s="514"/>
      <c r="D11" s="514"/>
      <c r="E11" s="515"/>
      <c r="F11" s="522" t="s">
        <v>10</v>
      </c>
    </row>
    <row r="12" spans="1:6" ht="15">
      <c r="A12" s="516"/>
      <c r="B12" s="517"/>
      <c r="C12" s="517"/>
      <c r="D12" s="517"/>
      <c r="E12" s="518"/>
      <c r="F12" s="523"/>
    </row>
    <row r="13" spans="1:6" ht="15">
      <c r="A13" s="519"/>
      <c r="B13" s="520"/>
      <c r="C13" s="520"/>
      <c r="D13" s="520"/>
      <c r="E13" s="521"/>
      <c r="F13" s="524"/>
    </row>
    <row r="14" spans="1:6" ht="15">
      <c r="A14" s="13" t="s">
        <v>209</v>
      </c>
      <c r="E14" s="22"/>
      <c r="F14" s="23"/>
    </row>
    <row r="15" spans="1:2" s="13" customFormat="1" ht="15">
      <c r="A15" s="106"/>
      <c r="B15" s="11"/>
    </row>
    <row r="16" spans="1:5" ht="29.25" customHeight="1">
      <c r="A16" s="106"/>
      <c r="B16" s="422" t="s">
        <v>210</v>
      </c>
      <c r="C16" s="422"/>
      <c r="D16" s="422"/>
      <c r="E16" s="422"/>
    </row>
    <row r="17" spans="1:6" ht="15.75">
      <c r="A17" s="107" t="s">
        <v>38</v>
      </c>
      <c r="B17" s="15" t="s">
        <v>451</v>
      </c>
      <c r="F17" s="40">
        <f>69700*2</f>
        <v>139400</v>
      </c>
    </row>
    <row r="18" spans="1:6" ht="15">
      <c r="A18" s="12" t="s">
        <v>21</v>
      </c>
      <c r="B18" s="11" t="s">
        <v>22</v>
      </c>
      <c r="F18" s="40">
        <v>209100</v>
      </c>
    </row>
    <row r="19" spans="1:6" ht="15">
      <c r="A19" s="12"/>
      <c r="F19" s="40"/>
    </row>
    <row r="20" spans="1:6" ht="15.75">
      <c r="A20" s="12" t="s">
        <v>39</v>
      </c>
      <c r="B20" s="14" t="s">
        <v>432</v>
      </c>
      <c r="F20" s="40">
        <v>75000</v>
      </c>
    </row>
    <row r="21" spans="1:6" ht="15.75">
      <c r="A21" s="12"/>
      <c r="B21" s="14"/>
      <c r="F21" s="40"/>
    </row>
    <row r="22" spans="1:6" ht="37.5" customHeight="1">
      <c r="A22" s="365" t="s">
        <v>86</v>
      </c>
      <c r="B22" s="525" t="s">
        <v>453</v>
      </c>
      <c r="C22" s="526"/>
      <c r="D22" s="526"/>
      <c r="E22" s="526"/>
      <c r="F22" s="40">
        <f>600000+600000</f>
        <v>1200000</v>
      </c>
    </row>
    <row r="23" ht="13.5" customHeight="1">
      <c r="F23" s="40"/>
    </row>
    <row r="24" spans="1:6" ht="33.75" customHeight="1">
      <c r="A24" s="13"/>
      <c r="B24" s="422" t="s">
        <v>211</v>
      </c>
      <c r="C24" s="422"/>
      <c r="D24" s="422"/>
      <c r="E24" s="422"/>
      <c r="F24" s="41">
        <f>SUM(F17:F23)</f>
        <v>1623500</v>
      </c>
    </row>
    <row r="25" ht="13.5" customHeight="1">
      <c r="F25" s="40"/>
    </row>
    <row r="26" spans="1:6" ht="33" customHeight="1">
      <c r="A26" s="13"/>
      <c r="B26" s="422" t="s">
        <v>212</v>
      </c>
      <c r="C26" s="422"/>
      <c r="D26" s="422"/>
      <c r="E26" s="422"/>
      <c r="F26" s="40"/>
    </row>
    <row r="27" spans="1:6" ht="13.5" customHeight="1">
      <c r="A27" s="12"/>
      <c r="F27" s="40"/>
    </row>
    <row r="28" spans="1:255" ht="15.75">
      <c r="A28" s="12" t="s">
        <v>38</v>
      </c>
      <c r="B28" s="17" t="s">
        <v>19</v>
      </c>
      <c r="C28" s="17"/>
      <c r="D28" s="17"/>
      <c r="E28" s="17"/>
      <c r="F28" s="40">
        <v>40000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</row>
    <row r="29" spans="1:255" ht="15.75">
      <c r="A29" s="12" t="s">
        <v>21</v>
      </c>
      <c r="B29" s="17" t="s">
        <v>20</v>
      </c>
      <c r="C29" s="17"/>
      <c r="D29" s="17"/>
      <c r="E29" s="17"/>
      <c r="F29" s="40">
        <v>40000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</row>
    <row r="30" spans="1:255" ht="15.75">
      <c r="A30" s="12" t="s">
        <v>39</v>
      </c>
      <c r="B30" s="17" t="s">
        <v>452</v>
      </c>
      <c r="C30" s="17"/>
      <c r="D30" s="17"/>
      <c r="E30" s="17"/>
      <c r="F30" s="40">
        <f>40000+90000</f>
        <v>130000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</row>
    <row r="31" spans="1:255" ht="15.75">
      <c r="A31" s="12" t="s">
        <v>86</v>
      </c>
      <c r="B31" s="17" t="s">
        <v>41</v>
      </c>
      <c r="C31" s="17"/>
      <c r="D31" s="17"/>
      <c r="E31" s="17"/>
      <c r="F31" s="40">
        <v>75000</v>
      </c>
      <c r="G31" s="56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</row>
    <row r="32" spans="1:6" ht="13.5" customHeight="1">
      <c r="A32" s="12" t="s">
        <v>87</v>
      </c>
      <c r="B32" s="17" t="s">
        <v>61</v>
      </c>
      <c r="F32" s="40">
        <v>600000</v>
      </c>
    </row>
    <row r="33" spans="1:6" ht="13.5" customHeight="1">
      <c r="A33" s="387" t="s">
        <v>93</v>
      </c>
      <c r="B33" s="11" t="s">
        <v>506</v>
      </c>
      <c r="F33" s="40">
        <v>60000</v>
      </c>
    </row>
    <row r="34" spans="1:8" ht="32.25" customHeight="1">
      <c r="A34" s="13"/>
      <c r="B34" s="422" t="s">
        <v>213</v>
      </c>
      <c r="C34" s="422"/>
      <c r="D34" s="422"/>
      <c r="E34" s="422"/>
      <c r="F34" s="41">
        <f>SUM(F27:F33)</f>
        <v>945000</v>
      </c>
      <c r="G34" s="16"/>
      <c r="H34" s="16"/>
    </row>
    <row r="35" spans="1:8" ht="12.75" customHeight="1">
      <c r="A35" s="13"/>
      <c r="F35" s="40"/>
      <c r="G35" s="16"/>
      <c r="H35" s="16"/>
    </row>
    <row r="36" spans="1:7" s="18" customFormat="1" ht="15.75">
      <c r="A36" s="13" t="s">
        <v>214</v>
      </c>
      <c r="F36" s="41">
        <f>F34+F24</f>
        <v>2568500</v>
      </c>
      <c r="G36" s="19"/>
    </row>
    <row r="37" spans="1:7" s="18" customFormat="1" ht="15.75">
      <c r="A37" s="13"/>
      <c r="F37" s="41"/>
      <c r="G37" s="19"/>
    </row>
    <row r="38" spans="6:7" s="18" customFormat="1" ht="15.75">
      <c r="F38" s="40"/>
      <c r="G38" s="19"/>
    </row>
    <row r="39" spans="1:6" s="20" customFormat="1" ht="18.75">
      <c r="A39" s="20" t="s">
        <v>6</v>
      </c>
      <c r="F39" s="39">
        <f>F36</f>
        <v>2568500</v>
      </c>
    </row>
  </sheetData>
  <sheetProtection/>
  <mergeCells count="14">
    <mergeCell ref="A5:F5"/>
    <mergeCell ref="A7:F7"/>
    <mergeCell ref="A9:F9"/>
    <mergeCell ref="A8:F8"/>
    <mergeCell ref="A1:F1"/>
    <mergeCell ref="B26:E26"/>
    <mergeCell ref="A3:F3"/>
    <mergeCell ref="A4:F4"/>
    <mergeCell ref="B34:E34"/>
    <mergeCell ref="A11:E13"/>
    <mergeCell ref="B16:E16"/>
    <mergeCell ref="B24:E24"/>
    <mergeCell ref="F11:F13"/>
    <mergeCell ref="B22:E2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F40"/>
  <sheetViews>
    <sheetView view="pageBreakPreview" zoomScale="60" zoomScalePageLayoutView="0" workbookViewId="0" topLeftCell="A1">
      <selection activeCell="B5" sqref="B5:C5"/>
    </sheetView>
  </sheetViews>
  <sheetFormatPr defaultColWidth="9.00390625" defaultRowHeight="12.75"/>
  <cols>
    <col min="1" max="1" width="4.125" style="26" customWidth="1"/>
    <col min="2" max="2" width="67.875" style="26" customWidth="1"/>
    <col min="3" max="3" width="18.00390625" style="26" customWidth="1"/>
    <col min="4" max="16384" width="9.125" style="26" customWidth="1"/>
  </cols>
  <sheetData>
    <row r="1" spans="1:4" ht="15.75">
      <c r="A1" s="440" t="s">
        <v>529</v>
      </c>
      <c r="B1" s="417"/>
      <c r="C1" s="417"/>
      <c r="D1" s="386"/>
    </row>
    <row r="3" spans="1:4" ht="15.75">
      <c r="A3" s="439" t="s">
        <v>494</v>
      </c>
      <c r="B3" s="415"/>
      <c r="C3" s="415"/>
      <c r="D3" s="73"/>
    </row>
    <row r="4" spans="2:4" ht="15">
      <c r="B4" s="74"/>
      <c r="C4" s="74"/>
      <c r="D4" s="73"/>
    </row>
    <row r="5" spans="2:3" ht="15.75" customHeight="1">
      <c r="B5" s="531"/>
      <c r="C5" s="531"/>
    </row>
    <row r="6" spans="2:3" ht="15">
      <c r="B6" s="27"/>
      <c r="C6" s="27"/>
    </row>
    <row r="7" spans="2:3" s="14" customFormat="1" ht="15.75" customHeight="1">
      <c r="B7" s="532" t="s">
        <v>33</v>
      </c>
      <c r="C7" s="532"/>
    </row>
    <row r="8" spans="2:6" s="21" customFormat="1" ht="15.75">
      <c r="B8" s="409" t="s">
        <v>34</v>
      </c>
      <c r="C8" s="409"/>
      <c r="D8" s="43"/>
      <c r="E8" s="43"/>
      <c r="F8" s="43"/>
    </row>
    <row r="9" spans="2:6" s="11" customFormat="1" ht="15">
      <c r="B9" s="527" t="s">
        <v>437</v>
      </c>
      <c r="C9" s="527"/>
      <c r="D9" s="42"/>
      <c r="E9" s="42"/>
      <c r="F9" s="42"/>
    </row>
    <row r="10" ht="15.75" customHeight="1" thickBot="1">
      <c r="C10" s="28"/>
    </row>
    <row r="11" spans="1:3" ht="15" customHeight="1">
      <c r="A11" s="528" t="s">
        <v>378</v>
      </c>
      <c r="B11" s="29"/>
      <c r="C11" s="30" t="s">
        <v>14</v>
      </c>
    </row>
    <row r="12" spans="1:3" ht="15.75" customHeight="1">
      <c r="A12" s="529"/>
      <c r="B12" s="31" t="s">
        <v>0</v>
      </c>
      <c r="C12" s="32"/>
    </row>
    <row r="13" spans="1:3" ht="15.75" thickBot="1">
      <c r="A13" s="530"/>
      <c r="B13" s="33"/>
      <c r="C13" s="34" t="s">
        <v>9</v>
      </c>
    </row>
    <row r="14" ht="11.25" customHeight="1"/>
    <row r="15" ht="11.25" customHeight="1">
      <c r="C15" s="40"/>
    </row>
    <row r="16" spans="1:3" ht="15">
      <c r="A16" s="26" t="s">
        <v>38</v>
      </c>
      <c r="B16" s="35" t="s">
        <v>23</v>
      </c>
      <c r="C16" s="40"/>
    </row>
    <row r="17" spans="2:3" ht="15">
      <c r="B17" s="35" t="s">
        <v>8</v>
      </c>
      <c r="C17" s="40"/>
    </row>
    <row r="18" spans="1:3" ht="28.5" customHeight="1">
      <c r="A18" s="319" t="s">
        <v>21</v>
      </c>
      <c r="B18" s="150" t="s">
        <v>344</v>
      </c>
      <c r="C18" s="41">
        <v>46400</v>
      </c>
    </row>
    <row r="19" spans="1:3" ht="28.5" customHeight="1">
      <c r="A19" s="319"/>
      <c r="B19" s="150"/>
      <c r="C19" s="40"/>
    </row>
    <row r="20" spans="1:3" ht="15">
      <c r="A20" s="319" t="s">
        <v>39</v>
      </c>
      <c r="B20" s="26" t="s">
        <v>62</v>
      </c>
      <c r="C20" s="40">
        <v>350000</v>
      </c>
    </row>
    <row r="21" spans="1:3" ht="30">
      <c r="A21" s="319" t="s">
        <v>86</v>
      </c>
      <c r="B21" s="150" t="s">
        <v>341</v>
      </c>
      <c r="C21" s="40">
        <v>300000</v>
      </c>
    </row>
    <row r="22" spans="1:3" ht="15">
      <c r="A22" s="319" t="s">
        <v>87</v>
      </c>
      <c r="B22" s="150" t="s">
        <v>342</v>
      </c>
      <c r="C22" s="40">
        <v>715000</v>
      </c>
    </row>
    <row r="23" spans="1:3" ht="15">
      <c r="A23" s="319" t="s">
        <v>93</v>
      </c>
      <c r="B23" s="150" t="s">
        <v>343</v>
      </c>
      <c r="C23" s="40">
        <v>440000</v>
      </c>
    </row>
    <row r="25" spans="1:3" ht="15">
      <c r="A25" s="319" t="s">
        <v>228</v>
      </c>
      <c r="B25" s="26" t="s">
        <v>66</v>
      </c>
      <c r="C25" s="40">
        <f>210000-60000</f>
        <v>150000</v>
      </c>
    </row>
    <row r="26" spans="1:3" ht="14.25" customHeight="1">
      <c r="A26" s="319" t="s">
        <v>230</v>
      </c>
      <c r="B26" s="26" t="s">
        <v>360</v>
      </c>
      <c r="C26" s="40">
        <v>1000000</v>
      </c>
    </row>
    <row r="27" spans="1:3" ht="15">
      <c r="A27" s="319" t="s">
        <v>232</v>
      </c>
      <c r="B27" s="35" t="s">
        <v>23</v>
      </c>
      <c r="C27" s="40"/>
    </row>
    <row r="28" spans="1:3" ht="15">
      <c r="A28" s="319"/>
      <c r="B28" s="35" t="s">
        <v>24</v>
      </c>
      <c r="C28" s="41">
        <f>SUM(C20:C27)</f>
        <v>2955000</v>
      </c>
    </row>
    <row r="29" spans="1:3" ht="11.25" customHeight="1">
      <c r="A29" s="319"/>
      <c r="C29" s="40"/>
    </row>
    <row r="30" spans="1:3" ht="15">
      <c r="A30" s="319" t="s">
        <v>238</v>
      </c>
      <c r="B30" s="35" t="s">
        <v>25</v>
      </c>
      <c r="C30" s="41">
        <f>C28+C18</f>
        <v>3001400</v>
      </c>
    </row>
    <row r="31" spans="1:3" ht="15">
      <c r="A31" s="319"/>
      <c r="B31" s="35"/>
      <c r="C31" s="41"/>
    </row>
    <row r="32" spans="1:5" ht="13.5" customHeight="1">
      <c r="A32" s="319"/>
      <c r="B32" s="14"/>
      <c r="C32" s="14"/>
      <c r="D32" s="11"/>
      <c r="E32" s="40"/>
    </row>
    <row r="33" spans="1:3" s="35" customFormat="1" ht="14.25">
      <c r="A33" s="320" t="s">
        <v>242</v>
      </c>
      <c r="B33" s="35" t="s">
        <v>268</v>
      </c>
      <c r="C33" s="41"/>
    </row>
    <row r="34" spans="1:3" ht="11.25" customHeight="1">
      <c r="A34" s="319"/>
      <c r="C34" s="40"/>
    </row>
    <row r="35" spans="1:3" ht="30" customHeight="1">
      <c r="A35" s="319" t="s">
        <v>247</v>
      </c>
      <c r="B35" s="150" t="s">
        <v>269</v>
      </c>
      <c r="C35" s="40">
        <f>1000000+1000000</f>
        <v>2000000</v>
      </c>
    </row>
    <row r="36" spans="1:3" ht="11.25" customHeight="1">
      <c r="A36" s="319"/>
      <c r="C36" s="40"/>
    </row>
    <row r="37" spans="1:3" ht="15">
      <c r="A37" s="319" t="s">
        <v>249</v>
      </c>
      <c r="B37" s="35" t="s">
        <v>270</v>
      </c>
      <c r="C37" s="41">
        <f>C35</f>
        <v>2000000</v>
      </c>
    </row>
    <row r="38" spans="1:3" ht="11.25" customHeight="1">
      <c r="A38" s="319"/>
      <c r="C38" s="40"/>
    </row>
    <row r="39" spans="1:3" s="37" customFormat="1" ht="16.5">
      <c r="A39" s="321" t="s">
        <v>251</v>
      </c>
      <c r="B39" s="36" t="s">
        <v>26</v>
      </c>
      <c r="C39" s="47"/>
    </row>
    <row r="40" spans="1:3" s="37" customFormat="1" ht="16.5">
      <c r="A40" s="321"/>
      <c r="B40" s="36" t="s">
        <v>27</v>
      </c>
      <c r="C40" s="48">
        <f>C30+C37</f>
        <v>5001400</v>
      </c>
    </row>
  </sheetData>
  <sheetProtection/>
  <mergeCells count="7">
    <mergeCell ref="A11:A13"/>
    <mergeCell ref="A3:C3"/>
    <mergeCell ref="A1:C1"/>
    <mergeCell ref="B9:C9"/>
    <mergeCell ref="B8:C8"/>
    <mergeCell ref="B5:C5"/>
    <mergeCell ref="B7:C7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E62"/>
  <sheetViews>
    <sheetView view="pageBreakPreview" zoomScale="60" zoomScalePageLayoutView="0" workbookViewId="0" topLeftCell="A7">
      <selection activeCell="B4" sqref="B4:C4"/>
    </sheetView>
  </sheetViews>
  <sheetFormatPr defaultColWidth="9.00390625" defaultRowHeight="12.75"/>
  <cols>
    <col min="1" max="1" width="6.125" style="15" customWidth="1"/>
    <col min="2" max="2" width="70.375" style="15" customWidth="1"/>
    <col min="3" max="3" width="20.00390625" style="15" customWidth="1"/>
    <col min="4" max="16384" width="9.125" style="15" customWidth="1"/>
  </cols>
  <sheetData>
    <row r="1" spans="1:3" ht="15.75">
      <c r="A1" s="440" t="s">
        <v>530</v>
      </c>
      <c r="B1" s="417"/>
      <c r="C1" s="417"/>
    </row>
    <row r="2" ht="10.5" customHeight="1"/>
    <row r="3" spans="1:5" s="169" customFormat="1" ht="15.75">
      <c r="A3" s="439" t="s">
        <v>495</v>
      </c>
      <c r="B3" s="415"/>
      <c r="C3" s="415"/>
      <c r="D3" s="111"/>
      <c r="E3" s="311"/>
    </row>
    <row r="4" spans="2:5" s="169" customFormat="1" ht="15.75">
      <c r="B4" s="533"/>
      <c r="C4" s="533"/>
      <c r="D4" s="111"/>
      <c r="E4" s="311"/>
    </row>
    <row r="5" spans="2:5" s="171" customFormat="1" ht="18.75">
      <c r="B5" s="170" t="s">
        <v>292</v>
      </c>
      <c r="C5" s="170"/>
      <c r="D5" s="15"/>
      <c r="E5" s="15"/>
    </row>
    <row r="6" spans="2:5" s="171" customFormat="1" ht="18.75">
      <c r="B6" s="429" t="s">
        <v>293</v>
      </c>
      <c r="C6" s="429"/>
      <c r="D6" s="15"/>
      <c r="E6" s="15"/>
    </row>
    <row r="7" spans="2:5" s="171" customFormat="1" ht="19.5" thickBot="1">
      <c r="B7" s="429" t="s">
        <v>435</v>
      </c>
      <c r="C7" s="429"/>
      <c r="D7" s="15"/>
      <c r="E7" s="15"/>
    </row>
    <row r="8" spans="1:3" ht="15.75">
      <c r="A8" s="534" t="s">
        <v>378</v>
      </c>
      <c r="B8" s="172"/>
      <c r="C8" s="173" t="s">
        <v>9</v>
      </c>
    </row>
    <row r="9" spans="1:3" ht="15.75">
      <c r="A9" s="535"/>
      <c r="B9" s="174" t="s">
        <v>294</v>
      </c>
      <c r="C9" s="174"/>
    </row>
    <row r="10" spans="1:3" ht="16.5" thickBot="1">
      <c r="A10" s="536"/>
      <c r="B10" s="175"/>
      <c r="C10" s="176" t="s">
        <v>424</v>
      </c>
    </row>
    <row r="11" spans="2:3" ht="15.75">
      <c r="B11" s="177"/>
      <c r="C11" s="178"/>
    </row>
    <row r="12" spans="2:3" ht="31.5" customHeight="1">
      <c r="B12" s="312" t="s">
        <v>425</v>
      </c>
      <c r="C12" s="178"/>
    </row>
    <row r="13" spans="1:3" ht="18" customHeight="1">
      <c r="A13" s="322" t="s">
        <v>38</v>
      </c>
      <c r="B13" s="181" t="s">
        <v>361</v>
      </c>
      <c r="C13" s="180">
        <v>80000</v>
      </c>
    </row>
    <row r="14" spans="1:3" ht="18" customHeight="1">
      <c r="A14" s="322" t="s">
        <v>395</v>
      </c>
      <c r="B14" s="181" t="s">
        <v>295</v>
      </c>
      <c r="C14" s="235">
        <v>21600</v>
      </c>
    </row>
    <row r="15" spans="1:3" ht="18" customHeight="1">
      <c r="A15" s="322"/>
      <c r="B15" s="177" t="s">
        <v>2</v>
      </c>
      <c r="C15" s="182">
        <f>SUM(C13:C14)</f>
        <v>101600</v>
      </c>
    </row>
    <row r="16" spans="1:3" ht="18" customHeight="1">
      <c r="A16" s="322"/>
      <c r="B16" s="177"/>
      <c r="C16" s="182"/>
    </row>
    <row r="17" spans="2:3" ht="30.75" customHeight="1">
      <c r="B17" s="312" t="s">
        <v>511</v>
      </c>
      <c r="C17" s="178"/>
    </row>
    <row r="18" spans="1:3" ht="18" customHeight="1">
      <c r="A18" s="322" t="s">
        <v>21</v>
      </c>
      <c r="B18" s="181" t="s">
        <v>514</v>
      </c>
      <c r="C18" s="180">
        <v>79882</v>
      </c>
    </row>
    <row r="19" spans="1:3" ht="18" customHeight="1">
      <c r="A19" s="322" t="s">
        <v>429</v>
      </c>
      <c r="B19" s="181" t="s">
        <v>295</v>
      </c>
      <c r="C19" s="235">
        <v>21568</v>
      </c>
    </row>
    <row r="20" spans="1:3" ht="18" customHeight="1">
      <c r="A20" s="322"/>
      <c r="B20" s="177" t="s">
        <v>2</v>
      </c>
      <c r="C20" s="182">
        <f>SUM(C18:C19)</f>
        <v>101450</v>
      </c>
    </row>
    <row r="21" spans="1:3" ht="18" customHeight="1">
      <c r="A21" s="322"/>
      <c r="B21" s="177"/>
      <c r="C21" s="182"/>
    </row>
    <row r="22" spans="1:3" ht="18" customHeight="1">
      <c r="A22" s="322"/>
      <c r="B22" s="313" t="s">
        <v>504</v>
      </c>
      <c r="C22" s="182"/>
    </row>
    <row r="23" spans="1:3" ht="18" customHeight="1">
      <c r="A23" s="322" t="s">
        <v>39</v>
      </c>
      <c r="B23" s="181" t="s">
        <v>505</v>
      </c>
      <c r="C23" s="180">
        <v>30000</v>
      </c>
    </row>
    <row r="24" spans="1:3" ht="18" customHeight="1">
      <c r="A24" s="322" t="s">
        <v>407</v>
      </c>
      <c r="B24" s="181" t="s">
        <v>295</v>
      </c>
      <c r="C24" s="238">
        <v>8100</v>
      </c>
    </row>
    <row r="25" spans="1:3" ht="18" customHeight="1">
      <c r="A25" s="322"/>
      <c r="B25" s="177" t="s">
        <v>2</v>
      </c>
      <c r="C25" s="182">
        <f>SUM(C23:C24)</f>
        <v>38100</v>
      </c>
    </row>
    <row r="26" spans="1:3" ht="18" customHeight="1">
      <c r="A26" s="322"/>
      <c r="B26" s="177"/>
      <c r="C26" s="182"/>
    </row>
    <row r="27" spans="1:3" ht="18" customHeight="1">
      <c r="A27" s="322"/>
      <c r="B27" s="313" t="s">
        <v>513</v>
      </c>
      <c r="C27" s="182"/>
    </row>
    <row r="28" spans="1:3" ht="18" customHeight="1">
      <c r="A28" s="322" t="s">
        <v>39</v>
      </c>
      <c r="B28" s="181" t="s">
        <v>515</v>
      </c>
      <c r="C28" s="180">
        <v>153543</v>
      </c>
    </row>
    <row r="29" spans="1:3" ht="18" customHeight="1">
      <c r="A29" s="322" t="s">
        <v>407</v>
      </c>
      <c r="B29" s="181" t="s">
        <v>295</v>
      </c>
      <c r="C29" s="238">
        <v>41457</v>
      </c>
    </row>
    <row r="30" spans="1:3" ht="18" customHeight="1">
      <c r="A30" s="322"/>
      <c r="B30" s="177" t="s">
        <v>2</v>
      </c>
      <c r="C30" s="182">
        <f>SUM(C28:C29)</f>
        <v>195000</v>
      </c>
    </row>
    <row r="31" spans="1:3" ht="18" customHeight="1">
      <c r="A31" s="322"/>
      <c r="B31" s="177"/>
      <c r="C31" s="182"/>
    </row>
    <row r="32" spans="1:3" ht="18" customHeight="1">
      <c r="A32" s="322"/>
      <c r="B32" s="313" t="s">
        <v>502</v>
      </c>
      <c r="C32" s="182"/>
    </row>
    <row r="33" spans="1:3" ht="18" customHeight="1">
      <c r="A33" s="322" t="s">
        <v>86</v>
      </c>
      <c r="B33" s="181" t="s">
        <v>365</v>
      </c>
      <c r="C33" s="180">
        <f>141700-44554</f>
        <v>97146</v>
      </c>
    </row>
    <row r="34" spans="1:3" ht="18" customHeight="1">
      <c r="A34" s="322" t="s">
        <v>415</v>
      </c>
      <c r="B34" s="181" t="s">
        <v>295</v>
      </c>
      <c r="C34" s="238">
        <f>38259-12031</f>
        <v>26228</v>
      </c>
    </row>
    <row r="35" spans="1:3" ht="18" customHeight="1">
      <c r="A35" s="322"/>
      <c r="B35" s="177" t="s">
        <v>2</v>
      </c>
      <c r="C35" s="182">
        <f>SUM(C33:C34)</f>
        <v>123374</v>
      </c>
    </row>
    <row r="36" spans="1:3" ht="18" customHeight="1">
      <c r="A36" s="322"/>
      <c r="B36" s="177"/>
      <c r="C36" s="182"/>
    </row>
    <row r="37" spans="1:3" ht="37.5" customHeight="1">
      <c r="A37" s="322"/>
      <c r="B37" s="313" t="s">
        <v>510</v>
      </c>
      <c r="C37" s="182"/>
    </row>
    <row r="38" spans="1:3" ht="18" customHeight="1">
      <c r="A38" s="322" t="s">
        <v>87</v>
      </c>
      <c r="B38" s="181" t="s">
        <v>365</v>
      </c>
      <c r="C38" s="180">
        <v>44554</v>
      </c>
    </row>
    <row r="39" spans="1:3" ht="18" customHeight="1">
      <c r="A39" s="322" t="s">
        <v>430</v>
      </c>
      <c r="B39" s="181" t="s">
        <v>295</v>
      </c>
      <c r="C39" s="238">
        <v>12031</v>
      </c>
    </row>
    <row r="40" spans="2:3" ht="18" customHeight="1">
      <c r="B40" s="177" t="s">
        <v>2</v>
      </c>
      <c r="C40" s="182">
        <f>SUM(C38:C39)</f>
        <v>56585</v>
      </c>
    </row>
    <row r="41" spans="2:3" ht="18" customHeight="1">
      <c r="B41" s="177"/>
      <c r="C41" s="182"/>
    </row>
    <row r="42" spans="2:3" ht="18" customHeight="1">
      <c r="B42" s="313" t="s">
        <v>362</v>
      </c>
      <c r="C42" s="178"/>
    </row>
    <row r="43" spans="1:3" ht="18" customHeight="1">
      <c r="A43" s="322" t="s">
        <v>93</v>
      </c>
      <c r="B43" s="314" t="s">
        <v>426</v>
      </c>
      <c r="C43" s="234">
        <v>60000</v>
      </c>
    </row>
    <row r="44" spans="1:3" ht="18" customHeight="1">
      <c r="A44" s="322" t="s">
        <v>431</v>
      </c>
      <c r="B44" s="181" t="s">
        <v>295</v>
      </c>
      <c r="C44" s="235">
        <v>16200</v>
      </c>
    </row>
    <row r="45" spans="1:3" ht="18" customHeight="1">
      <c r="A45" s="322"/>
      <c r="B45" s="177" t="s">
        <v>2</v>
      </c>
      <c r="C45" s="182">
        <f>SUM(C43:C44)</f>
        <v>76200</v>
      </c>
    </row>
    <row r="46" spans="1:3" ht="18" customHeight="1">
      <c r="A46" s="322"/>
      <c r="B46" s="177"/>
      <c r="C46" s="182"/>
    </row>
    <row r="47" spans="1:3" ht="18" customHeight="1">
      <c r="A47" s="322"/>
      <c r="B47" s="313" t="s">
        <v>363</v>
      </c>
      <c r="C47" s="182"/>
    </row>
    <row r="48" spans="1:3" ht="18" customHeight="1">
      <c r="A48" s="15" t="s">
        <v>228</v>
      </c>
      <c r="B48" s="314" t="s">
        <v>426</v>
      </c>
      <c r="C48" s="236">
        <v>9600</v>
      </c>
    </row>
    <row r="49" spans="1:3" ht="18" customHeight="1">
      <c r="A49" s="388" t="s">
        <v>508</v>
      </c>
      <c r="B49" s="181" t="s">
        <v>295</v>
      </c>
      <c r="C49" s="237">
        <v>2592</v>
      </c>
    </row>
    <row r="50" spans="2:3" ht="18" customHeight="1">
      <c r="B50" s="177" t="s">
        <v>2</v>
      </c>
      <c r="C50" s="182">
        <f>SUM(C48:C49)</f>
        <v>12192</v>
      </c>
    </row>
    <row r="51" spans="2:3" ht="18" customHeight="1">
      <c r="B51" s="177"/>
      <c r="C51" s="182"/>
    </row>
    <row r="52" spans="2:3" ht="18" customHeight="1">
      <c r="B52" s="313" t="s">
        <v>503</v>
      </c>
      <c r="C52" s="182"/>
    </row>
    <row r="53" spans="1:3" ht="18" customHeight="1">
      <c r="A53" s="15" t="s">
        <v>230</v>
      </c>
      <c r="B53" s="314" t="s">
        <v>426</v>
      </c>
      <c r="C53" s="236">
        <v>13200</v>
      </c>
    </row>
    <row r="54" spans="1:3" ht="18" customHeight="1">
      <c r="A54" s="388" t="s">
        <v>509</v>
      </c>
      <c r="B54" s="181" t="s">
        <v>295</v>
      </c>
      <c r="C54" s="237">
        <v>3564</v>
      </c>
    </row>
    <row r="55" spans="1:3" ht="18" customHeight="1">
      <c r="A55" s="322"/>
      <c r="B55" s="177" t="s">
        <v>2</v>
      </c>
      <c r="C55" s="182">
        <f>SUM(C53:C54)</f>
        <v>16764</v>
      </c>
    </row>
    <row r="56" spans="1:3" ht="18" customHeight="1">
      <c r="A56" s="322"/>
      <c r="B56" s="177"/>
      <c r="C56" s="182"/>
    </row>
    <row r="57" spans="1:3" ht="18" customHeight="1">
      <c r="A57" s="15" t="s">
        <v>232</v>
      </c>
      <c r="B57" s="315" t="s">
        <v>364</v>
      </c>
      <c r="C57" s="182"/>
    </row>
    <row r="58" spans="1:3" ht="18" customHeight="1">
      <c r="A58" s="388" t="s">
        <v>512</v>
      </c>
      <c r="B58" s="314" t="s">
        <v>426</v>
      </c>
      <c r="C58" s="236">
        <v>37200</v>
      </c>
    </row>
    <row r="59" spans="2:3" ht="18" customHeight="1">
      <c r="B59" s="181" t="s">
        <v>295</v>
      </c>
      <c r="C59" s="237">
        <v>10044</v>
      </c>
    </row>
    <row r="60" spans="2:3" ht="18" customHeight="1">
      <c r="B60" s="177" t="s">
        <v>2</v>
      </c>
      <c r="C60" s="182">
        <f>SUM(C58:C59)</f>
        <v>47244</v>
      </c>
    </row>
    <row r="61" spans="1:3" ht="18" customHeight="1">
      <c r="A61" s="322"/>
      <c r="B61" s="177"/>
      <c r="C61" s="179"/>
    </row>
    <row r="62" spans="1:3" ht="18" customHeight="1">
      <c r="A62" s="322" t="s">
        <v>238</v>
      </c>
      <c r="B62" s="177" t="s">
        <v>296</v>
      </c>
      <c r="C62" s="182">
        <f>C15+C35+C45+C50+C55+C60+C25+C40+C20+C30</f>
        <v>768509</v>
      </c>
    </row>
  </sheetData>
  <sheetProtection/>
  <mergeCells count="6">
    <mergeCell ref="A1:C1"/>
    <mergeCell ref="B6:C6"/>
    <mergeCell ref="B7:C7"/>
    <mergeCell ref="B4:C4"/>
    <mergeCell ref="A8:A10"/>
    <mergeCell ref="A3:C3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Lok Ildikó</cp:lastModifiedBy>
  <cp:lastPrinted>2018-05-29T11:37:57Z</cp:lastPrinted>
  <dcterms:created xsi:type="dcterms:W3CDTF">2002-11-26T17:22:50Z</dcterms:created>
  <dcterms:modified xsi:type="dcterms:W3CDTF">2018-05-29T11:38:06Z</dcterms:modified>
  <cp:category/>
  <cp:version/>
  <cp:contentType/>
  <cp:contentStatus/>
</cp:coreProperties>
</file>