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4" activeTab="8"/>
  </bookViews>
  <sheets>
    <sheet name="1. melléklet_BEVÉTEL_KIADÁS" sheetId="1" r:id="rId1"/>
    <sheet name="2.sz.m.Bevételek" sheetId="2" r:id="rId2"/>
    <sheet name="3.2.sz.mfelh.bev.részl ÁFA külö" sheetId="3" state="hidden" r:id="rId3"/>
    <sheet name="3.sz.m.Kiadások" sheetId="4" r:id="rId4"/>
    <sheet name="3.2.sz.m.felh.kiadás" sheetId="5" r:id="rId5"/>
    <sheet name="5.sz.Pénzmaradvány elsz." sheetId="6" r:id="rId6"/>
    <sheet name="8.sz.Pénzmaradvány felosztása" sheetId="7" state="hidden" r:id="rId7"/>
    <sheet name="6.sz.Mérleg" sheetId="8" r:id="rId8"/>
    <sheet name="7.sz.Pénzforgalom" sheetId="9" r:id="rId9"/>
    <sheet name="8.sz Vagyonkimutatás" sheetId="10" r:id="rId10"/>
  </sheets>
  <externalReferences>
    <externalReference r:id="rId13"/>
  </externalReferences>
  <definedNames>
    <definedName name="_xlnm.Print_Titles" localSheetId="1">'2.sz.m.Bevételek'!$1:$4</definedName>
    <definedName name="_xlnm.Print_Area" localSheetId="0">'1. melléklet_BEVÉTEL_KIADÁS'!$A$1:$T$39</definedName>
    <definedName name="_xlnm.Print_Area" localSheetId="1">'2.sz.m.Bevételek'!$A$1:$S$68</definedName>
    <definedName name="_xlnm.Print_Area" localSheetId="4">'3.2.sz.m.felh.kiadás'!$A$1:$P$16</definedName>
    <definedName name="_xlnm.Print_Area" localSheetId="2">'3.2.sz.mfelh.bev.részl ÁFA külö'!$A$1:$H$32</definedName>
    <definedName name="_xlnm.Print_Area" localSheetId="3">'3.sz.m.Kiadások'!$A$1:$S$45</definedName>
    <definedName name="_xlnm.Print_Area" localSheetId="7">'6.sz.Mérleg'!$A$1:$D$44</definedName>
    <definedName name="_xlnm.Print_Area" localSheetId="8">'7.sz.Pénzforgalom'!$A$1:$F$61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<sst xmlns="http://schemas.openxmlformats.org/spreadsheetml/2006/main" count="567" uniqueCount="462">
  <si>
    <t xml:space="preserve"> Vagyonalap :Ingatlan értékesítés utáni ÁFA befizetés</t>
  </si>
  <si>
    <t>Vízügyi építési alap bevételei</t>
  </si>
  <si>
    <t>Felhalmozási célú pénzeszköz átvétel összesen(+8+…11):</t>
  </si>
  <si>
    <t>Működési célú pénzeszköz átvétel</t>
  </si>
  <si>
    <t>Személyi juttatások</t>
  </si>
  <si>
    <t>Felújítás</t>
  </si>
  <si>
    <t>Fejlesztési céltartalék</t>
  </si>
  <si>
    <t>Megnevezés</t>
  </si>
  <si>
    <t>Intézményi működési bevételek</t>
  </si>
  <si>
    <t>Munkabér hitel felvétel</t>
  </si>
  <si>
    <t>Általános tartalék</t>
  </si>
  <si>
    <t>sorszám</t>
  </si>
  <si>
    <t>Felhalmozási célú pénzeszköz átadás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</si>
  <si>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</si>
  <si>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</si>
  <si>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</si>
  <si>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</si>
  <si>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</si>
  <si>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</si>
  <si>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</si>
  <si>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</si>
  <si>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</si>
  <si>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</si>
  <si>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</si>
  <si>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</si>
  <si>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</si>
  <si>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</si>
  <si>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</si>
  <si>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</si>
  <si>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</si>
  <si>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Saját működési bevételek</t>
  </si>
  <si>
    <t>Kamat bevétel</t>
  </si>
  <si>
    <t>2.</t>
  </si>
  <si>
    <t>Sajátos működési bevételek</t>
  </si>
  <si>
    <t>Építményadó</t>
  </si>
  <si>
    <t>3.</t>
  </si>
  <si>
    <t>Átengedett központi adók</t>
  </si>
  <si>
    <t>4.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</si>
  <si>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</si>
  <si>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</si>
  <si>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</si>
  <si>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</si>
  <si>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</si>
  <si>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</si>
  <si>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</si>
  <si>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</si>
  <si>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MŰKÖDÉSI BEVÉTELEK ÖSSZESEN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</si>
  <si>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</si>
  <si>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</si>
  <si>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</si>
  <si>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</si>
  <si>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</si>
  <si>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</si>
  <si>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</si>
  <si>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</si>
  <si>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</si>
  <si>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</si>
  <si>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 xml:space="preserve">     Rendszeres személyi  juttatások</t>
  </si>
  <si>
    <t xml:space="preserve">     Nem rendszeres személyi juttatások</t>
  </si>
  <si>
    <t xml:space="preserve">     Állományba nem tartozók juttatásai</t>
  </si>
  <si>
    <t>Dologi kiadások</t>
  </si>
  <si>
    <t>Szociális ellátások</t>
  </si>
  <si>
    <t>Működési célú pénzeszköz átadás</t>
  </si>
  <si>
    <t>FELHALMOZÁSI KIADÁSOK:</t>
  </si>
  <si>
    <t>Beruházás</t>
  </si>
  <si>
    <t>FELHALMOZÁSI KIADÁSOK ÖSSZESEN (1……3):</t>
  </si>
  <si>
    <t>TARTALÉKOK:</t>
  </si>
  <si>
    <t xml:space="preserve"> Közműfejlesztés:</t>
  </si>
  <si>
    <t xml:space="preserve"> Vagyonalap :</t>
  </si>
  <si>
    <t xml:space="preserve"> Vízügyi építési alap :</t>
  </si>
  <si>
    <t>TARTALÉKOK ÖSSZESEN (1…….3):</t>
  </si>
  <si>
    <t>Fejlesztési célú hitel törlesztése</t>
  </si>
  <si>
    <t>EGYÉB FINANSZIROZÁSI KIADÁSOK</t>
  </si>
  <si>
    <t>KIADÁSOK MINDÖSSZESEN:</t>
  </si>
  <si>
    <t>Bérpolítikai intézkedések (kereset kiegészítés )</t>
  </si>
  <si>
    <t>ÁFA bevételek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</si>
  <si>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</si>
  <si>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</si>
  <si>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</si>
  <si>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</si>
  <si>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Hitelfelvételből</t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</si>
  <si>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</si>
  <si>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</si>
  <si>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</si>
  <si>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</si>
  <si>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</si>
  <si>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</si>
  <si>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</si>
  <si>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</si>
  <si>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</si>
  <si>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</si>
  <si>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</si>
  <si>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Egyéb bev. (temető, könyvtár, esküvő,közterület fogl.)</t>
  </si>
  <si>
    <t>Bérleti díjak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</si>
  <si>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</si>
  <si>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</si>
  <si>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</si>
  <si>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</si>
  <si>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Helyszini és szabálysértési bírság</t>
  </si>
  <si>
    <t>Állami hozzájárulás</t>
  </si>
  <si>
    <t>Egyéb müködési célú pénzeszköz átvétel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</si>
  <si>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</si>
  <si>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</si>
  <si>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</si>
  <si>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</si>
  <si>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</si>
  <si>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</si>
  <si>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</si>
  <si>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</si>
  <si>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</si>
  <si>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</si>
  <si>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</si>
  <si>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</si>
  <si>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</si>
  <si>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Élelmiszer beszerzés</t>
  </si>
  <si>
    <t>Vásárolt termékek és szolg.Áfa</t>
  </si>
  <si>
    <t>ÁFA befizetés</t>
  </si>
  <si>
    <t>Egyéb dologi kiadások</t>
  </si>
  <si>
    <t>Felhalmozási kiadások</t>
  </si>
  <si>
    <t xml:space="preserve">Álláshely </t>
  </si>
  <si>
    <t>Létszám fő:</t>
  </si>
  <si>
    <t>Közüzemi díjak</t>
  </si>
  <si>
    <t>Kamatkiadás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</si>
  <si>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</si>
  <si>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</si>
  <si>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</si>
  <si>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</si>
  <si>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</si>
  <si>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</si>
  <si>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</si>
  <si>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</si>
  <si>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Vis.maior pályázati bevétel</t>
  </si>
  <si>
    <t>Felhalmozási bevételek</t>
  </si>
  <si>
    <t>Likvid hitel felvétel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</si>
  <si>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</si>
  <si>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</si>
  <si>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</si>
  <si>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</si>
  <si>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</si>
  <si>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</si>
  <si>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</si>
  <si>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</si>
  <si>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</si>
  <si>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</si>
  <si>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</si>
  <si>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</si>
  <si>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</si>
  <si>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Érdekeltségnövelő támogatás</t>
  </si>
  <si>
    <t xml:space="preserve">2011. évi e.i  </t>
  </si>
  <si>
    <t>Összesen (eFt)</t>
  </si>
  <si>
    <t>összesen (eFt)</t>
  </si>
  <si>
    <t>Kiadások Összesen</t>
  </si>
  <si>
    <t>Végleges pénzeszközátadás</t>
  </si>
  <si>
    <t>Pénzeszköz átadás</t>
  </si>
  <si>
    <t>Intézményfinanszírozás</t>
  </si>
  <si>
    <t>Kisebbs.Önkormányzati tám.</t>
  </si>
  <si>
    <t>EU-s finanszírozás kiadásai</t>
  </si>
  <si>
    <t>Felújítási kiadások</t>
  </si>
  <si>
    <t>Pénzforg.nélküli kiadások</t>
  </si>
  <si>
    <t>Fejlesztési.c.hitel törlesztés</t>
  </si>
  <si>
    <t>Bevételek Össszesen</t>
  </si>
  <si>
    <t>Önkorm.sajátos működ.bevét.</t>
  </si>
  <si>
    <t>Támogatás, átvett pénzeszk.</t>
  </si>
  <si>
    <t>EU-s finanszírozás bevételei</t>
  </si>
  <si>
    <t>Felh.c.peszk.átvétel</t>
  </si>
  <si>
    <t>Pénzforg.nélküli bevételek</t>
  </si>
  <si>
    <t>Működési c. hitelfelvétel</t>
  </si>
  <si>
    <t>Fejlesztési.c.hitel felvétel</t>
  </si>
  <si>
    <t>31.</t>
  </si>
  <si>
    <t>32.</t>
  </si>
  <si>
    <t>33.</t>
  </si>
  <si>
    <t>34.</t>
  </si>
  <si>
    <t>35.</t>
  </si>
  <si>
    <t>36.</t>
  </si>
  <si>
    <t>Munkaadókat terhelő szociális adó</t>
  </si>
  <si>
    <t>Munkaadókat terh. Szociális adó</t>
  </si>
  <si>
    <t>Halmozódásmentes (int.fin.és normatíva nélkül)</t>
  </si>
  <si>
    <t>Halmozódásmentes (int.fin.nélkül)</t>
  </si>
  <si>
    <t>Normatíva támogatás</t>
  </si>
  <si>
    <t>Intézményi finanszírozás</t>
  </si>
  <si>
    <t>Szociális kiadások</t>
  </si>
  <si>
    <t>Dologi és egyéb folyókiadások</t>
  </si>
  <si>
    <t>Normatíva átadás</t>
  </si>
  <si>
    <t>Egyéb működési célú pénzeszköz átadás</t>
  </si>
  <si>
    <t>Működési tartalék</t>
  </si>
  <si>
    <t>Műk. Célú pénzeszközátvétel</t>
  </si>
  <si>
    <t>Normatíva átvétel</t>
  </si>
  <si>
    <t>1.sz. mód.</t>
  </si>
  <si>
    <t>1.sz. módosítás</t>
  </si>
  <si>
    <t>utáni</t>
  </si>
  <si>
    <t>1.sz módosítás</t>
  </si>
  <si>
    <t>1.mód utáni</t>
  </si>
  <si>
    <t>1.sz. módosítás utáni</t>
  </si>
  <si>
    <t>cím</t>
  </si>
  <si>
    <t>Nettó</t>
  </si>
  <si>
    <t>áfa</t>
  </si>
  <si>
    <t>szakfeladat</t>
  </si>
  <si>
    <t>1.sz. módosítás után</t>
  </si>
  <si>
    <t>Beruházások összesen:</t>
  </si>
  <si>
    <t>Pénzmaradványból</t>
  </si>
  <si>
    <t>Posta parkoló</t>
  </si>
  <si>
    <t>földkábel tervezése Észak Budai</t>
  </si>
  <si>
    <t>közvilágítás bővítés (18 lámpatest)</t>
  </si>
  <si>
    <t xml:space="preserve">                                                          </t>
  </si>
  <si>
    <t>2.sz. módosítás</t>
  </si>
  <si>
    <t>2.sz. módosítás utáni</t>
  </si>
  <si>
    <t>2.sz. mód.</t>
  </si>
  <si>
    <t>2.sz módosítás</t>
  </si>
  <si>
    <t>2.mód utáni</t>
  </si>
  <si>
    <t>Teljesítés</t>
  </si>
  <si>
    <t>Teljesítés %</t>
  </si>
  <si>
    <t>Félévi módosítás</t>
  </si>
  <si>
    <t>Félévi módosítás utáni</t>
  </si>
  <si>
    <t>Félévi mód.</t>
  </si>
  <si>
    <t>Félévi mód utáni</t>
  </si>
  <si>
    <t>TELJESÍTÉS</t>
  </si>
  <si>
    <t>TELJESÍTÉS %</t>
  </si>
  <si>
    <t>Függő-átfutó, kiegyenlítő</t>
  </si>
  <si>
    <t>Függő, átfutó, kiegyenlítő</t>
  </si>
  <si>
    <t>Pénzkészlet</t>
  </si>
  <si>
    <t>4.sz. módosítás</t>
  </si>
  <si>
    <t>4.sz. módosítás utáni</t>
  </si>
  <si>
    <t>4.sz. mód.</t>
  </si>
  <si>
    <t>4.sz. módosítás után</t>
  </si>
  <si>
    <t>Samsung laptop</t>
  </si>
  <si>
    <t>4.sz módosítás</t>
  </si>
  <si>
    <t>4.mód utáni</t>
  </si>
  <si>
    <t>5.sz módosítás</t>
  </si>
  <si>
    <t>5.mód utáni</t>
  </si>
  <si>
    <t>5.sz. mód.</t>
  </si>
  <si>
    <t>5.sz. módosítás</t>
  </si>
  <si>
    <t>5.sz. módosítás utáni</t>
  </si>
  <si>
    <t>6.sz. módosítás</t>
  </si>
  <si>
    <t>6.sz. mód.</t>
  </si>
  <si>
    <t>6.sz módosítás</t>
  </si>
  <si>
    <t>Egyéb sajátos  bevételek  (közter. Foglalás)</t>
  </si>
  <si>
    <t>Teljesülés</t>
  </si>
  <si>
    <t>%</t>
  </si>
  <si>
    <t>Teljesülés %</t>
  </si>
  <si>
    <t>Módosított terv</t>
  </si>
  <si>
    <t>Munkavállalói kölcsön nyújtása</t>
  </si>
  <si>
    <t>Állományi érték</t>
  </si>
  <si>
    <t>Előző év</t>
  </si>
  <si>
    <t>Tárgyév</t>
  </si>
  <si>
    <t xml:space="preserve"> E S Z K Ö Z Ö K</t>
  </si>
  <si>
    <t xml:space="preserve">A. BEFEKTETETT ESZKÖZÖK ÖSSZESEN </t>
  </si>
  <si>
    <t>I. Immateriális javak</t>
  </si>
  <si>
    <t>II.Tárgyi eszközök</t>
  </si>
  <si>
    <t>III: Befektett pénzügyi eszközök</t>
  </si>
  <si>
    <t>IV.Üzemeltetésre átadadott eszközök</t>
  </si>
  <si>
    <t>B.FORGÓ ESZKÖZÖK ÖSSZESEN</t>
  </si>
  <si>
    <t>I.Készletek</t>
  </si>
  <si>
    <t>II.Követelések</t>
  </si>
  <si>
    <t>III.Értékpapírok</t>
  </si>
  <si>
    <t>IV.Pénzeszközök</t>
  </si>
  <si>
    <t>V.Egyéb aktív pénzügyi elszámolások</t>
  </si>
  <si>
    <t>E S Z K Ö Z Ö K  Ö S S Z E S E N</t>
  </si>
  <si>
    <t>F O R R  Á S O K</t>
  </si>
  <si>
    <t>D.SAJÁT TŐKE ÖSSZESEN</t>
  </si>
  <si>
    <t>1.Induló tőke</t>
  </si>
  <si>
    <t>2.Tőkeváltozások</t>
  </si>
  <si>
    <t>3.Értékelési tartalék</t>
  </si>
  <si>
    <t>E.TARTALÉKOK ÖSSZESEN</t>
  </si>
  <si>
    <t>I.Költségvetési tartalékok</t>
  </si>
  <si>
    <t>II.Vállalkozási tartalék</t>
  </si>
  <si>
    <t>F,) KÖTELEZETTSÉGEK ÖSSZESEN</t>
  </si>
  <si>
    <t>I. Hosszúlejáratú kötelezettségek</t>
  </si>
  <si>
    <t>II.Rövidlejáratú kötelezettségek</t>
  </si>
  <si>
    <t>III.Egyéb passziv pénzügyi elszámolások</t>
  </si>
  <si>
    <t>F O R R Á S O K  Ö S S Z E S E N</t>
  </si>
  <si>
    <t>Eredeti</t>
  </si>
  <si>
    <t>Módosított</t>
  </si>
  <si>
    <t>előirányzat</t>
  </si>
  <si>
    <t>Személyi juttatás</t>
  </si>
  <si>
    <t>Munkaadókat terhelő járulékok</t>
  </si>
  <si>
    <t>Dologi és folyó kiadások</t>
  </si>
  <si>
    <t>Intézmény finanszírozás</t>
  </si>
  <si>
    <t>Végleges működési pénzeszközátadások</t>
  </si>
  <si>
    <t>Ellátottak juttatásai</t>
  </si>
  <si>
    <t>Felhalmozási célú támogatásértékű kiadások.egyéb támogatás</t>
  </si>
  <si>
    <t>Államháztartáson kivülre végleges felhalmozási pénzeszközátadások</t>
  </si>
  <si>
    <t>Hosszú lejáratú kölcsönök nyújtása</t>
  </si>
  <si>
    <t>Rövid lejáratú kölcsönök nyújtása</t>
  </si>
  <si>
    <t>Költségvetési pénzforgalmi kiadások összesen (1+…12)</t>
  </si>
  <si>
    <t xml:space="preserve">Hosszú lejáratú hitelek </t>
  </si>
  <si>
    <t xml:space="preserve">Rövid lejáratú hitelek </t>
  </si>
  <si>
    <t>Tulajdonviszonyt megtestesítő értékpapírok kiadásai</t>
  </si>
  <si>
    <t>Forgatási célú hitelviszonyt megtestesítő értékpapírok kiadásai</t>
  </si>
  <si>
    <t>Finanszírozási kiadások összesen (14…17):</t>
  </si>
  <si>
    <t>Pénzforgalmi kiadások ( 13+18)</t>
  </si>
  <si>
    <t>Pénzforgalom nélküli kiadások</t>
  </si>
  <si>
    <t>Továbbadási (lebonyolítási)célú kiadások</t>
  </si>
  <si>
    <t>Kiegyenlítő, függő, átfutó kiadások</t>
  </si>
  <si>
    <t>KIADÁSOK ÖSSZESEN   (19+….22))</t>
  </si>
  <si>
    <t xml:space="preserve">                                </t>
  </si>
  <si>
    <t>Intézményi müködési bevételek</t>
  </si>
  <si>
    <t>Önkormányzat sajátos müködési bevételei</t>
  </si>
  <si>
    <t>Működési célú támogatásértékű bevételek,egyéb támogatások</t>
  </si>
  <si>
    <t>Államházt.-on kivülről végleges működési pénzeszk.átv.</t>
  </si>
  <si>
    <t>Felhalmozási és tőke jellegű bevételek</t>
  </si>
  <si>
    <t>28-ból önk.sajátos felh-i és tőkebevételei</t>
  </si>
  <si>
    <t>Felhalmozási célú támogatásértékű bevételek,egyéb támogatások</t>
  </si>
  <si>
    <t>Államházt.-on kivülről végleges felhalmozási pénzeszk.átv.</t>
  </si>
  <si>
    <t>Támogatások kiegészítések</t>
  </si>
  <si>
    <t>32-ből önkormányzat költségvetési támogatása</t>
  </si>
  <si>
    <t>Hosszúlejáratú kölcsönök visszatérülése</t>
  </si>
  <si>
    <t>Rövidlejáratú kölcsönök visszatérülése</t>
  </si>
  <si>
    <t>Költségvetési pénzforgalmi bevételek összesen (24+…28+30+31+32+34+35)</t>
  </si>
  <si>
    <t>Hosszúlejáratú hitelek felvétele</t>
  </si>
  <si>
    <t>Rövidlejáratú hitelek felvétele</t>
  </si>
  <si>
    <t>Tartós hitelviszonyt megtestesítő értékpapírok bevétele</t>
  </si>
  <si>
    <t>Forgatási célú hitelviszpnyt megtestesítő értékpapírok bevételei</t>
  </si>
  <si>
    <t>Finanszírozási bevételek összesen   (37+…..+40)</t>
  </si>
  <si>
    <t>Pénzforgalmi bevételek összesen (36+41)</t>
  </si>
  <si>
    <t>Pénzforgalom nélküli bevételek</t>
  </si>
  <si>
    <t>Továbbadási(lebonyolítási) célú bevételek</t>
  </si>
  <si>
    <t>Kiegyenlítő, átfutó, függő bevételek összesen</t>
  </si>
  <si>
    <t>BEVÉTELEK ÖSSZESEN  ( 42+….45)</t>
  </si>
  <si>
    <t>KÖLTSÉGVETÉSI BEVÉTELEK ÉS KIADÁSOK KÜLÖNBSÉGE ((36+43-13-20)</t>
  </si>
  <si>
    <t>FINANSZÍROSZÁSI MŰVELETEK EREDMÉNYE (41-18)</t>
  </si>
  <si>
    <t>TOVÁBBADÁSI CÉLÚ BEVÉTELEK ÉS KIADÁSOK KÜLÖNBSÉGE (44-21)</t>
  </si>
  <si>
    <t>AKTÍV PASSZÍV  PÉNZÜGYI MŰVELETEK EGYENLEGE (45-22)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</si>
  <si>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</si>
  <si>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</si>
  <si>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</si>
  <si>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</si>
  <si>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</si>
  <si>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</si>
  <si>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</si>
  <si>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</si>
  <si>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</si>
  <si>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</si>
  <si>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</si>
  <si>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</si>
  <si>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</si>
  <si>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</si>
  <si>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</si>
  <si>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</si>
  <si>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</si>
  <si>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</si>
  <si>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</si>
  <si>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</si>
  <si>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</si>
  <si>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</si>
  <si>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</si>
  <si>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</si>
  <si>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</si>
  <si>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</si>
  <si>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</si>
  <si>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</si>
  <si>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</si>
  <si>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</si>
  <si>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</si>
  <si>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</si>
  <si>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</si>
  <si>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</si>
  <si>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</si>
  <si>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</si>
  <si>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</si>
  <si>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</si>
  <si>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</si>
  <si>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</si>
  <si>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</si>
  <si>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</si>
  <si>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</si>
  <si>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</si>
  <si>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</si>
  <si>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</si>
  <si>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</si>
  <si>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</si>
  <si>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</si>
  <si>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</si>
  <si>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</si>
  <si>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</si>
  <si>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</si>
  <si>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</si>
  <si>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</si>
  <si>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</si>
  <si>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</si>
  <si>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</si>
  <si>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</si>
  <si>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</si>
  <si>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</si>
  <si>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</si>
  <si>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</si>
  <si>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</si>
  <si>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</si>
  <si>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</si>
  <si>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</si>
  <si>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</si>
  <si>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</si>
  <si>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</si>
  <si>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</si>
  <si>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</si>
  <si>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</si>
  <si>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</si>
  <si>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</si>
  <si>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</si>
  <si>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</si>
  <si>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</si>
  <si>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</si>
  <si>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</si>
  <si>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</si>
  <si>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</si>
  <si>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</si>
  <si>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</si>
  <si>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</si>
  <si>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</si>
  <si>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</si>
  <si>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</si>
  <si>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</si>
  <si>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</si>
  <si>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</si>
  <si>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2012. eredeti terv
bruttó</t>
  </si>
  <si>
    <t>Befektetett pénzügyi eszközök összesen</t>
  </si>
  <si>
    <t>BEFEKTETETT ESZKÖZÖK ÖSSZESEN</t>
  </si>
  <si>
    <t>Költségvetési bankszámlák záróegyenlegei</t>
  </si>
  <si>
    <t>Pénztár és betétkönyv záróegyenlegei</t>
  </si>
  <si>
    <t xml:space="preserve">Záró pénzkészlet </t>
  </si>
  <si>
    <t>Költségvetési  aktív kiegyenlítő elsz.záróegy.</t>
  </si>
  <si>
    <t>Passziv kiegenlítő  elszámolások záró egyenlege</t>
  </si>
  <si>
    <t>Költségvetési aktiv átfutó elsz.záróegy.</t>
  </si>
  <si>
    <t>Passziv átfutó elszámolások záró egyenlege</t>
  </si>
  <si>
    <t>Aktiv függő elszámolások záró egyenlege</t>
  </si>
  <si>
    <t>Passziv függő elszámolások záró egyenlege</t>
  </si>
  <si>
    <t>Egyéb aktiv és passziv pü.elsz.össz</t>
  </si>
  <si>
    <t>Előzőévekben képzett tartalékok maradványa</t>
  </si>
  <si>
    <t>Vállalkozási tevékenység pénzforgalmi eredménye</t>
  </si>
  <si>
    <t>TÁRGYÉVI HELYESBÍTETT PÉNZMARADVÁNY  (03+-4-5)</t>
  </si>
  <si>
    <t>Intézményi költségvetési befiz.többlettámogatás miatt</t>
  </si>
  <si>
    <t>Költségvetési befizetés többlettámogatás miatt</t>
  </si>
  <si>
    <t>Költségvetési kiutalás kiutalatlan intézm.támogatás miatt</t>
  </si>
  <si>
    <t>Költségvetési kiutalás kiutalatlan támogatás miatt</t>
  </si>
  <si>
    <t>Pénzmaradványt terhelő elvonások</t>
  </si>
  <si>
    <t>Költségvetési pénzmaradvány( 13+………+-18 )</t>
  </si>
  <si>
    <t>Vállalk.tev.eredményéből alaptev.ellát.-ra felhaszn.össz.:</t>
  </si>
  <si>
    <t xml:space="preserve">ktv.-i pénzmaradv.ülön jogszabály alapján mód.tétel </t>
  </si>
  <si>
    <t>MÓDOSÍTOTT PÉNZMARADVÁNY ( 7+-9 )</t>
  </si>
  <si>
    <t>A 10.sorból- Egészségbiztos.alapból foly.pénzeszk.maradványa</t>
  </si>
  <si>
    <t>A 10.sorból- -Kötelezettéggel terhelt pénzmaradvány</t>
  </si>
  <si>
    <t>A 10.sorból - Szabad pénzmaradvány</t>
  </si>
  <si>
    <t>Technikai összesen (22+23+24+25):</t>
  </si>
  <si>
    <t>Tárgyévi pénzmaradvány</t>
  </si>
  <si>
    <t>Tárgyévi felosztott maradvány</t>
  </si>
  <si>
    <t>Működési költségvetés kötött pénzmaradvány :</t>
  </si>
  <si>
    <t>Felhalmozási költségvetés kötött pénzmaradvány :</t>
  </si>
  <si>
    <t>Működési költségvetés szabad pénzmaradvány :</t>
  </si>
  <si>
    <t>PÉNZMARADVÁNY FELOSZTÁSA ÖSSZESEN (1+2+3):</t>
  </si>
  <si>
    <t>Függő-átfutó kiadásokra</t>
  </si>
  <si>
    <t>Szállítókra</t>
  </si>
  <si>
    <t xml:space="preserve"> 2013. évi eredeti terv</t>
  </si>
  <si>
    <t>2013. évi módosított terv</t>
  </si>
  <si>
    <t>Támop támogatás</t>
  </si>
  <si>
    <t>kölcsönből visszatörlesztés</t>
  </si>
  <si>
    <t>működési c.pe átvétel</t>
  </si>
  <si>
    <t>függő-kiegyenlítő bevételek</t>
  </si>
  <si>
    <t>2013.évi eredeti terv</t>
  </si>
  <si>
    <t>Támop-n keresztül 6 db laptop</t>
  </si>
  <si>
    <t>Támop-n keresztül 2 db  nyomtató</t>
  </si>
  <si>
    <t>2013. évet érintő, be nem érkezett szállítói számlákra</t>
  </si>
  <si>
    <t>2013. évi eredeti
 terv</t>
  </si>
  <si>
    <t>2013. évi módosított
 terv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</si>
</sst>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7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i/>
      <sz val="9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1" xfId="0" applyFont="1" applyBorder="1" applyAlignment="1">
      <alignment/>
    </xf>
    <xf numFmtId="0" fontId="14" fillId="24" borderId="22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" fillId="0" borderId="0" xfId="0" applyFont="1" applyFill="1" applyAlignment="1">
      <alignment/>
    </xf>
    <xf numFmtId="0" fontId="14" fillId="25" borderId="15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3" fontId="14" fillId="25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0" fontId="14" fillId="26" borderId="21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27" borderId="13" xfId="0" applyFont="1" applyFill="1" applyBorder="1" applyAlignment="1">
      <alignment horizontal="center"/>
    </xf>
    <xf numFmtId="0" fontId="14" fillId="25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3" fontId="1" fillId="0" borderId="0" xfId="40" applyFont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16" fillId="0" borderId="24" xfId="0" applyFont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4" fillId="0" borderId="24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24" borderId="2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24" borderId="27" xfId="0" applyFont="1" applyFill="1" applyBorder="1" applyAlignment="1">
      <alignment/>
    </xf>
    <xf numFmtId="0" fontId="14" fillId="24" borderId="18" xfId="0" applyFont="1" applyFill="1" applyBorder="1" applyAlignment="1">
      <alignment/>
    </xf>
    <xf numFmtId="3" fontId="14" fillId="24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2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9" fontId="4" fillId="0" borderId="21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30" xfId="72" applyFont="1" applyBorder="1" applyAlignment="1">
      <alignment/>
    </xf>
    <xf numFmtId="9" fontId="0" fillId="0" borderId="13" xfId="72" applyFont="1" applyBorder="1" applyAlignment="1">
      <alignment/>
    </xf>
    <xf numFmtId="9" fontId="4" fillId="0" borderId="14" xfId="72" applyFont="1" applyBorder="1" applyAlignment="1">
      <alignment/>
    </xf>
    <xf numFmtId="9" fontId="0" fillId="0" borderId="13" xfId="72" applyFont="1" applyFill="1" applyBorder="1" applyAlignment="1">
      <alignment/>
    </xf>
    <xf numFmtId="9" fontId="4" fillId="0" borderId="31" xfId="72" applyFont="1" applyBorder="1" applyAlignment="1">
      <alignment/>
    </xf>
    <xf numFmtId="9" fontId="4" fillId="0" borderId="13" xfId="72" applyFont="1" applyBorder="1" applyAlignment="1">
      <alignment/>
    </xf>
    <xf numFmtId="9" fontId="4" fillId="0" borderId="15" xfId="72" applyFont="1" applyFill="1" applyBorder="1" applyAlignment="1">
      <alignment/>
    </xf>
    <xf numFmtId="9" fontId="13" fillId="0" borderId="21" xfId="72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72" applyFont="1" applyFill="1" applyBorder="1" applyAlignment="1">
      <alignment/>
    </xf>
    <xf numFmtId="0" fontId="14" fillId="0" borderId="30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9" fontId="14" fillId="0" borderId="33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" fillId="0" borderId="34" xfId="0" applyNumberFormat="1" applyFont="1" applyFill="1" applyBorder="1" applyAlignment="1">
      <alignment horizontal="right"/>
    </xf>
    <xf numFmtId="0" fontId="14" fillId="24" borderId="1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3" fontId="14" fillId="0" borderId="3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4" fillId="25" borderId="37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26" borderId="21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4" fillId="27" borderId="16" xfId="0" applyFont="1" applyFill="1" applyBorder="1" applyAlignment="1">
      <alignment/>
    </xf>
    <xf numFmtId="0" fontId="14" fillId="25" borderId="21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 horizontal="center" wrapText="1"/>
    </xf>
    <xf numFmtId="3" fontId="7" fillId="0" borderId="40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27" borderId="46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50" xfId="0" applyNumberFormat="1" applyFont="1" applyBorder="1" applyAlignment="1">
      <alignment horizontal="right"/>
    </xf>
    <xf numFmtId="3" fontId="19" fillId="0" borderId="51" xfId="0" applyNumberFormat="1" applyFont="1" applyBorder="1" applyAlignment="1">
      <alignment horizontal="right"/>
    </xf>
    <xf numFmtId="3" fontId="19" fillId="0" borderId="52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5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0" fontId="7" fillId="0" borderId="55" xfId="0" applyFont="1" applyBorder="1" applyAlignment="1">
      <alignment horizontal="center" wrapText="1"/>
    </xf>
    <xf numFmtId="3" fontId="6" fillId="27" borderId="47" xfId="0" applyNumberFormat="1" applyFont="1" applyFill="1" applyBorder="1" applyAlignment="1">
      <alignment/>
    </xf>
    <xf numFmtId="3" fontId="19" fillId="0" borderId="47" xfId="0" applyNumberFormat="1" applyFont="1" applyBorder="1" applyAlignment="1">
      <alignment/>
    </xf>
    <xf numFmtId="3" fontId="6" fillId="27" borderId="39" xfId="0" applyNumberFormat="1" applyFont="1" applyFill="1" applyBorder="1" applyAlignment="1">
      <alignment/>
    </xf>
    <xf numFmtId="3" fontId="6" fillId="27" borderId="56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0" fontId="6" fillId="0" borderId="61" xfId="0" applyFont="1" applyFill="1" applyBorder="1" applyAlignment="1">
      <alignment/>
    </xf>
    <xf numFmtId="3" fontId="14" fillId="26" borderId="21" xfId="40" applyNumberFormat="1" applyFont="1" applyFill="1" applyBorder="1" applyAlignment="1">
      <alignment horizontal="right"/>
    </xf>
    <xf numFmtId="3" fontId="14" fillId="0" borderId="21" xfId="4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4" fillId="0" borderId="3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shrinkToFit="1"/>
    </xf>
    <xf numFmtId="166" fontId="14" fillId="0" borderId="62" xfId="0" applyNumberFormat="1" applyFont="1" applyFill="1" applyBorder="1" applyAlignment="1">
      <alignment/>
    </xf>
    <xf numFmtId="166" fontId="14" fillId="0" borderId="56" xfId="0" applyNumberFormat="1" applyFont="1" applyFill="1" applyBorder="1" applyAlignment="1">
      <alignment/>
    </xf>
    <xf numFmtId="3" fontId="19" fillId="28" borderId="63" xfId="0" applyNumberFormat="1" applyFont="1" applyFill="1" applyBorder="1" applyAlignment="1">
      <alignment/>
    </xf>
    <xf numFmtId="3" fontId="19" fillId="28" borderId="46" xfId="0" applyNumberFormat="1" applyFont="1" applyFill="1" applyBorder="1" applyAlignment="1">
      <alignment/>
    </xf>
    <xf numFmtId="3" fontId="19" fillId="28" borderId="39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17" fillId="0" borderId="28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0" borderId="31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/>
    </xf>
    <xf numFmtId="0" fontId="0" fillId="0" borderId="50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4" fillId="28" borderId="21" xfId="0" applyFont="1" applyFill="1" applyBorder="1" applyAlignment="1">
      <alignment horizontal="center" wrapText="1"/>
    </xf>
    <xf numFmtId="9" fontId="0" fillId="0" borderId="14" xfId="72" applyFont="1" applyFill="1" applyBorder="1" applyAlignment="1">
      <alignment horizontal="right"/>
    </xf>
    <xf numFmtId="9" fontId="0" fillId="0" borderId="16" xfId="72" applyFont="1" applyFill="1" applyBorder="1" applyAlignment="1">
      <alignment horizontal="right"/>
    </xf>
    <xf numFmtId="9" fontId="14" fillId="0" borderId="13" xfId="72" applyFont="1" applyBorder="1" applyAlignment="1">
      <alignment horizontal="center"/>
    </xf>
    <xf numFmtId="9" fontId="14" fillId="0" borderId="13" xfId="72" applyFont="1" applyBorder="1" applyAlignment="1">
      <alignment/>
    </xf>
    <xf numFmtId="9" fontId="14" fillId="0" borderId="23" xfId="72" applyFont="1" applyFill="1" applyBorder="1" applyAlignment="1">
      <alignment/>
    </xf>
    <xf numFmtId="9" fontId="1" fillId="0" borderId="17" xfId="72" applyFont="1" applyFill="1" applyBorder="1" applyAlignment="1">
      <alignment horizontal="right"/>
    </xf>
    <xf numFmtId="9" fontId="1" fillId="0" borderId="17" xfId="72" applyFont="1" applyBorder="1" applyAlignment="1">
      <alignment horizontal="right"/>
    </xf>
    <xf numFmtId="9" fontId="14" fillId="24" borderId="27" xfId="72" applyFont="1" applyFill="1" applyBorder="1" applyAlignment="1">
      <alignment/>
    </xf>
    <xf numFmtId="9" fontId="14" fillId="25" borderId="15" xfId="72" applyFont="1" applyFill="1" applyBorder="1" applyAlignment="1">
      <alignment/>
    </xf>
    <xf numFmtId="9" fontId="1" fillId="0" borderId="0" xfId="72" applyFont="1" applyAlignment="1">
      <alignment/>
    </xf>
    <xf numFmtId="9" fontId="1" fillId="0" borderId="0" xfId="72" applyFont="1" applyFill="1" applyAlignment="1">
      <alignment/>
    </xf>
    <xf numFmtId="9" fontId="4" fillId="28" borderId="21" xfId="72" applyFont="1" applyFill="1" applyBorder="1" applyAlignment="1">
      <alignment horizontal="center" wrapText="1"/>
    </xf>
    <xf numFmtId="9" fontId="14" fillId="0" borderId="30" xfId="72" applyFont="1" applyBorder="1" applyAlignment="1">
      <alignment horizontal="center" wrapText="1"/>
    </xf>
    <xf numFmtId="9" fontId="1" fillId="0" borderId="17" xfId="72" applyFont="1" applyBorder="1" applyAlignment="1">
      <alignment horizontal="right"/>
    </xf>
    <xf numFmtId="9" fontId="14" fillId="0" borderId="34" xfId="72" applyFont="1" applyFill="1" applyBorder="1" applyAlignment="1">
      <alignment horizontal="right"/>
    </xf>
    <xf numFmtId="9" fontId="1" fillId="0" borderId="35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4" fillId="26" borderId="21" xfId="72" applyFont="1" applyFill="1" applyBorder="1" applyAlignment="1">
      <alignment horizontal="right"/>
    </xf>
    <xf numFmtId="9" fontId="1" fillId="0" borderId="34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" fillId="0" borderId="36" xfId="72" applyFont="1" applyFill="1" applyBorder="1" applyAlignment="1">
      <alignment horizontal="right"/>
    </xf>
    <xf numFmtId="9" fontId="14" fillId="0" borderId="21" xfId="72" applyFont="1" applyFill="1" applyBorder="1" applyAlignment="1">
      <alignment horizontal="right"/>
    </xf>
    <xf numFmtId="9" fontId="14" fillId="25" borderId="37" xfId="72" applyFont="1" applyFill="1" applyBorder="1" applyAlignment="1">
      <alignment horizontal="right"/>
    </xf>
    <xf numFmtId="9" fontId="14" fillId="0" borderId="0" xfId="72" applyFont="1" applyAlignment="1">
      <alignment/>
    </xf>
    <xf numFmtId="9" fontId="14" fillId="0" borderId="0" xfId="72" applyFont="1" applyAlignment="1">
      <alignment/>
    </xf>
    <xf numFmtId="9" fontId="7" fillId="0" borderId="44" xfId="72" applyFont="1" applyBorder="1" applyAlignment="1">
      <alignment horizontal="center"/>
    </xf>
    <xf numFmtId="9" fontId="7" fillId="0" borderId="55" xfId="72" applyFont="1" applyBorder="1" applyAlignment="1">
      <alignment horizontal="center" wrapText="1"/>
    </xf>
    <xf numFmtId="9" fontId="7" fillId="0" borderId="44" xfId="72" applyFont="1" applyBorder="1" applyAlignment="1">
      <alignment/>
    </xf>
    <xf numFmtId="9" fontId="7" fillId="0" borderId="60" xfId="72" applyFont="1" applyFill="1" applyBorder="1" applyAlignment="1">
      <alignment/>
    </xf>
    <xf numFmtId="9" fontId="6" fillId="0" borderId="47" xfId="72" applyFont="1" applyBorder="1" applyAlignment="1">
      <alignment/>
    </xf>
    <xf numFmtId="9" fontId="6" fillId="0" borderId="39" xfId="72" applyFont="1" applyBorder="1" applyAlignment="1">
      <alignment/>
    </xf>
    <xf numFmtId="9" fontId="19" fillId="0" borderId="39" xfId="72" applyFont="1" applyBorder="1" applyAlignment="1">
      <alignment/>
    </xf>
    <xf numFmtId="9" fontId="19" fillId="28" borderId="39" xfId="72" applyFont="1" applyFill="1" applyBorder="1" applyAlignment="1">
      <alignment/>
    </xf>
    <xf numFmtId="9" fontId="19" fillId="0" borderId="47" xfId="72" applyFont="1" applyBorder="1" applyAlignment="1">
      <alignment/>
    </xf>
    <xf numFmtId="9" fontId="6" fillId="27" borderId="47" xfId="72" applyFont="1" applyFill="1" applyBorder="1" applyAlignment="1">
      <alignment/>
    </xf>
    <xf numFmtId="9" fontId="6" fillId="27" borderId="39" xfId="72" applyFont="1" applyFill="1" applyBorder="1" applyAlignment="1">
      <alignment/>
    </xf>
    <xf numFmtId="9" fontId="6" fillId="27" borderId="56" xfId="72" applyFont="1" applyFill="1" applyBorder="1" applyAlignment="1">
      <alignment/>
    </xf>
    <xf numFmtId="9" fontId="0" fillId="0" borderId="0" xfId="72" applyFont="1" applyAlignment="1">
      <alignment/>
    </xf>
    <xf numFmtId="9" fontId="0" fillId="0" borderId="21" xfId="72" applyFont="1" applyBorder="1" applyAlignment="1">
      <alignment/>
    </xf>
    <xf numFmtId="9" fontId="14" fillId="0" borderId="62" xfId="72" applyFont="1" applyFill="1" applyBorder="1" applyAlignment="1">
      <alignment/>
    </xf>
    <xf numFmtId="9" fontId="14" fillId="0" borderId="56" xfId="72" applyFont="1" applyFill="1" applyBorder="1" applyAlignment="1">
      <alignment/>
    </xf>
    <xf numFmtId="0" fontId="7" fillId="0" borderId="44" xfId="0" applyFont="1" applyBorder="1" applyAlignment="1">
      <alignment horizontal="center" wrapText="1"/>
    </xf>
    <xf numFmtId="9" fontId="4" fillId="0" borderId="31" xfId="72" applyFont="1" applyFill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65" xfId="0" applyNumberFormat="1" applyFont="1" applyFill="1" applyBorder="1" applyAlignment="1">
      <alignment horizontal="right"/>
    </xf>
    <xf numFmtId="9" fontId="1" fillId="0" borderId="65" xfId="72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9" fontId="4" fillId="0" borderId="17" xfId="72" applyFont="1" applyBorder="1" applyAlignment="1">
      <alignment/>
    </xf>
    <xf numFmtId="3" fontId="0" fillId="0" borderId="13" xfId="0" applyNumberFormat="1" applyFont="1" applyBorder="1" applyAlignment="1">
      <alignment/>
    </xf>
    <xf numFmtId="9" fontId="0" fillId="0" borderId="13" xfId="72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6" xfId="0" applyNumberFormat="1" applyFont="1" applyBorder="1" applyAlignment="1">
      <alignment/>
    </xf>
    <xf numFmtId="9" fontId="0" fillId="0" borderId="66" xfId="72" applyFont="1" applyBorder="1" applyAlignment="1">
      <alignment/>
    </xf>
    <xf numFmtId="0" fontId="4" fillId="25" borderId="67" xfId="0" applyFont="1" applyFill="1" applyBorder="1" applyAlignment="1">
      <alignment/>
    </xf>
    <xf numFmtId="3" fontId="4" fillId="25" borderId="67" xfId="0" applyNumberFormat="1" applyFont="1" applyFill="1" applyBorder="1" applyAlignment="1">
      <alignment/>
    </xf>
    <xf numFmtId="9" fontId="4" fillId="25" borderId="67" xfId="72" applyFont="1" applyFill="1" applyBorder="1" applyAlignment="1">
      <alignment/>
    </xf>
    <xf numFmtId="3" fontId="4" fillId="0" borderId="17" xfId="40" applyNumberFormat="1" applyFont="1" applyBorder="1" applyAlignment="1">
      <alignment horizontal="right"/>
    </xf>
    <xf numFmtId="3" fontId="0" fillId="0" borderId="13" xfId="40" applyNumberFormat="1" applyFont="1" applyBorder="1" applyAlignment="1">
      <alignment horizontal="right"/>
    </xf>
    <xf numFmtId="3" fontId="0" fillId="0" borderId="13" xfId="4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3" fontId="0" fillId="0" borderId="46" xfId="0" applyNumberFormat="1" applyFont="1" applyBorder="1" applyAlignment="1">
      <alignment/>
    </xf>
    <xf numFmtId="9" fontId="0" fillId="0" borderId="47" xfId="72" applyFont="1" applyBorder="1" applyAlignment="1">
      <alignment/>
    </xf>
    <xf numFmtId="0" fontId="0" fillId="0" borderId="49" xfId="0" applyFont="1" applyBorder="1" applyAlignment="1">
      <alignment/>
    </xf>
    <xf numFmtId="3" fontId="0" fillId="0" borderId="49" xfId="0" applyNumberFormat="1" applyFont="1" applyBorder="1" applyAlignment="1">
      <alignment/>
    </xf>
    <xf numFmtId="9" fontId="0" fillId="0" borderId="39" xfId="72" applyFont="1" applyBorder="1" applyAlignment="1">
      <alignment/>
    </xf>
    <xf numFmtId="3" fontId="0" fillId="0" borderId="49" xfId="0" applyNumberFormat="1" applyFont="1" applyFill="1" applyBorder="1" applyAlignment="1">
      <alignment/>
    </xf>
    <xf numFmtId="9" fontId="0" fillId="0" borderId="39" xfId="72" applyFont="1" applyFill="1" applyBorder="1" applyAlignment="1">
      <alignment/>
    </xf>
    <xf numFmtId="0" fontId="0" fillId="0" borderId="64" xfId="0" applyFont="1" applyBorder="1" applyAlignment="1">
      <alignment/>
    </xf>
    <xf numFmtId="3" fontId="0" fillId="0" borderId="64" xfId="0" applyNumberFormat="1" applyFont="1" applyBorder="1" applyAlignment="1">
      <alignment/>
    </xf>
    <xf numFmtId="9" fontId="0" fillId="0" borderId="38" xfId="72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/>
    </xf>
    <xf numFmtId="3" fontId="0" fillId="0" borderId="69" xfId="0" applyNumberFormat="1" applyFont="1" applyBorder="1" applyAlignment="1">
      <alignment/>
    </xf>
    <xf numFmtId="9" fontId="0" fillId="0" borderId="70" xfId="72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/>
    </xf>
    <xf numFmtId="3" fontId="4" fillId="0" borderId="46" xfId="0" applyNumberFormat="1" applyFont="1" applyBorder="1" applyAlignment="1">
      <alignment/>
    </xf>
    <xf numFmtId="9" fontId="4" fillId="0" borderId="47" xfId="72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/>
    </xf>
    <xf numFmtId="0" fontId="39" fillId="0" borderId="45" xfId="0" applyFont="1" applyBorder="1" applyAlignment="1">
      <alignment horizontal="center"/>
    </xf>
    <xf numFmtId="0" fontId="39" fillId="0" borderId="46" xfId="0" applyFont="1" applyBorder="1" applyAlignment="1">
      <alignment/>
    </xf>
    <xf numFmtId="0" fontId="40" fillId="0" borderId="0" xfId="0" applyFont="1" applyAlignment="1">
      <alignment/>
    </xf>
    <xf numFmtId="0" fontId="4" fillId="25" borderId="57" xfId="0" applyFont="1" applyFill="1" applyBorder="1" applyAlignment="1">
      <alignment horizontal="center"/>
    </xf>
    <xf numFmtId="0" fontId="4" fillId="25" borderId="59" xfId="0" applyFont="1" applyFill="1" applyBorder="1" applyAlignment="1">
      <alignment/>
    </xf>
    <xf numFmtId="3" fontId="4" fillId="25" borderId="59" xfId="0" applyNumberFormat="1" applyFont="1" applyFill="1" applyBorder="1" applyAlignment="1">
      <alignment/>
    </xf>
    <xf numFmtId="9" fontId="4" fillId="25" borderId="60" xfId="72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3" fontId="0" fillId="0" borderId="73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3" fontId="0" fillId="0" borderId="74" xfId="0" applyNumberFormat="1" applyFont="1" applyFill="1" applyBorder="1" applyAlignment="1">
      <alignment/>
    </xf>
    <xf numFmtId="0" fontId="0" fillId="0" borderId="7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49" xfId="0" applyFont="1" applyBorder="1" applyAlignment="1">
      <alignment/>
    </xf>
    <xf numFmtId="3" fontId="39" fillId="0" borderId="49" xfId="0" applyNumberFormat="1" applyFont="1" applyBorder="1" applyAlignment="1">
      <alignment/>
    </xf>
    <xf numFmtId="9" fontId="39" fillId="0" borderId="39" xfId="72" applyFont="1" applyBorder="1" applyAlignment="1">
      <alignment/>
    </xf>
    <xf numFmtId="0" fontId="39" fillId="0" borderId="0" xfId="0" applyFont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56" xfId="0" applyFont="1" applyBorder="1" applyAlignment="1">
      <alignment/>
    </xf>
    <xf numFmtId="0" fontId="41" fillId="0" borderId="49" xfId="0" applyFont="1" applyBorder="1" applyAlignment="1">
      <alignment vertical="top" wrapText="1"/>
    </xf>
    <xf numFmtId="0" fontId="42" fillId="0" borderId="4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3" fontId="43" fillId="0" borderId="49" xfId="0" applyNumberFormat="1" applyFont="1" applyBorder="1" applyAlignment="1">
      <alignment horizontal="right" vertical="top" wrapText="1"/>
    </xf>
    <xf numFmtId="3" fontId="44" fillId="0" borderId="49" xfId="0" applyNumberFormat="1" applyFont="1" applyBorder="1" applyAlignment="1">
      <alignment horizontal="right" vertical="top" wrapText="1"/>
    </xf>
    <xf numFmtId="3" fontId="41" fillId="0" borderId="49" xfId="0" applyNumberFormat="1" applyFont="1" applyBorder="1" applyAlignment="1">
      <alignment horizontal="right" vertical="top" wrapText="1"/>
    </xf>
    <xf numFmtId="3" fontId="41" fillId="0" borderId="49" xfId="0" applyNumberFormat="1" applyFont="1" applyBorder="1" applyAlignment="1">
      <alignment vertical="top" wrapText="1"/>
    </xf>
    <xf numFmtId="3" fontId="44" fillId="0" borderId="49" xfId="0" applyNumberFormat="1" applyFont="1" applyFill="1" applyBorder="1" applyAlignment="1">
      <alignment horizontal="right" vertical="top" wrapText="1"/>
    </xf>
    <xf numFmtId="3" fontId="45" fillId="0" borderId="49" xfId="0" applyNumberFormat="1" applyFont="1" applyBorder="1" applyAlignment="1">
      <alignment horizontal="right" vertical="top" wrapText="1"/>
    </xf>
    <xf numFmtId="3" fontId="42" fillId="0" borderId="49" xfId="0" applyNumberFormat="1" applyFont="1" applyBorder="1" applyAlignment="1">
      <alignment horizontal="right" vertical="top" wrapText="1"/>
    </xf>
    <xf numFmtId="0" fontId="41" fillId="0" borderId="64" xfId="0" applyFont="1" applyBorder="1" applyAlignment="1">
      <alignment vertical="top" wrapText="1"/>
    </xf>
    <xf numFmtId="0" fontId="41" fillId="0" borderId="46" xfId="0" applyFont="1" applyBorder="1" applyAlignment="1">
      <alignment vertical="top" wrapText="1"/>
    </xf>
    <xf numFmtId="3" fontId="45" fillId="0" borderId="49" xfId="0" applyNumberFormat="1" applyFont="1" applyBorder="1" applyAlignment="1">
      <alignment vertical="top" wrapText="1"/>
    </xf>
    <xf numFmtId="3" fontId="45" fillId="0" borderId="49" xfId="0" applyNumberFormat="1" applyFont="1" applyBorder="1" applyAlignment="1">
      <alignment horizontal="right" vertical="top" wrapText="1"/>
    </xf>
    <xf numFmtId="0" fontId="41" fillId="0" borderId="76" xfId="0" applyFont="1" applyBorder="1" applyAlignment="1">
      <alignment vertical="top" wrapText="1"/>
    </xf>
    <xf numFmtId="3" fontId="41" fillId="0" borderId="76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top" wrapText="1"/>
    </xf>
    <xf numFmtId="3" fontId="41" fillId="0" borderId="0" xfId="0" applyNumberFormat="1" applyFont="1" applyBorder="1" applyAlignment="1">
      <alignment horizontal="right" vertical="top" wrapText="1"/>
    </xf>
    <xf numFmtId="0" fontId="41" fillId="0" borderId="52" xfId="0" applyFont="1" applyBorder="1" applyAlignment="1">
      <alignment vertical="top" wrapText="1"/>
    </xf>
    <xf numFmtId="3" fontId="41" fillId="0" borderId="52" xfId="0" applyNumberFormat="1" applyFont="1" applyBorder="1" applyAlignment="1">
      <alignment horizontal="right" vertical="top" wrapText="1"/>
    </xf>
    <xf numFmtId="0" fontId="41" fillId="0" borderId="49" xfId="0" applyFont="1" applyBorder="1" applyAlignment="1">
      <alignment horizontal="left" vertical="top" wrapText="1" indent="1"/>
    </xf>
    <xf numFmtId="0" fontId="41" fillId="0" borderId="49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4" fillId="25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170" fontId="0" fillId="0" borderId="13" xfId="4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170" fontId="0" fillId="0" borderId="15" xfId="40" applyNumberFormat="1" applyFont="1" applyFill="1" applyBorder="1" applyAlignment="1">
      <alignment/>
    </xf>
    <xf numFmtId="0" fontId="4" fillId="24" borderId="22" xfId="0" applyFont="1" applyFill="1" applyBorder="1" applyAlignment="1">
      <alignment horizontal="center"/>
    </xf>
    <xf numFmtId="0" fontId="4" fillId="24" borderId="21" xfId="0" applyFont="1" applyFill="1" applyBorder="1" applyAlignment="1">
      <alignment/>
    </xf>
    <xf numFmtId="3" fontId="4" fillId="24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7" xfId="0" applyFont="1" applyFill="1" applyBorder="1" applyAlignment="1">
      <alignment horizontal="center"/>
    </xf>
    <xf numFmtId="3" fontId="4" fillId="0" borderId="59" xfId="0" applyNumberFormat="1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78" xfId="0" applyFont="1" applyFill="1" applyBorder="1" applyAlignment="1">
      <alignment horizontal="left"/>
    </xf>
    <xf numFmtId="3" fontId="4" fillId="0" borderId="4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4" fillId="0" borderId="49" xfId="0" applyNumberFormat="1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170" fontId="4" fillId="0" borderId="38" xfId="40" applyNumberFormat="1" applyFont="1" applyFill="1" applyBorder="1" applyAlignment="1">
      <alignment/>
    </xf>
    <xf numFmtId="3" fontId="1" fillId="27" borderId="17" xfId="0" applyNumberFormat="1" applyFont="1" applyFill="1" applyBorder="1" applyAlignment="1">
      <alignment horizontal="right"/>
    </xf>
    <xf numFmtId="9" fontId="1" fillId="27" borderId="17" xfId="72" applyFont="1" applyFill="1" applyBorder="1" applyAlignment="1">
      <alignment horizontal="right"/>
    </xf>
    <xf numFmtId="3" fontId="14" fillId="27" borderId="23" xfId="0" applyNumberFormat="1" applyFont="1" applyFill="1" applyBorder="1" applyAlignment="1">
      <alignment/>
    </xf>
    <xf numFmtId="9" fontId="14" fillId="27" borderId="23" xfId="72" applyFont="1" applyFill="1" applyBorder="1" applyAlignment="1">
      <alignment/>
    </xf>
    <xf numFmtId="3" fontId="1" fillId="27" borderId="13" xfId="0" applyNumberFormat="1" applyFont="1" applyFill="1" applyBorder="1" applyAlignment="1">
      <alignment horizontal="right"/>
    </xf>
    <xf numFmtId="9" fontId="1" fillId="27" borderId="13" xfId="72" applyFont="1" applyFill="1" applyBorder="1" applyAlignment="1">
      <alignment horizontal="right"/>
    </xf>
    <xf numFmtId="3" fontId="1" fillId="27" borderId="25" xfId="0" applyNumberFormat="1" applyFont="1" applyFill="1" applyBorder="1" applyAlignment="1">
      <alignment horizontal="right"/>
    </xf>
    <xf numFmtId="9" fontId="1" fillId="27" borderId="25" xfId="72" applyFont="1" applyFill="1" applyBorder="1" applyAlignment="1">
      <alignment horizontal="right"/>
    </xf>
    <xf numFmtId="3" fontId="1" fillId="27" borderId="14" xfId="0" applyNumberFormat="1" applyFont="1" applyFill="1" applyBorder="1" applyAlignment="1">
      <alignment horizontal="right"/>
    </xf>
    <xf numFmtId="9" fontId="1" fillId="27" borderId="14" xfId="72" applyFont="1" applyFill="1" applyBorder="1" applyAlignment="1">
      <alignment horizontal="right"/>
    </xf>
    <xf numFmtId="3" fontId="1" fillId="27" borderId="16" xfId="0" applyNumberFormat="1" applyFont="1" applyFill="1" applyBorder="1" applyAlignment="1">
      <alignment/>
    </xf>
    <xf numFmtId="9" fontId="1" fillId="27" borderId="16" xfId="72" applyFont="1" applyFill="1" applyBorder="1" applyAlignment="1">
      <alignment/>
    </xf>
    <xf numFmtId="3" fontId="1" fillId="27" borderId="14" xfId="0" applyNumberFormat="1" applyFont="1" applyFill="1" applyBorder="1" applyAlignment="1">
      <alignment/>
    </xf>
    <xf numFmtId="9" fontId="1" fillId="27" borderId="14" xfId="72" applyFont="1" applyFill="1" applyBorder="1" applyAlignment="1">
      <alignment/>
    </xf>
    <xf numFmtId="3" fontId="1" fillId="27" borderId="17" xfId="0" applyNumberFormat="1" applyFont="1" applyFill="1" applyBorder="1" applyAlignment="1">
      <alignment/>
    </xf>
    <xf numFmtId="9" fontId="1" fillId="27" borderId="17" xfId="72" applyFont="1" applyFill="1" applyBorder="1" applyAlignment="1">
      <alignment/>
    </xf>
    <xf numFmtId="3" fontId="1" fillId="27" borderId="13" xfId="0" applyNumberFormat="1" applyFont="1" applyFill="1" applyBorder="1" applyAlignment="1">
      <alignment/>
    </xf>
    <xf numFmtId="9" fontId="1" fillId="27" borderId="13" xfId="72" applyFont="1" applyFill="1" applyBorder="1" applyAlignment="1">
      <alignment/>
    </xf>
    <xf numFmtId="3" fontId="1" fillId="27" borderId="14" xfId="0" applyNumberFormat="1" applyFont="1" applyFill="1" applyBorder="1" applyAlignment="1">
      <alignment/>
    </xf>
    <xf numFmtId="9" fontId="1" fillId="27" borderId="14" xfId="72" applyFont="1" applyFill="1" applyBorder="1" applyAlignment="1">
      <alignment/>
    </xf>
    <xf numFmtId="3" fontId="14" fillId="27" borderId="21" xfId="0" applyNumberFormat="1" applyFont="1" applyFill="1" applyBorder="1" applyAlignment="1">
      <alignment/>
    </xf>
    <xf numFmtId="9" fontId="14" fillId="27" borderId="21" xfId="72" applyFont="1" applyFill="1" applyBorder="1" applyAlignment="1">
      <alignment/>
    </xf>
    <xf numFmtId="0" fontId="14" fillId="27" borderId="15" xfId="0" applyFont="1" applyFill="1" applyBorder="1" applyAlignment="1">
      <alignment/>
    </xf>
    <xf numFmtId="9" fontId="14" fillId="27" borderId="15" xfId="72" applyFont="1" applyFill="1" applyBorder="1" applyAlignment="1">
      <alignment/>
    </xf>
    <xf numFmtId="3" fontId="14" fillId="27" borderId="17" xfId="0" applyNumberFormat="1" applyFont="1" applyFill="1" applyBorder="1" applyAlignment="1">
      <alignment horizontal="right"/>
    </xf>
    <xf numFmtId="9" fontId="14" fillId="27" borderId="17" xfId="72" applyFont="1" applyFill="1" applyBorder="1" applyAlignment="1">
      <alignment horizontal="right"/>
    </xf>
    <xf numFmtId="3" fontId="14" fillId="27" borderId="14" xfId="0" applyNumberFormat="1" applyFont="1" applyFill="1" applyBorder="1" applyAlignment="1">
      <alignment horizontal="right"/>
    </xf>
    <xf numFmtId="9" fontId="14" fillId="27" borderId="14" xfId="72" applyFont="1" applyFill="1" applyBorder="1" applyAlignment="1">
      <alignment horizontal="right"/>
    </xf>
    <xf numFmtId="3" fontId="14" fillId="27" borderId="13" xfId="0" applyNumberFormat="1" applyFont="1" applyFill="1" applyBorder="1" applyAlignment="1">
      <alignment horizontal="right"/>
    </xf>
    <xf numFmtId="9" fontId="14" fillId="27" borderId="13" xfId="72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4" fillId="27" borderId="34" xfId="0" applyNumberFormat="1" applyFont="1" applyFill="1" applyBorder="1" applyAlignment="1">
      <alignment horizontal="right"/>
    </xf>
    <xf numFmtId="3" fontId="1" fillId="27" borderId="35" xfId="0" applyNumberFormat="1" applyFont="1" applyFill="1" applyBorder="1" applyAlignment="1">
      <alignment horizontal="right"/>
    </xf>
    <xf numFmtId="9" fontId="1" fillId="27" borderId="35" xfId="72" applyFont="1" applyFill="1" applyBorder="1" applyAlignment="1">
      <alignment horizontal="right"/>
    </xf>
    <xf numFmtId="9" fontId="14" fillId="27" borderId="34" xfId="72" applyFont="1" applyFill="1" applyBorder="1" applyAlignment="1">
      <alignment horizontal="right"/>
    </xf>
    <xf numFmtId="3" fontId="0" fillId="27" borderId="49" xfId="0" applyNumberFormat="1" applyFont="1" applyFill="1" applyBorder="1" applyAlignment="1">
      <alignment/>
    </xf>
    <xf numFmtId="9" fontId="0" fillId="27" borderId="39" xfId="72" applyFont="1" applyFill="1" applyBorder="1" applyAlignment="1">
      <alignment/>
    </xf>
    <xf numFmtId="3" fontId="0" fillId="27" borderId="64" xfId="0" applyNumberFormat="1" applyFont="1" applyFill="1" applyBorder="1" applyAlignment="1">
      <alignment/>
    </xf>
    <xf numFmtId="9" fontId="0" fillId="27" borderId="38" xfId="72" applyFont="1" applyFill="1" applyBorder="1" applyAlignment="1">
      <alignment/>
    </xf>
    <xf numFmtId="3" fontId="0" fillId="27" borderId="69" xfId="0" applyNumberFormat="1" applyFont="1" applyFill="1" applyBorder="1" applyAlignment="1">
      <alignment/>
    </xf>
    <xf numFmtId="9" fontId="0" fillId="27" borderId="70" xfId="72" applyFont="1" applyFill="1" applyBorder="1" applyAlignment="1">
      <alignment/>
    </xf>
    <xf numFmtId="3" fontId="4" fillId="27" borderId="46" xfId="0" applyNumberFormat="1" applyFont="1" applyFill="1" applyBorder="1" applyAlignment="1">
      <alignment/>
    </xf>
    <xf numFmtId="9" fontId="4" fillId="27" borderId="47" xfId="72" applyFont="1" applyFill="1" applyBorder="1" applyAlignment="1">
      <alignment/>
    </xf>
    <xf numFmtId="3" fontId="4" fillId="27" borderId="72" xfId="0" applyNumberFormat="1" applyFont="1" applyFill="1" applyBorder="1" applyAlignment="1">
      <alignment/>
    </xf>
    <xf numFmtId="3" fontId="39" fillId="27" borderId="46" xfId="0" applyNumberFormat="1" applyFont="1" applyFill="1" applyBorder="1" applyAlignment="1">
      <alignment/>
    </xf>
    <xf numFmtId="9" fontId="39" fillId="27" borderId="47" xfId="72" applyFont="1" applyFill="1" applyBorder="1" applyAlignment="1">
      <alignment/>
    </xf>
    <xf numFmtId="3" fontId="4" fillId="0" borderId="29" xfId="0" applyNumberFormat="1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41" fillId="0" borderId="49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EK\2012.%20&#233;vi%20K&#246;lts&#233;gvet&#233;s\V&#201;GLEGES\PolgHiv_k&#246;lts&#233;gvet&#233;s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Intézményösszesítő"/>
      <sheetName val="2.sz. Szakfeladat összesítő"/>
      <sheetName val="3.sz. mell.100-3700001"/>
      <sheetName val="3.sz. mell.100-4211001"/>
      <sheetName val="3.sz. mell.100-3811031"/>
      <sheetName val="3.sz. mell.100-4221001"/>
      <sheetName val="3.sz. mell.100-5221101"/>
      <sheetName val="3.sz. mell.100-6820011"/>
      <sheetName val="3.sz. mell.100-6820021"/>
      <sheetName val="3.sz. mell.100-8411261"/>
      <sheetName val="3.sz. mell.100-8412251"/>
      <sheetName val="3.sz. mell.100-8411275"/>
      <sheetName val="3.sz. mell.100-8414021"/>
      <sheetName val="3.sz. mell.100-8414031"/>
      <sheetName val="3.sz. mell.100-8424211"/>
      <sheetName val="3.sz. mell.100-8411541"/>
      <sheetName val="3.sz. mell.100-8411121"/>
      <sheetName val="3.sz. mell.100-8690411"/>
      <sheetName val="3.sz. mell.100-8690425"/>
      <sheetName val="3.sz. mell.100-8821225"/>
      <sheetName val="3.sz. mell.100-8892011"/>
      <sheetName val="3.sz. mell.100-8899221"/>
      <sheetName val="3.sz. mell.100-8899231"/>
      <sheetName val="3.sz. mell.100-8899241"/>
      <sheetName val="3.sz. mell.100-pe-átadás"/>
      <sheetName val="3.sz. mell.100-8904411"/>
      <sheetName val="3.sz. mell.100-9312065"/>
      <sheetName val="3.sz. mell.100-8891011"/>
      <sheetName val="3.sz. mell.100-9603021"/>
      <sheetName val="3.sz. mell.100-882szociális-ÖNK"/>
      <sheetName val="3.sz. mell.100-8419019"/>
      <sheetName val="3.sz. mell.100-882szociális-PH"/>
    </sheetNames>
    <sheetDataSet>
      <sheetData sheetId="1">
        <row r="301">
          <cell r="AJ301">
            <v>1000</v>
          </cell>
        </row>
        <row r="302">
          <cell r="AJ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T40"/>
  <sheetViews>
    <sheetView zoomScale="90" zoomScaleNormal="90" zoomScalePageLayoutView="0" workbookViewId="0" topLeftCell="A19">
      <selection activeCell="X10" sqref="X10"/>
    </sheetView>
  </sheetViews>
  <sheetFormatPr defaultColWidth="9.140625" defaultRowHeight="12.75"/>
  <cols>
    <col min="1" max="1" width="5.57421875" style="0" customWidth="1"/>
    <col min="2" max="2" width="31.7109375" style="0" bestFit="1" customWidth="1"/>
    <col min="3" max="3" width="13.28125" style="0" hidden="1" customWidth="1"/>
    <col min="4" max="4" width="15.00390625" style="0" customWidth="1"/>
    <col min="5" max="9" width="15.00390625" style="0" hidden="1" customWidth="1"/>
    <col min="10" max="10" width="15.00390625" style="271" hidden="1" customWidth="1"/>
    <col min="11" max="17" width="15.00390625" style="0" hidden="1" customWidth="1"/>
    <col min="18" max="18" width="18.7109375" style="0" bestFit="1" customWidth="1"/>
    <col min="19" max="20" width="15.00390625" style="0" customWidth="1"/>
  </cols>
  <sheetData>
    <row r="1" spans="1:20" ht="24">
      <c r="A1" s="156"/>
      <c r="B1" s="157"/>
      <c r="C1" s="194" t="s">
        <v>148</v>
      </c>
      <c r="D1" s="275" t="s">
        <v>460</v>
      </c>
      <c r="E1" s="195" t="s">
        <v>190</v>
      </c>
      <c r="F1" s="195" t="s">
        <v>191</v>
      </c>
      <c r="G1" s="195" t="s">
        <v>211</v>
      </c>
      <c r="H1" s="195" t="s">
        <v>214</v>
      </c>
      <c r="I1" s="195" t="s">
        <v>215</v>
      </c>
      <c r="J1" s="259" t="s">
        <v>216</v>
      </c>
      <c r="K1" s="195" t="s">
        <v>207</v>
      </c>
      <c r="L1" s="195" t="s">
        <v>208</v>
      </c>
      <c r="M1" s="195" t="s">
        <v>225</v>
      </c>
      <c r="N1" s="195" t="s">
        <v>226</v>
      </c>
      <c r="O1" s="195" t="s">
        <v>227</v>
      </c>
      <c r="P1" s="195" t="s">
        <v>228</v>
      </c>
      <c r="Q1" s="195" t="s">
        <v>234</v>
      </c>
      <c r="R1" s="275" t="s">
        <v>461</v>
      </c>
      <c r="S1" s="195" t="s">
        <v>236</v>
      </c>
      <c r="T1" s="195" t="s">
        <v>236</v>
      </c>
    </row>
    <row r="2" spans="1:20" ht="42" customHeight="1" thickBot="1">
      <c r="A2" s="158"/>
      <c r="B2" s="159" t="s">
        <v>7</v>
      </c>
      <c r="C2" s="159" t="s">
        <v>149</v>
      </c>
      <c r="D2" s="188" t="s">
        <v>150</v>
      </c>
      <c r="E2" s="188" t="s">
        <v>150</v>
      </c>
      <c r="F2" s="188" t="s">
        <v>150</v>
      </c>
      <c r="G2" s="188" t="s">
        <v>150</v>
      </c>
      <c r="H2" s="188" t="s">
        <v>150</v>
      </c>
      <c r="I2" s="188" t="s">
        <v>150</v>
      </c>
      <c r="J2" s="260" t="s">
        <v>150</v>
      </c>
      <c r="K2" s="188" t="s">
        <v>150</v>
      </c>
      <c r="L2" s="188" t="s">
        <v>150</v>
      </c>
      <c r="M2" s="188" t="s">
        <v>150</v>
      </c>
      <c r="N2" s="188" t="s">
        <v>150</v>
      </c>
      <c r="O2" s="188" t="s">
        <v>150</v>
      </c>
      <c r="P2" s="188" t="s">
        <v>150</v>
      </c>
      <c r="Q2" s="188" t="s">
        <v>150</v>
      </c>
      <c r="R2" s="188" t="s">
        <v>150</v>
      </c>
      <c r="S2" s="188" t="s">
        <v>150</v>
      </c>
      <c r="T2" s="188" t="s">
        <v>237</v>
      </c>
    </row>
    <row r="3" spans="1:20" ht="13.5" thickBot="1">
      <c r="A3" s="160">
        <v>2</v>
      </c>
      <c r="B3" s="184" t="s">
        <v>160</v>
      </c>
      <c r="C3" s="162">
        <f aca="true" t="shared" si="0" ref="C3:L3">SUM(C5:C8,C16:C20)</f>
        <v>0</v>
      </c>
      <c r="D3" s="163">
        <f t="shared" si="0"/>
        <v>178245</v>
      </c>
      <c r="E3" s="163">
        <f t="shared" si="0"/>
        <v>-18819</v>
      </c>
      <c r="F3" s="163">
        <f t="shared" si="0"/>
        <v>157194</v>
      </c>
      <c r="G3" s="163">
        <f>SUM(G5:G8,G16:G20)</f>
        <v>3461</v>
      </c>
      <c r="H3" s="163">
        <f>SUM(H5:H8,H16:H20)</f>
        <v>160655</v>
      </c>
      <c r="I3" s="163">
        <f>SUM(I5:I8,I16:I21)</f>
        <v>94924</v>
      </c>
      <c r="J3" s="261">
        <f>+I3/H3</f>
        <v>0.5908561825028789</v>
      </c>
      <c r="K3" s="163">
        <f t="shared" si="0"/>
        <v>-7732</v>
      </c>
      <c r="L3" s="163">
        <f t="shared" si="0"/>
        <v>152923</v>
      </c>
      <c r="M3" s="163">
        <f aca="true" t="shared" si="1" ref="M3:R3">SUM(M5:M8,M16:M20)</f>
        <v>-24840</v>
      </c>
      <c r="N3" s="163">
        <f t="shared" si="1"/>
        <v>128083</v>
      </c>
      <c r="O3" s="163">
        <f t="shared" si="1"/>
        <v>6052</v>
      </c>
      <c r="P3" s="163">
        <f t="shared" si="1"/>
        <v>134135</v>
      </c>
      <c r="Q3" s="163">
        <f t="shared" si="1"/>
        <v>-13309</v>
      </c>
      <c r="R3" s="163">
        <f t="shared" si="1"/>
        <v>183250</v>
      </c>
      <c r="S3" s="163">
        <f>SUM(S5:S8,S16:S20)+S21</f>
        <v>173159</v>
      </c>
      <c r="T3" s="261">
        <f aca="true" t="shared" si="2" ref="T3:T9">+S3/R3</f>
        <v>0.9449331514324693</v>
      </c>
    </row>
    <row r="4" spans="1:20" ht="47.25" customHeight="1" thickBot="1">
      <c r="A4" s="196"/>
      <c r="B4" s="197" t="s">
        <v>176</v>
      </c>
      <c r="C4" s="198">
        <f aca="true" t="shared" si="3" ref="C4:L4">+C3-C11-C9</f>
        <v>0</v>
      </c>
      <c r="D4" s="200">
        <f t="shared" si="3"/>
        <v>3524</v>
      </c>
      <c r="E4" s="200">
        <f t="shared" si="3"/>
        <v>0</v>
      </c>
      <c r="F4" s="200">
        <f t="shared" si="3"/>
        <v>1292</v>
      </c>
      <c r="G4" s="200">
        <f>+G3-G11-G9</f>
        <v>0</v>
      </c>
      <c r="H4" s="200">
        <f>+H3-H11-H9</f>
        <v>1292</v>
      </c>
      <c r="I4" s="200">
        <f>+I3-I11-I9</f>
        <v>1824</v>
      </c>
      <c r="J4" s="262">
        <f>+I4/H4</f>
        <v>1.411764705882353</v>
      </c>
      <c r="K4" s="200">
        <f t="shared" si="3"/>
        <v>-1837</v>
      </c>
      <c r="L4" s="200">
        <f t="shared" si="3"/>
        <v>-545</v>
      </c>
      <c r="M4" s="200">
        <f aca="true" t="shared" si="4" ref="M4:R4">+M3-M11-M9</f>
        <v>0</v>
      </c>
      <c r="N4" s="200">
        <f t="shared" si="4"/>
        <v>-545</v>
      </c>
      <c r="O4" s="200">
        <f t="shared" si="4"/>
        <v>100</v>
      </c>
      <c r="P4" s="200">
        <f t="shared" si="4"/>
        <v>-445</v>
      </c>
      <c r="Q4" s="200">
        <f t="shared" si="4"/>
        <v>966</v>
      </c>
      <c r="R4" s="200">
        <f t="shared" si="4"/>
        <v>9101</v>
      </c>
      <c r="S4" s="200">
        <f>+S3-S11-S9</f>
        <v>8839</v>
      </c>
      <c r="T4" s="262">
        <f t="shared" si="2"/>
        <v>0.9712119547302495</v>
      </c>
    </row>
    <row r="5" spans="1:20" ht="12.75">
      <c r="A5" s="164">
        <v>21</v>
      </c>
      <c r="B5" s="185" t="s">
        <v>8</v>
      </c>
      <c r="C5" s="165"/>
      <c r="D5" s="167">
        <f>+'2.sz.m.Bevételek'!C6</f>
        <v>2262</v>
      </c>
      <c r="E5" s="167">
        <f>+'2.sz.m.Bevételek'!D6</f>
        <v>0</v>
      </c>
      <c r="F5" s="167">
        <f>+'2.sz.m.Bevételek'!E6</f>
        <v>30</v>
      </c>
      <c r="G5" s="167">
        <f>+'2.sz.m.Bevételek'!F6</f>
        <v>0</v>
      </c>
      <c r="H5" s="167">
        <f>+'2.sz.m.Bevételek'!G6</f>
        <v>30</v>
      </c>
      <c r="I5" s="167">
        <f>+'2.sz.m.Bevételek'!H6</f>
        <v>0</v>
      </c>
      <c r="J5" s="263">
        <f>+I5/H5</f>
        <v>0</v>
      </c>
      <c r="K5" s="167">
        <f>+'2.sz.m.Bevételek'!J6</f>
        <v>0</v>
      </c>
      <c r="L5" s="167">
        <f>+'2.sz.m.Bevételek'!K6</f>
        <v>30</v>
      </c>
      <c r="M5" s="167">
        <f>+'2.sz.m.Bevételek'!L6</f>
        <v>0</v>
      </c>
      <c r="N5" s="167">
        <f>+'2.sz.m.Bevételek'!M6</f>
        <v>30</v>
      </c>
      <c r="O5" s="167">
        <f>+'2.sz.m.Bevételek'!N6</f>
        <v>0</v>
      </c>
      <c r="P5" s="167">
        <f>+'2.sz.m.Bevételek'!O6</f>
        <v>30</v>
      </c>
      <c r="Q5" s="167">
        <f>+'2.sz.m.Bevételek'!P6</f>
        <v>410</v>
      </c>
      <c r="R5" s="167">
        <f>+'2.sz.m.Bevételek'!Q6</f>
        <v>3629</v>
      </c>
      <c r="S5" s="167">
        <f>+'2.sz.m.Bevételek'!R6</f>
        <v>3391</v>
      </c>
      <c r="T5" s="263">
        <f t="shared" si="2"/>
        <v>0.9344171948195095</v>
      </c>
    </row>
    <row r="6" spans="1:20" ht="12.75">
      <c r="A6" s="168">
        <v>22</v>
      </c>
      <c r="B6" s="169" t="s">
        <v>161</v>
      </c>
      <c r="C6" s="170"/>
      <c r="D6" s="167">
        <f>+'2.sz.m.Bevételek'!C22</f>
        <v>1262</v>
      </c>
      <c r="E6" s="167">
        <f>+'2.sz.m.Bevételek'!D22</f>
        <v>0</v>
      </c>
      <c r="F6" s="167">
        <f>+'2.sz.m.Bevételek'!E22</f>
        <v>1262</v>
      </c>
      <c r="G6" s="167">
        <f>+'2.sz.m.Bevételek'!F22</f>
        <v>0</v>
      </c>
      <c r="H6" s="167">
        <f>+'2.sz.m.Bevételek'!G22</f>
        <v>1262</v>
      </c>
      <c r="I6" s="167">
        <f>+'2.sz.m.Bevételek'!H22</f>
        <v>1679</v>
      </c>
      <c r="J6" s="263">
        <f>+I6/H6</f>
        <v>1.3304278922345483</v>
      </c>
      <c r="K6" s="167">
        <f>+'2.sz.m.Bevételek'!J22</f>
        <v>-1837</v>
      </c>
      <c r="L6" s="167">
        <f>+'2.sz.m.Bevételek'!K22</f>
        <v>-575</v>
      </c>
      <c r="M6" s="167">
        <f>+'2.sz.m.Bevételek'!L22</f>
        <v>0</v>
      </c>
      <c r="N6" s="167">
        <f>+'2.sz.m.Bevételek'!M22</f>
        <v>-575</v>
      </c>
      <c r="O6" s="167">
        <f>+'2.sz.m.Bevételek'!N22</f>
        <v>0</v>
      </c>
      <c r="P6" s="167">
        <f>+'2.sz.m.Bevételek'!O22</f>
        <v>-575</v>
      </c>
      <c r="Q6" s="167">
        <f>+'2.sz.m.Bevételek'!P22</f>
        <v>480</v>
      </c>
      <c r="R6" s="167">
        <f>+'2.sz.m.Bevételek'!Q22</f>
        <v>5432</v>
      </c>
      <c r="S6" s="167">
        <f>+'2.sz.m.Bevételek'!R22</f>
        <v>4272</v>
      </c>
      <c r="T6" s="263">
        <f t="shared" si="2"/>
        <v>0.7864506627393225</v>
      </c>
    </row>
    <row r="7" spans="1:20" ht="12.75">
      <c r="A7" s="168">
        <v>23</v>
      </c>
      <c r="B7" s="169" t="s">
        <v>132</v>
      </c>
      <c r="C7" s="170"/>
      <c r="D7" s="167"/>
      <c r="E7" s="167"/>
      <c r="F7" s="167"/>
      <c r="G7" s="167"/>
      <c r="H7" s="167"/>
      <c r="I7" s="167"/>
      <c r="J7" s="263"/>
      <c r="K7" s="167"/>
      <c r="L7" s="167"/>
      <c r="M7" s="167"/>
      <c r="N7" s="167"/>
      <c r="O7" s="167">
        <f>+'2.sz.m.Bevételek'!N52</f>
        <v>100</v>
      </c>
      <c r="P7" s="167">
        <f>+'2.sz.m.Bevételek'!O52</f>
        <v>100</v>
      </c>
      <c r="Q7" s="167"/>
      <c r="R7" s="167">
        <f>+'2.sz.m.Bevételek'!Q52</f>
        <v>40</v>
      </c>
      <c r="S7" s="167">
        <f>+'2.sz.m.Bevételek'!R52</f>
        <v>39</v>
      </c>
      <c r="T7" s="263">
        <f t="shared" si="2"/>
        <v>0.975</v>
      </c>
    </row>
    <row r="8" spans="1:20" ht="12.75">
      <c r="A8" s="186">
        <v>24</v>
      </c>
      <c r="B8" s="171" t="s">
        <v>162</v>
      </c>
      <c r="C8" s="170">
        <f aca="true" t="shared" si="5" ref="C8:L8">SUM(C9:C14)</f>
        <v>0</v>
      </c>
      <c r="D8" s="172">
        <f t="shared" si="5"/>
        <v>174721</v>
      </c>
      <c r="E8" s="172">
        <f t="shared" si="5"/>
        <v>-18819</v>
      </c>
      <c r="F8" s="172">
        <f t="shared" si="5"/>
        <v>155902</v>
      </c>
      <c r="G8" s="172">
        <f>SUM(G9:G14)</f>
        <v>3461</v>
      </c>
      <c r="H8" s="172">
        <f>SUM(H9:H14)</f>
        <v>159363</v>
      </c>
      <c r="I8" s="172">
        <f>SUM(I9:I14)</f>
        <v>93176</v>
      </c>
      <c r="J8" s="264">
        <f>+I8/H8</f>
        <v>0.5846777482853611</v>
      </c>
      <c r="K8" s="172">
        <f t="shared" si="5"/>
        <v>-5895</v>
      </c>
      <c r="L8" s="172">
        <f t="shared" si="5"/>
        <v>153468</v>
      </c>
      <c r="M8" s="172">
        <f aca="true" t="shared" si="6" ref="M8:R8">SUM(M9:M14)</f>
        <v>-24840</v>
      </c>
      <c r="N8" s="172">
        <f t="shared" si="6"/>
        <v>128628</v>
      </c>
      <c r="O8" s="172">
        <f t="shared" si="6"/>
        <v>5952</v>
      </c>
      <c r="P8" s="172">
        <f t="shared" si="6"/>
        <v>134580</v>
      </c>
      <c r="Q8" s="172">
        <f t="shared" si="6"/>
        <v>-14199</v>
      </c>
      <c r="R8" s="172">
        <f t="shared" si="6"/>
        <v>174149</v>
      </c>
      <c r="S8" s="172">
        <f>SUM(S9:S14)</f>
        <v>164320</v>
      </c>
      <c r="T8" s="264">
        <f t="shared" si="2"/>
        <v>0.9435598252071502</v>
      </c>
    </row>
    <row r="9" spans="1:20" ht="12.75">
      <c r="A9" s="187">
        <v>241</v>
      </c>
      <c r="B9" s="175" t="s">
        <v>186</v>
      </c>
      <c r="C9" s="176"/>
      <c r="D9" s="179">
        <f>+'2.sz.m.Bevételek'!C39</f>
        <v>78789</v>
      </c>
      <c r="E9" s="179">
        <f>+'2.sz.m.Bevételek'!D39</f>
        <v>0</v>
      </c>
      <c r="F9" s="179">
        <f>+'2.sz.m.Bevételek'!E39</f>
        <v>78789</v>
      </c>
      <c r="G9" s="179">
        <f>+'2.sz.m.Bevételek'!F39</f>
        <v>0</v>
      </c>
      <c r="H9" s="179">
        <f>+'2.sz.m.Bevételek'!G39</f>
        <v>78789</v>
      </c>
      <c r="I9" s="179">
        <f>+'2.sz.m.Bevételek'!H39</f>
        <v>93100</v>
      </c>
      <c r="J9" s="265">
        <f>+I9/H9</f>
        <v>1.18163703054995</v>
      </c>
      <c r="K9" s="179">
        <f>+'2.sz.m.Bevételek'!J39</f>
        <v>0</v>
      </c>
      <c r="L9" s="179">
        <f>+'2.sz.m.Bevételek'!K39</f>
        <v>78789</v>
      </c>
      <c r="M9" s="179">
        <f>+'2.sz.m.Bevételek'!L39</f>
        <v>0</v>
      </c>
      <c r="N9" s="179">
        <f>+'2.sz.m.Bevételek'!M39</f>
        <v>78789</v>
      </c>
      <c r="O9" s="179">
        <f>+'2.sz.m.Bevételek'!N39</f>
        <v>0</v>
      </c>
      <c r="P9" s="179">
        <f>+'2.sz.m.Bevételek'!O39</f>
        <v>78789</v>
      </c>
      <c r="Q9" s="179">
        <f>+'2.sz.m.Bevételek'!P39</f>
        <v>-14275</v>
      </c>
      <c r="R9" s="179">
        <f>+'2.sz.m.Bevételek'!Q39</f>
        <v>75070</v>
      </c>
      <c r="S9" s="179">
        <f>+'2.sz.m.Bevételek'!R39</f>
        <v>75070</v>
      </c>
      <c r="T9" s="265">
        <f t="shared" si="2"/>
        <v>1</v>
      </c>
    </row>
    <row r="10" spans="1:20" ht="12.75">
      <c r="A10" s="187">
        <v>242</v>
      </c>
      <c r="B10" s="175" t="s">
        <v>36</v>
      </c>
      <c r="C10" s="176"/>
      <c r="D10" s="179"/>
      <c r="E10" s="179"/>
      <c r="F10" s="179"/>
      <c r="G10" s="179"/>
      <c r="H10" s="179"/>
      <c r="I10" s="179"/>
      <c r="J10" s="265"/>
      <c r="K10" s="179"/>
      <c r="L10" s="179"/>
      <c r="M10" s="179"/>
      <c r="N10" s="179"/>
      <c r="O10" s="179"/>
      <c r="P10" s="179"/>
      <c r="Q10" s="179"/>
      <c r="R10" s="179"/>
      <c r="S10" s="179"/>
      <c r="T10" s="265"/>
    </row>
    <row r="11" spans="1:20" ht="12.75">
      <c r="A11" s="174">
        <v>243</v>
      </c>
      <c r="B11" s="210" t="s">
        <v>154</v>
      </c>
      <c r="C11" s="211"/>
      <c r="D11" s="212">
        <f>+'2.sz.m.Bevételek'!C40</f>
        <v>95932</v>
      </c>
      <c r="E11" s="212">
        <f>+'2.sz.m.Bevételek'!D40</f>
        <v>-18819</v>
      </c>
      <c r="F11" s="212">
        <f>+'2.sz.m.Bevételek'!E40</f>
        <v>77113</v>
      </c>
      <c r="G11" s="212">
        <f>+'2.sz.m.Bevételek'!F40</f>
        <v>3461</v>
      </c>
      <c r="H11" s="212">
        <f>+'2.sz.m.Bevételek'!G40</f>
        <v>80574</v>
      </c>
      <c r="I11" s="212">
        <f>+'2.sz.m.Bevételek'!H40</f>
        <v>0</v>
      </c>
      <c r="J11" s="266">
        <f>+I11/H11</f>
        <v>0</v>
      </c>
      <c r="K11" s="212">
        <f>+'2.sz.m.Bevételek'!J40</f>
        <v>-5895</v>
      </c>
      <c r="L11" s="212">
        <f>+'2.sz.m.Bevételek'!K40</f>
        <v>74679</v>
      </c>
      <c r="M11" s="212">
        <f>+'2.sz.m.Bevételek'!L40</f>
        <v>-24840</v>
      </c>
      <c r="N11" s="212">
        <f>+'2.sz.m.Bevételek'!M40</f>
        <v>49839</v>
      </c>
      <c r="O11" s="212">
        <f>+'2.sz.m.Bevételek'!N40</f>
        <v>5952</v>
      </c>
      <c r="P11" s="212">
        <f>+'2.sz.m.Bevételek'!O40</f>
        <v>55791</v>
      </c>
      <c r="Q11" s="212">
        <f>+'2.sz.m.Bevételek'!P40</f>
        <v>0</v>
      </c>
      <c r="R11" s="212">
        <f>+'2.sz.m.Bevételek'!Q40</f>
        <v>99079</v>
      </c>
      <c r="S11" s="212">
        <f>+'2.sz.m.Bevételek'!R40</f>
        <v>89250</v>
      </c>
      <c r="T11" s="266">
        <f>+S11/R11</f>
        <v>0.900796334238335</v>
      </c>
    </row>
    <row r="12" spans="1:20" ht="12.75">
      <c r="A12" s="187">
        <v>244</v>
      </c>
      <c r="B12" s="175" t="s">
        <v>185</v>
      </c>
      <c r="C12" s="178"/>
      <c r="D12" s="179"/>
      <c r="E12" s="179"/>
      <c r="F12" s="179"/>
      <c r="G12" s="179"/>
      <c r="H12" s="179"/>
      <c r="I12" s="179">
        <f>+'2.sz.m.Bevételek'!H37</f>
        <v>76</v>
      </c>
      <c r="J12" s="265"/>
      <c r="K12" s="179"/>
      <c r="L12" s="179"/>
      <c r="M12" s="179"/>
      <c r="N12" s="179"/>
      <c r="O12" s="179"/>
      <c r="P12" s="179"/>
      <c r="Q12" s="179">
        <f>+'2.sz.m.Bevételek'!P37</f>
        <v>76</v>
      </c>
      <c r="R12" s="179">
        <f>+'2.sz.m.Bevételek'!Q37</f>
        <v>0</v>
      </c>
      <c r="S12" s="179">
        <f>+'2.sz.m.Bevételek'!R37</f>
        <v>0</v>
      </c>
      <c r="T12" s="265"/>
    </row>
    <row r="13" spans="1:20" ht="12.75">
      <c r="A13" s="187">
        <v>245</v>
      </c>
      <c r="B13" s="175" t="s">
        <v>163</v>
      </c>
      <c r="C13" s="176"/>
      <c r="D13" s="179"/>
      <c r="E13" s="179"/>
      <c r="F13" s="179"/>
      <c r="G13" s="179"/>
      <c r="H13" s="179"/>
      <c r="I13" s="179"/>
      <c r="J13" s="265"/>
      <c r="K13" s="179"/>
      <c r="L13" s="179"/>
      <c r="M13" s="179"/>
      <c r="N13" s="179"/>
      <c r="O13" s="179"/>
      <c r="P13" s="179"/>
      <c r="Q13" s="179"/>
      <c r="R13" s="179"/>
      <c r="S13" s="179"/>
      <c r="T13" s="265"/>
    </row>
    <row r="14" spans="1:20" ht="12.75">
      <c r="A14" s="180">
        <v>246</v>
      </c>
      <c r="B14" s="175" t="s">
        <v>164</v>
      </c>
      <c r="C14" s="176"/>
      <c r="D14" s="190"/>
      <c r="E14" s="190"/>
      <c r="F14" s="190"/>
      <c r="G14" s="190"/>
      <c r="H14" s="190"/>
      <c r="I14" s="190"/>
      <c r="J14" s="267"/>
      <c r="K14" s="190"/>
      <c r="L14" s="190"/>
      <c r="M14" s="190"/>
      <c r="N14" s="190"/>
      <c r="O14" s="190"/>
      <c r="P14" s="190"/>
      <c r="Q14" s="190"/>
      <c r="R14" s="190"/>
      <c r="S14" s="190"/>
      <c r="T14" s="267"/>
    </row>
    <row r="15" spans="1:20" ht="12.75">
      <c r="A15" s="180">
        <v>25</v>
      </c>
      <c r="B15" s="175" t="s">
        <v>140</v>
      </c>
      <c r="C15" s="176"/>
      <c r="D15" s="190"/>
      <c r="E15" s="190"/>
      <c r="F15" s="190"/>
      <c r="G15" s="190"/>
      <c r="H15" s="190"/>
      <c r="I15" s="190"/>
      <c r="J15" s="267"/>
      <c r="K15" s="190"/>
      <c r="L15" s="190"/>
      <c r="M15" s="190"/>
      <c r="N15" s="190"/>
      <c r="O15" s="190"/>
      <c r="P15" s="190"/>
      <c r="Q15" s="190"/>
      <c r="R15" s="190"/>
      <c r="S15" s="190"/>
      <c r="T15" s="267"/>
    </row>
    <row r="16" spans="1:20" ht="12.75">
      <c r="A16" s="164">
        <v>26</v>
      </c>
      <c r="B16" s="185" t="s">
        <v>165</v>
      </c>
      <c r="C16" s="165"/>
      <c r="D16" s="172"/>
      <c r="E16" s="172"/>
      <c r="F16" s="172"/>
      <c r="G16" s="172"/>
      <c r="H16" s="172"/>
      <c r="I16" s="172"/>
      <c r="J16" s="264"/>
      <c r="K16" s="172"/>
      <c r="L16" s="172"/>
      <c r="M16" s="172"/>
      <c r="N16" s="172"/>
      <c r="O16" s="172"/>
      <c r="P16" s="172"/>
      <c r="Q16" s="172"/>
      <c r="R16" s="172"/>
      <c r="S16" s="172"/>
      <c r="T16" s="264"/>
    </row>
    <row r="17" spans="1:20" ht="12.75">
      <c r="A17" s="168">
        <v>27</v>
      </c>
      <c r="B17" s="169" t="s">
        <v>166</v>
      </c>
      <c r="C17" s="170"/>
      <c r="D17" s="172"/>
      <c r="E17" s="172"/>
      <c r="F17" s="172"/>
      <c r="G17" s="172"/>
      <c r="H17" s="172"/>
      <c r="I17" s="172"/>
      <c r="J17" s="264"/>
      <c r="K17" s="172"/>
      <c r="L17" s="172"/>
      <c r="M17" s="172"/>
      <c r="N17" s="172"/>
      <c r="O17" s="172"/>
      <c r="P17" s="172"/>
      <c r="Q17" s="172"/>
      <c r="R17" s="172"/>
      <c r="S17" s="172"/>
      <c r="T17" s="264"/>
    </row>
    <row r="18" spans="1:20" ht="12.75">
      <c r="A18" s="187">
        <v>271</v>
      </c>
      <c r="B18" s="177" t="s">
        <v>133</v>
      </c>
      <c r="C18" s="178"/>
      <c r="D18" s="179"/>
      <c r="E18" s="179"/>
      <c r="F18" s="179"/>
      <c r="G18" s="179"/>
      <c r="H18" s="179"/>
      <c r="I18" s="179"/>
      <c r="J18" s="265"/>
      <c r="K18" s="179"/>
      <c r="L18" s="179"/>
      <c r="M18" s="179"/>
      <c r="N18" s="179"/>
      <c r="O18" s="179"/>
      <c r="P18" s="179"/>
      <c r="Q18" s="179"/>
      <c r="R18" s="179"/>
      <c r="S18" s="179"/>
      <c r="T18" s="265"/>
    </row>
    <row r="19" spans="1:20" ht="12.75">
      <c r="A19" s="187">
        <v>272</v>
      </c>
      <c r="B19" s="175" t="s">
        <v>9</v>
      </c>
      <c r="C19" s="176"/>
      <c r="D19" s="179"/>
      <c r="E19" s="179"/>
      <c r="F19" s="179"/>
      <c r="G19" s="179"/>
      <c r="H19" s="179"/>
      <c r="I19" s="179"/>
      <c r="J19" s="265"/>
      <c r="K19" s="179"/>
      <c r="L19" s="179"/>
      <c r="M19" s="179"/>
      <c r="N19" s="179"/>
      <c r="O19" s="179"/>
      <c r="P19" s="179"/>
      <c r="Q19" s="179"/>
      <c r="R19" s="179"/>
      <c r="S19" s="179"/>
      <c r="T19" s="265"/>
    </row>
    <row r="20" spans="1:20" ht="12.75">
      <c r="A20" s="187">
        <v>28</v>
      </c>
      <c r="B20" s="175" t="s">
        <v>167</v>
      </c>
      <c r="C20" s="176"/>
      <c r="D20" s="179"/>
      <c r="E20" s="179"/>
      <c r="F20" s="179"/>
      <c r="G20" s="179"/>
      <c r="H20" s="179"/>
      <c r="I20" s="179"/>
      <c r="J20" s="265"/>
      <c r="K20" s="179"/>
      <c r="L20" s="179"/>
      <c r="M20" s="179"/>
      <c r="N20" s="179"/>
      <c r="O20" s="179"/>
      <c r="P20" s="179"/>
      <c r="Q20" s="179"/>
      <c r="R20" s="179"/>
      <c r="S20" s="179"/>
      <c r="T20" s="265"/>
    </row>
    <row r="21" spans="1:20" ht="13.5" thickBot="1">
      <c r="A21" s="187">
        <v>29</v>
      </c>
      <c r="B21" s="175" t="s">
        <v>217</v>
      </c>
      <c r="C21" s="176"/>
      <c r="D21" s="179"/>
      <c r="E21" s="179"/>
      <c r="F21" s="179"/>
      <c r="G21" s="179"/>
      <c r="H21" s="179"/>
      <c r="I21" s="179">
        <v>69</v>
      </c>
      <c r="J21" s="265"/>
      <c r="K21" s="179"/>
      <c r="L21" s="179"/>
      <c r="M21" s="179"/>
      <c r="N21" s="179"/>
      <c r="O21" s="179"/>
      <c r="P21" s="179"/>
      <c r="Q21" s="179"/>
      <c r="R21" s="179"/>
      <c r="S21" s="179">
        <v>1137</v>
      </c>
      <c r="T21" s="265"/>
    </row>
    <row r="22" spans="1:20" ht="13.5" thickBot="1">
      <c r="A22" s="160">
        <v>1</v>
      </c>
      <c r="B22" s="161" t="s">
        <v>151</v>
      </c>
      <c r="C22" s="162">
        <f aca="true" t="shared" si="7" ref="C22:L22">SUM(C24:C28,C33:C36)</f>
        <v>0</v>
      </c>
      <c r="D22" s="163">
        <f t="shared" si="7"/>
        <v>178245</v>
      </c>
      <c r="E22" s="163">
        <f t="shared" si="7"/>
        <v>-18819</v>
      </c>
      <c r="F22" s="163">
        <f t="shared" si="7"/>
        <v>159426</v>
      </c>
      <c r="G22" s="163">
        <f>SUM(G24:G28,G33:G36)</f>
        <v>3461</v>
      </c>
      <c r="H22" s="163">
        <f>SUM(H24:H28,H33:H36)</f>
        <v>162887</v>
      </c>
      <c r="I22" s="163">
        <f>SUM(I24:I28,I33:I37)</f>
        <v>100795</v>
      </c>
      <c r="J22" s="261">
        <f aca="true" t="shared" si="8" ref="J22:J27">+I22/H22</f>
        <v>0.6188032194097749</v>
      </c>
      <c r="K22" s="163">
        <f t="shared" si="7"/>
        <v>0</v>
      </c>
      <c r="L22" s="163">
        <f t="shared" si="7"/>
        <v>7230</v>
      </c>
      <c r="M22" s="163">
        <f aca="true" t="shared" si="9" ref="M22:R22">SUM(M24:M28,M33:M36)</f>
        <v>513</v>
      </c>
      <c r="N22" s="163">
        <f t="shared" si="9"/>
        <v>7743</v>
      </c>
      <c r="O22" s="163">
        <f t="shared" si="9"/>
        <v>0</v>
      </c>
      <c r="P22" s="163">
        <f t="shared" si="9"/>
        <v>7743</v>
      </c>
      <c r="Q22" s="163" t="e">
        <f t="shared" si="9"/>
        <v>#REF!</v>
      </c>
      <c r="R22" s="163">
        <f t="shared" si="9"/>
        <v>183250</v>
      </c>
      <c r="S22" s="163">
        <f>SUM(S24:S28,S33:S36)+S37</f>
        <v>173895</v>
      </c>
      <c r="T22" s="261">
        <f aca="true" t="shared" si="10" ref="T22:T27">+S22/R22</f>
        <v>0.9489495225102319</v>
      </c>
    </row>
    <row r="23" spans="1:20" ht="48.75" customHeight="1" thickBot="1">
      <c r="A23" s="196"/>
      <c r="B23" s="197" t="s">
        <v>177</v>
      </c>
      <c r="C23" s="199">
        <f aca="true" t="shared" si="11" ref="C23:L23">+C22-C30</f>
        <v>0</v>
      </c>
      <c r="D23" s="200">
        <f t="shared" si="11"/>
        <v>178245</v>
      </c>
      <c r="E23" s="200">
        <f t="shared" si="11"/>
        <v>-18819</v>
      </c>
      <c r="F23" s="200">
        <f t="shared" si="11"/>
        <v>159426</v>
      </c>
      <c r="G23" s="200">
        <f>+G22-G30</f>
        <v>3461</v>
      </c>
      <c r="H23" s="200">
        <f>+H22-H30</f>
        <v>162887</v>
      </c>
      <c r="I23" s="200">
        <f>+I22-I30</f>
        <v>100795</v>
      </c>
      <c r="J23" s="262">
        <f t="shared" si="8"/>
        <v>0.6188032194097749</v>
      </c>
      <c r="K23" s="200">
        <f t="shared" si="11"/>
        <v>0</v>
      </c>
      <c r="L23" s="200">
        <f t="shared" si="11"/>
        <v>7230</v>
      </c>
      <c r="M23" s="200">
        <f aca="true" t="shared" si="12" ref="M23:R23">+M22-M30</f>
        <v>513</v>
      </c>
      <c r="N23" s="200">
        <f t="shared" si="12"/>
        <v>7743</v>
      </c>
      <c r="O23" s="200">
        <f t="shared" si="12"/>
        <v>0</v>
      </c>
      <c r="P23" s="200">
        <f t="shared" si="12"/>
        <v>7743</v>
      </c>
      <c r="Q23" s="200" t="e">
        <f t="shared" si="12"/>
        <v>#REF!</v>
      </c>
      <c r="R23" s="200">
        <f t="shared" si="12"/>
        <v>183250</v>
      </c>
      <c r="S23" s="200">
        <f>+S22-S30</f>
        <v>173895</v>
      </c>
      <c r="T23" s="262">
        <f t="shared" si="10"/>
        <v>0.9489495225102319</v>
      </c>
    </row>
    <row r="24" spans="1:20" ht="12.75">
      <c r="A24" s="174">
        <v>11</v>
      </c>
      <c r="B24" s="175" t="s">
        <v>4</v>
      </c>
      <c r="C24" s="176"/>
      <c r="D24" s="190">
        <f>+'3.sz.m.Kiadások'!C5</f>
        <v>85937</v>
      </c>
      <c r="E24" s="190">
        <f>+'3.sz.m.Kiadások'!D5</f>
        <v>0</v>
      </c>
      <c r="F24" s="190">
        <f>+'3.sz.m.Kiadások'!E5</f>
        <v>85937</v>
      </c>
      <c r="G24" s="190">
        <f>+'3.sz.m.Kiadások'!F5</f>
        <v>649</v>
      </c>
      <c r="H24" s="190">
        <f>+'3.sz.m.Kiadások'!G5</f>
        <v>86586</v>
      </c>
      <c r="I24" s="190">
        <f>+'3.sz.m.Kiadások'!H5</f>
        <v>49376</v>
      </c>
      <c r="J24" s="267">
        <f t="shared" si="8"/>
        <v>0.5702538516619315</v>
      </c>
      <c r="K24" s="190">
        <f>+'3.sz.m.Kiadások'!J5</f>
        <v>0</v>
      </c>
      <c r="L24" s="190">
        <f>+'3.sz.m.Kiadások'!K5</f>
        <v>0</v>
      </c>
      <c r="M24" s="190">
        <f>+'3.sz.m.Kiadások'!L5</f>
        <v>0</v>
      </c>
      <c r="N24" s="190">
        <f>+'3.sz.m.Kiadások'!M5</f>
        <v>0</v>
      </c>
      <c r="O24" s="190">
        <f>+'3.sz.m.Kiadások'!N5</f>
        <v>0</v>
      </c>
      <c r="P24" s="190">
        <f>+'3.sz.m.Kiadások'!O5</f>
        <v>0</v>
      </c>
      <c r="Q24" s="190">
        <f>+'3.sz.m.Kiadások'!P5</f>
        <v>0</v>
      </c>
      <c r="R24" s="190">
        <f>+'3.sz.m.Kiadások'!Q5</f>
        <v>108420</v>
      </c>
      <c r="S24" s="190">
        <f>+'3.sz.m.Kiadások'!R5</f>
        <v>103782</v>
      </c>
      <c r="T24" s="267">
        <f t="shared" si="10"/>
        <v>0.9572219147758716</v>
      </c>
    </row>
    <row r="25" spans="1:20" ht="12.75">
      <c r="A25" s="174">
        <v>12</v>
      </c>
      <c r="B25" s="175" t="s">
        <v>175</v>
      </c>
      <c r="C25" s="176"/>
      <c r="D25" s="190">
        <f>+'3.sz.m.Kiadások'!C9</f>
        <v>22845</v>
      </c>
      <c r="E25" s="190">
        <f>+'3.sz.m.Kiadások'!D9</f>
        <v>0</v>
      </c>
      <c r="F25" s="190">
        <f>+'3.sz.m.Kiadások'!E9</f>
        <v>22845</v>
      </c>
      <c r="G25" s="190">
        <f>+'3.sz.m.Kiadások'!F9</f>
        <v>175</v>
      </c>
      <c r="H25" s="190">
        <f>+'3.sz.m.Kiadások'!G9</f>
        <v>23020</v>
      </c>
      <c r="I25" s="190">
        <f>+'3.sz.m.Kiadások'!H9</f>
        <v>12857</v>
      </c>
      <c r="J25" s="267">
        <f t="shared" si="8"/>
        <v>0.5585143353605561</v>
      </c>
      <c r="K25" s="190">
        <f>+'3.sz.m.Kiadások'!J9</f>
        <v>0</v>
      </c>
      <c r="L25" s="190">
        <f>+'3.sz.m.Kiadások'!K9</f>
        <v>0</v>
      </c>
      <c r="M25" s="190">
        <f>+'3.sz.m.Kiadások'!L9</f>
        <v>0</v>
      </c>
      <c r="N25" s="190">
        <f>+'3.sz.m.Kiadások'!M9</f>
        <v>0</v>
      </c>
      <c r="O25" s="190">
        <f>+'3.sz.m.Kiadások'!N9</f>
        <v>0</v>
      </c>
      <c r="P25" s="190">
        <f>+'3.sz.m.Kiadások'!O9</f>
        <v>0</v>
      </c>
      <c r="Q25" s="190">
        <f>+'3.sz.m.Kiadások'!P9</f>
        <v>0</v>
      </c>
      <c r="R25" s="190">
        <f>+'3.sz.m.Kiadások'!Q9</f>
        <v>24359</v>
      </c>
      <c r="S25" s="190">
        <f>+'3.sz.m.Kiadások'!R9</f>
        <v>26436</v>
      </c>
      <c r="T25" s="267">
        <f t="shared" si="10"/>
        <v>1.0852662260355515</v>
      </c>
    </row>
    <row r="26" spans="1:20" ht="12.75">
      <c r="A26" s="174">
        <v>13</v>
      </c>
      <c r="B26" s="175" t="s">
        <v>181</v>
      </c>
      <c r="C26" s="176"/>
      <c r="D26" s="190">
        <f>+'3.sz.m.Kiadások'!C10</f>
        <v>53290</v>
      </c>
      <c r="E26" s="190">
        <f>+'3.sz.m.Kiadások'!D10</f>
        <v>-22893</v>
      </c>
      <c r="F26" s="190">
        <f>+'3.sz.m.Kiadások'!E10</f>
        <v>30397</v>
      </c>
      <c r="G26" s="190">
        <f>+'3.sz.m.Kiadások'!F10</f>
        <v>0</v>
      </c>
      <c r="H26" s="190">
        <f>+'3.sz.m.Kiadások'!G10</f>
        <v>30397</v>
      </c>
      <c r="I26" s="190">
        <f>+'3.sz.m.Kiadások'!H10</f>
        <v>28409</v>
      </c>
      <c r="J26" s="267">
        <f t="shared" si="8"/>
        <v>0.9345988090930026</v>
      </c>
      <c r="K26" s="190">
        <f>+'3.sz.m.Kiadások'!J10</f>
        <v>0</v>
      </c>
      <c r="L26" s="190">
        <f>+'3.sz.m.Kiadások'!K10</f>
        <v>0</v>
      </c>
      <c r="M26" s="190">
        <f>+'3.sz.m.Kiadások'!L10</f>
        <v>0</v>
      </c>
      <c r="N26" s="190">
        <f>+'3.sz.m.Kiadások'!M10</f>
        <v>0</v>
      </c>
      <c r="O26" s="190">
        <f>+'3.sz.m.Kiadások'!N10</f>
        <v>0</v>
      </c>
      <c r="P26" s="190">
        <f>+'3.sz.m.Kiadások'!O10</f>
        <v>0</v>
      </c>
      <c r="Q26" s="190">
        <f>+'3.sz.m.Kiadások'!P10</f>
        <v>0</v>
      </c>
      <c r="R26" s="190">
        <v>42630</v>
      </c>
      <c r="S26" s="190">
        <v>42629</v>
      </c>
      <c r="T26" s="267">
        <f t="shared" si="10"/>
        <v>0.9999765423410744</v>
      </c>
    </row>
    <row r="27" spans="1:20" ht="12.75">
      <c r="A27" s="174">
        <v>131</v>
      </c>
      <c r="B27" s="175" t="s">
        <v>180</v>
      </c>
      <c r="C27" s="176"/>
      <c r="D27" s="190">
        <f>+'3.sz.m.Kiadások'!C17</f>
        <v>8970</v>
      </c>
      <c r="E27" s="190">
        <f>+'3.sz.m.Kiadások'!D17</f>
        <v>3047</v>
      </c>
      <c r="F27" s="190">
        <f>+'3.sz.m.Kiadások'!E17</f>
        <v>12017</v>
      </c>
      <c r="G27" s="190">
        <f>+'3.sz.m.Kiadások'!F17</f>
        <v>2637</v>
      </c>
      <c r="H27" s="190">
        <f>+'3.sz.m.Kiadások'!G17</f>
        <v>14654</v>
      </c>
      <c r="I27" s="190">
        <f>+'3.sz.m.Kiadások'!H17</f>
        <v>6181</v>
      </c>
      <c r="J27" s="267">
        <f t="shared" si="8"/>
        <v>0.42179609662890677</v>
      </c>
      <c r="K27" s="190">
        <f>+'3.sz.m.Kiadások'!J17</f>
        <v>0</v>
      </c>
      <c r="L27" s="190">
        <f>+'3.sz.m.Kiadások'!K17</f>
        <v>0</v>
      </c>
      <c r="M27" s="190">
        <f>+'3.sz.m.Kiadások'!L17</f>
        <v>0</v>
      </c>
      <c r="N27" s="190">
        <f>+'3.sz.m.Kiadások'!M17</f>
        <v>0</v>
      </c>
      <c r="O27" s="190">
        <f>+'3.sz.m.Kiadások'!N17</f>
        <v>0</v>
      </c>
      <c r="P27" s="190">
        <f>+'3.sz.m.Kiadások'!O17</f>
        <v>0</v>
      </c>
      <c r="Q27" s="190">
        <f>+'3.sz.m.Kiadások'!P17</f>
        <v>0</v>
      </c>
      <c r="R27" s="190">
        <v>5638</v>
      </c>
      <c r="S27" s="190">
        <f>+'3.sz.m.Kiadások'!R17</f>
        <v>4636</v>
      </c>
      <c r="T27" s="267">
        <f t="shared" si="10"/>
        <v>0.8222774033345158</v>
      </c>
    </row>
    <row r="28" spans="1:20" ht="12.75">
      <c r="A28" s="173">
        <v>14</v>
      </c>
      <c r="B28" s="171" t="s">
        <v>152</v>
      </c>
      <c r="C28" s="166">
        <f aca="true" t="shared" si="13" ref="C28:L28">SUM(C29:C32)</f>
        <v>0</v>
      </c>
      <c r="D28" s="189">
        <f t="shared" si="13"/>
        <v>0</v>
      </c>
      <c r="E28" s="189">
        <f t="shared" si="13"/>
        <v>0</v>
      </c>
      <c r="F28" s="189">
        <f t="shared" si="13"/>
        <v>0</v>
      </c>
      <c r="G28" s="189">
        <f>SUM(G29:G32)</f>
        <v>0</v>
      </c>
      <c r="H28" s="189">
        <f>SUM(H29:H32)</f>
        <v>0</v>
      </c>
      <c r="I28" s="189">
        <f>SUM(I29:I32)</f>
        <v>0</v>
      </c>
      <c r="J28" s="268"/>
      <c r="K28" s="189">
        <f t="shared" si="13"/>
        <v>0</v>
      </c>
      <c r="L28" s="189">
        <f t="shared" si="13"/>
        <v>0</v>
      </c>
      <c r="M28" s="189">
        <f aca="true" t="shared" si="14" ref="M28:R28">SUM(M29:M32)</f>
        <v>0</v>
      </c>
      <c r="N28" s="189">
        <f t="shared" si="14"/>
        <v>0</v>
      </c>
      <c r="O28" s="189">
        <f t="shared" si="14"/>
        <v>0</v>
      </c>
      <c r="P28" s="189">
        <f t="shared" si="14"/>
        <v>0</v>
      </c>
      <c r="Q28" s="189">
        <f t="shared" si="14"/>
        <v>0</v>
      </c>
      <c r="R28" s="189">
        <f t="shared" si="14"/>
        <v>0</v>
      </c>
      <c r="S28" s="189">
        <f>SUM(S29:S32)</f>
        <v>10</v>
      </c>
      <c r="T28" s="268"/>
    </row>
    <row r="29" spans="1:20" ht="12.75">
      <c r="A29" s="174">
        <v>141</v>
      </c>
      <c r="B29" s="175" t="s">
        <v>153</v>
      </c>
      <c r="C29" s="176"/>
      <c r="D29" s="190"/>
      <c r="E29" s="190"/>
      <c r="F29" s="190"/>
      <c r="G29" s="190"/>
      <c r="H29" s="190"/>
      <c r="I29" s="190"/>
      <c r="J29" s="267"/>
      <c r="K29" s="190"/>
      <c r="L29" s="190"/>
      <c r="M29" s="190"/>
      <c r="N29" s="190"/>
      <c r="O29" s="190"/>
      <c r="P29" s="190"/>
      <c r="Q29" s="190"/>
      <c r="R29" s="190"/>
      <c r="S29" s="190">
        <v>10</v>
      </c>
      <c r="T29" s="267"/>
    </row>
    <row r="30" spans="1:20" ht="12.75">
      <c r="A30" s="174">
        <v>142</v>
      </c>
      <c r="B30" s="230" t="s">
        <v>154</v>
      </c>
      <c r="C30" s="176"/>
      <c r="D30" s="190"/>
      <c r="E30" s="190"/>
      <c r="F30" s="190"/>
      <c r="G30" s="190"/>
      <c r="H30" s="190"/>
      <c r="I30" s="190"/>
      <c r="J30" s="267"/>
      <c r="K30" s="190"/>
      <c r="L30" s="190"/>
      <c r="M30" s="190"/>
      <c r="N30" s="190"/>
      <c r="O30" s="190"/>
      <c r="P30" s="190"/>
      <c r="Q30" s="190"/>
      <c r="R30" s="190"/>
      <c r="S30" s="190"/>
      <c r="T30" s="267"/>
    </row>
    <row r="31" spans="1:20" ht="12.75">
      <c r="A31" s="180">
        <v>143</v>
      </c>
      <c r="B31" s="175" t="s">
        <v>155</v>
      </c>
      <c r="C31" s="176"/>
      <c r="D31" s="190"/>
      <c r="E31" s="190"/>
      <c r="F31" s="190"/>
      <c r="G31" s="190"/>
      <c r="H31" s="190"/>
      <c r="I31" s="190"/>
      <c r="J31" s="267"/>
      <c r="K31" s="190"/>
      <c r="L31" s="190"/>
      <c r="M31" s="190"/>
      <c r="N31" s="190"/>
      <c r="O31" s="190"/>
      <c r="P31" s="190"/>
      <c r="Q31" s="190"/>
      <c r="R31" s="190"/>
      <c r="S31" s="190"/>
      <c r="T31" s="267"/>
    </row>
    <row r="32" spans="1:20" ht="12.75">
      <c r="A32" s="180">
        <v>144</v>
      </c>
      <c r="B32" s="175" t="s">
        <v>156</v>
      </c>
      <c r="C32" s="176"/>
      <c r="D32" s="190"/>
      <c r="E32" s="190"/>
      <c r="F32" s="190"/>
      <c r="G32" s="190"/>
      <c r="H32" s="190"/>
      <c r="I32" s="190"/>
      <c r="J32" s="267"/>
      <c r="K32" s="190"/>
      <c r="L32" s="190"/>
      <c r="M32" s="190"/>
      <c r="N32" s="190"/>
      <c r="O32" s="190"/>
      <c r="P32" s="190"/>
      <c r="Q32" s="190"/>
      <c r="R32" s="190"/>
      <c r="S32" s="190"/>
      <c r="T32" s="267"/>
    </row>
    <row r="33" spans="1:20" ht="12.75">
      <c r="A33" s="168">
        <v>15</v>
      </c>
      <c r="B33" s="169" t="s">
        <v>157</v>
      </c>
      <c r="C33" s="170"/>
      <c r="D33" s="191"/>
      <c r="E33" s="191">
        <f>+'3.sz.m.Kiadások'!D20+'3.sz.m.Kiadások'!D21</f>
        <v>0</v>
      </c>
      <c r="F33" s="191">
        <f>+'3.sz.m.Kiadások'!E20+'3.sz.m.Kiadások'!E21</f>
        <v>0</v>
      </c>
      <c r="G33" s="191">
        <f>+'3.sz.m.Kiadások'!F20+'3.sz.m.Kiadások'!F21</f>
        <v>0</v>
      </c>
      <c r="H33" s="191">
        <f>+'3.sz.m.Kiadások'!G20+'3.sz.m.Kiadások'!G21</f>
        <v>0</v>
      </c>
      <c r="I33" s="191">
        <f>+'3.sz.m.Kiadások'!H20+'3.sz.m.Kiadások'!H21</f>
        <v>0</v>
      </c>
      <c r="J33" s="269"/>
      <c r="K33" s="191">
        <f>+'3.sz.m.Kiadások'!J20+'3.sz.m.Kiadások'!J21</f>
        <v>0</v>
      </c>
      <c r="L33" s="191">
        <f>+'3.sz.m.Kiadások'!K20+'3.sz.m.Kiadások'!K21</f>
        <v>0</v>
      </c>
      <c r="M33" s="191">
        <f>+'3.sz.m.Kiadások'!L20+'3.sz.m.Kiadások'!L21</f>
        <v>0</v>
      </c>
      <c r="N33" s="191">
        <f>+'3.sz.m.Kiadások'!M20+'3.sz.m.Kiadások'!M21</f>
        <v>0</v>
      </c>
      <c r="O33" s="191">
        <f>+'3.sz.m.Kiadások'!N20+'3.sz.m.Kiadások'!N21</f>
        <v>0</v>
      </c>
      <c r="P33" s="191">
        <f>+'3.sz.m.Kiadások'!O20+'3.sz.m.Kiadások'!O21</f>
        <v>0</v>
      </c>
      <c r="Q33" s="191" t="e">
        <f>+'3.sz.m.Kiadások'!#REF!+'3.sz.m.Kiadások'!#REF!</f>
        <v>#REF!</v>
      </c>
      <c r="R33" s="191"/>
      <c r="S33" s="191"/>
      <c r="T33" s="269"/>
    </row>
    <row r="34" spans="1:20" ht="12.75">
      <c r="A34" s="168">
        <v>16</v>
      </c>
      <c r="B34" s="169" t="s">
        <v>118</v>
      </c>
      <c r="C34" s="170"/>
      <c r="D34" s="191">
        <v>6203</v>
      </c>
      <c r="E34" s="191">
        <f>+'3.sz.m.Kiadások'!D27</f>
        <v>1027</v>
      </c>
      <c r="F34" s="191">
        <f>+'3.sz.m.Kiadások'!E27</f>
        <v>7230</v>
      </c>
      <c r="G34" s="191">
        <f>+'3.sz.m.Kiadások'!F27</f>
        <v>0</v>
      </c>
      <c r="H34" s="191">
        <f>+'3.sz.m.Kiadások'!G27</f>
        <v>7230</v>
      </c>
      <c r="I34" s="191">
        <f>+'3.sz.m.Kiadások'!H27</f>
        <v>59</v>
      </c>
      <c r="J34" s="269">
        <f>+I34/H34</f>
        <v>0.008160442600276626</v>
      </c>
      <c r="K34" s="191">
        <f>+'3.sz.m.Kiadások'!J27</f>
        <v>0</v>
      </c>
      <c r="L34" s="191">
        <f>+'3.sz.m.Kiadások'!K27</f>
        <v>7230</v>
      </c>
      <c r="M34" s="191">
        <f>+'3.sz.m.Kiadások'!L27</f>
        <v>513</v>
      </c>
      <c r="N34" s="191">
        <f>+'3.sz.m.Kiadások'!M27</f>
        <v>7743</v>
      </c>
      <c r="O34" s="191">
        <f>+'3.sz.m.Kiadások'!N27</f>
        <v>0</v>
      </c>
      <c r="P34" s="191">
        <f>+'3.sz.m.Kiadások'!O27</f>
        <v>7743</v>
      </c>
      <c r="Q34" s="191" t="e">
        <f>+'3.sz.m.Kiadások'!#REF!</f>
        <v>#REF!</v>
      </c>
      <c r="R34" s="191">
        <f>+'3.sz.m.Kiadások'!Q27</f>
        <v>1703</v>
      </c>
      <c r="S34" s="191">
        <f>+'3.sz.m.Kiadások'!R27+'3.sz.m.Kiadások'!R29</f>
        <v>1666</v>
      </c>
      <c r="T34" s="269">
        <f>+S34/R34</f>
        <v>0.9782736347621844</v>
      </c>
    </row>
    <row r="35" spans="1:20" ht="12.75">
      <c r="A35" s="168">
        <v>17</v>
      </c>
      <c r="B35" s="169" t="s">
        <v>158</v>
      </c>
      <c r="C35" s="170"/>
      <c r="D35" s="191">
        <f>+'3.sz.m.Kiadások'!C22+'3.sz.m.Kiadások'!C23</f>
        <v>1000</v>
      </c>
      <c r="E35" s="191">
        <f>+'3.sz.m.Kiadások'!D22+'3.sz.m.Kiadások'!D23</f>
        <v>0</v>
      </c>
      <c r="F35" s="191">
        <f>+'3.sz.m.Kiadások'!E22+'3.sz.m.Kiadások'!E23</f>
        <v>1000</v>
      </c>
      <c r="G35" s="191">
        <f>+'3.sz.m.Kiadások'!F22+'3.sz.m.Kiadások'!F23</f>
        <v>0</v>
      </c>
      <c r="H35" s="191">
        <f>+'3.sz.m.Kiadások'!G22+'3.sz.m.Kiadások'!G23</f>
        <v>1000</v>
      </c>
      <c r="I35" s="191">
        <f>+'3.sz.m.Kiadások'!H22+'3.sz.m.Kiadások'!H23</f>
        <v>0</v>
      </c>
      <c r="J35" s="269">
        <f>+I35/H35</f>
        <v>0</v>
      </c>
      <c r="K35" s="191">
        <f>+'3.sz.m.Kiadások'!J22+'3.sz.m.Kiadások'!J23</f>
        <v>0</v>
      </c>
      <c r="L35" s="191">
        <f>+'3.sz.m.Kiadások'!K22+'3.sz.m.Kiadások'!K23</f>
        <v>0</v>
      </c>
      <c r="M35" s="191">
        <f>+'3.sz.m.Kiadások'!L22+'3.sz.m.Kiadások'!L23</f>
        <v>0</v>
      </c>
      <c r="N35" s="191">
        <f>+'3.sz.m.Kiadások'!M22+'3.sz.m.Kiadások'!M23</f>
        <v>0</v>
      </c>
      <c r="O35" s="191">
        <f>+'3.sz.m.Kiadások'!N22+'3.sz.m.Kiadások'!N23</f>
        <v>0</v>
      </c>
      <c r="P35" s="191">
        <f>+'3.sz.m.Kiadások'!O22+'3.sz.m.Kiadások'!O23</f>
        <v>0</v>
      </c>
      <c r="Q35" s="191" t="e">
        <f>+'3.sz.m.Kiadások'!#REF!+'3.sz.m.Kiadások'!#REF!</f>
        <v>#REF!</v>
      </c>
      <c r="R35" s="191">
        <f>+'3.sz.m.Kiadások'!Q22+'3.sz.m.Kiadások'!Q23</f>
        <v>500</v>
      </c>
      <c r="S35" s="191">
        <f>+'3.sz.m.Kiadások'!R22+'3.sz.m.Kiadások'!R23</f>
        <v>0</v>
      </c>
      <c r="T35" s="269">
        <f>+S35/R35</f>
        <v>0</v>
      </c>
    </row>
    <row r="36" spans="1:20" ht="12.75">
      <c r="A36" s="168">
        <v>18</v>
      </c>
      <c r="B36" s="169" t="s">
        <v>159</v>
      </c>
      <c r="C36" s="170"/>
      <c r="D36" s="191"/>
      <c r="E36" s="191"/>
      <c r="F36" s="191"/>
      <c r="G36" s="191"/>
      <c r="H36" s="191"/>
      <c r="I36" s="191"/>
      <c r="J36" s="269"/>
      <c r="K36" s="191"/>
      <c r="L36" s="191"/>
      <c r="M36" s="191"/>
      <c r="N36" s="191"/>
      <c r="O36" s="191"/>
      <c r="P36" s="191"/>
      <c r="Q36" s="191"/>
      <c r="R36" s="191"/>
      <c r="S36" s="191"/>
      <c r="T36" s="269"/>
    </row>
    <row r="37" spans="1:20" ht="13.5" thickBot="1">
      <c r="A37" s="181">
        <v>19</v>
      </c>
      <c r="B37" s="182" t="s">
        <v>218</v>
      </c>
      <c r="C37" s="183"/>
      <c r="D37" s="192"/>
      <c r="E37" s="192"/>
      <c r="F37" s="192"/>
      <c r="G37" s="192"/>
      <c r="H37" s="192"/>
      <c r="I37" s="192">
        <v>3913</v>
      </c>
      <c r="J37" s="270"/>
      <c r="K37" s="192"/>
      <c r="L37" s="192"/>
      <c r="M37" s="192"/>
      <c r="N37" s="192"/>
      <c r="O37" s="192"/>
      <c r="P37" s="192"/>
      <c r="Q37" s="192"/>
      <c r="R37" s="192"/>
      <c r="S37" s="192">
        <v>-5264</v>
      </c>
      <c r="T37" s="270"/>
    </row>
    <row r="38" ht="13.5" thickBot="1">
      <c r="T38" s="271"/>
    </row>
    <row r="39" spans="2:20" ht="13.5" thickBot="1">
      <c r="B39" s="60" t="s">
        <v>219</v>
      </c>
      <c r="C39" s="193">
        <f aca="true" t="shared" si="15" ref="C39:L39">+C3-C22</f>
        <v>0</v>
      </c>
      <c r="D39" s="193">
        <f t="shared" si="15"/>
        <v>0</v>
      </c>
      <c r="E39" s="193">
        <f t="shared" si="15"/>
        <v>0</v>
      </c>
      <c r="F39" s="193">
        <f t="shared" si="15"/>
        <v>-2232</v>
      </c>
      <c r="G39" s="193">
        <f>+G3-G22</f>
        <v>0</v>
      </c>
      <c r="H39" s="193">
        <f>+H3-H22</f>
        <v>-2232</v>
      </c>
      <c r="I39" s="193">
        <f>+I3-I22</f>
        <v>-5871</v>
      </c>
      <c r="J39" s="272"/>
      <c r="K39" s="193">
        <f t="shared" si="15"/>
        <v>-7732</v>
      </c>
      <c r="L39" s="193">
        <f t="shared" si="15"/>
        <v>145693</v>
      </c>
      <c r="M39" s="193">
        <f aca="true" t="shared" si="16" ref="M39:R39">+M3-M22</f>
        <v>-25353</v>
      </c>
      <c r="N39" s="193">
        <f t="shared" si="16"/>
        <v>120340</v>
      </c>
      <c r="O39" s="193">
        <f t="shared" si="16"/>
        <v>6052</v>
      </c>
      <c r="P39" s="193">
        <f t="shared" si="16"/>
        <v>126392</v>
      </c>
      <c r="Q39" s="193" t="e">
        <f t="shared" si="16"/>
        <v>#REF!</v>
      </c>
      <c r="R39" s="193">
        <f t="shared" si="16"/>
        <v>0</v>
      </c>
      <c r="S39" s="193">
        <v>2201</v>
      </c>
      <c r="T39" s="272"/>
    </row>
    <row r="40" spans="4:20" ht="12.75">
      <c r="D40" s="52"/>
      <c r="E40" s="52"/>
      <c r="F40" s="52"/>
      <c r="G40" s="52"/>
      <c r="H40" s="52"/>
      <c r="I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</sheetData>
  <sheetProtection/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scale="79" r:id="rId1"/>
  <headerFooter alignWithMargins="0">
    <oddHeader>&amp;L1. számú melléklet&amp;C&amp;"Arial,Félkövér"&amp;12Nagykovácsi Polgármesteri Hivatal 2013. évi bevételei és kiadásai&amp;R A 2013. évi zárszámadási rendelethez</oddHeader>
    <oddFooter>&amp;L&amp;"Arial,Dőlt"&amp;8&amp;D&amp;R&amp;"Arial,Dőlt"&amp;8&amp;F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103"/>
  <sheetViews>
    <sheetView zoomScalePageLayoutView="0" workbookViewId="0" topLeftCell="A1">
      <selection activeCell="C92" sqref="C92"/>
    </sheetView>
  </sheetViews>
  <sheetFormatPr defaultColWidth="9.140625" defaultRowHeight="12.75"/>
  <cols>
    <col min="1" max="1" width="84.57421875" style="0" customWidth="1"/>
    <col min="2" max="3" width="11.8515625" style="52" bestFit="1" customWidth="1"/>
    <col min="4" max="4" width="9.140625" style="382" customWidth="1"/>
  </cols>
  <sheetData>
    <row r="1" spans="1:3" ht="12.75">
      <c r="A1" s="380" t="s">
        <v>322</v>
      </c>
      <c r="B1" s="381">
        <v>2012</v>
      </c>
      <c r="C1" s="381">
        <v>2013</v>
      </c>
    </row>
    <row r="2" spans="1:3" ht="15.75">
      <c r="A2" s="380" t="s">
        <v>323</v>
      </c>
      <c r="B2" s="383">
        <f>+B3+B6+B48+B57</f>
        <v>4034</v>
      </c>
      <c r="C2" s="383">
        <f>+C3+C6+C48+C57</f>
        <v>3402</v>
      </c>
    </row>
    <row r="3" spans="1:3" ht="15">
      <c r="A3" s="380" t="s">
        <v>324</v>
      </c>
      <c r="B3" s="384">
        <f>SUM(B4:B5)</f>
        <v>691</v>
      </c>
      <c r="C3" s="384">
        <v>428</v>
      </c>
    </row>
    <row r="4" spans="1:3" ht="12.75">
      <c r="A4" s="380" t="s">
        <v>325</v>
      </c>
      <c r="B4" s="385"/>
      <c r="C4" s="385"/>
    </row>
    <row r="5" spans="1:3" ht="12.75">
      <c r="A5" s="380" t="s">
        <v>326</v>
      </c>
      <c r="B5" s="386">
        <v>691</v>
      </c>
      <c r="C5" s="386">
        <v>428</v>
      </c>
    </row>
    <row r="6" spans="1:3" ht="15">
      <c r="A6" s="380" t="s">
        <v>327</v>
      </c>
      <c r="B6" s="387">
        <f>+B7+B27+B31+B34+B35+B39+B43+B47</f>
        <v>2093</v>
      </c>
      <c r="C6" s="387">
        <f>+C7+C27+C31+C34+C35+C39+C43+C47</f>
        <v>2974</v>
      </c>
    </row>
    <row r="7" spans="1:3" ht="12.75">
      <c r="A7" s="380" t="s">
        <v>328</v>
      </c>
      <c r="B7" s="388">
        <f>+B8+B15+B22</f>
        <v>0</v>
      </c>
      <c r="C7" s="388">
        <f>+C8+C15+C22</f>
        <v>0</v>
      </c>
    </row>
    <row r="8" spans="1:3" ht="12.75">
      <c r="A8" s="380" t="s">
        <v>329</v>
      </c>
      <c r="B8" s="389">
        <f>SUM(B9:B14)</f>
        <v>0</v>
      </c>
      <c r="C8" s="389">
        <f>SUM(C9:C14)</f>
        <v>0</v>
      </c>
    </row>
    <row r="9" spans="1:3" ht="12.75">
      <c r="A9" s="380" t="s">
        <v>330</v>
      </c>
      <c r="B9" s="385"/>
      <c r="C9" s="385"/>
    </row>
    <row r="10" spans="1:3" ht="12.75">
      <c r="A10" s="380" t="s">
        <v>331</v>
      </c>
      <c r="B10" s="386"/>
      <c r="C10" s="386"/>
    </row>
    <row r="11" spans="1:3" ht="12.75">
      <c r="A11" s="380" t="s">
        <v>332</v>
      </c>
      <c r="B11" s="385"/>
      <c r="C11" s="385"/>
    </row>
    <row r="12" spans="1:3" ht="12.75">
      <c r="A12" s="380" t="s">
        <v>333</v>
      </c>
      <c r="B12" s="386"/>
      <c r="C12" s="386"/>
    </row>
    <row r="13" spans="1:3" ht="12.75">
      <c r="A13" s="390" t="s">
        <v>334</v>
      </c>
      <c r="B13" s="495"/>
      <c r="C13" s="495"/>
    </row>
    <row r="14" spans="1:3" ht="12.75">
      <c r="A14" s="391" t="s">
        <v>335</v>
      </c>
      <c r="B14" s="495"/>
      <c r="C14" s="495"/>
    </row>
    <row r="15" spans="1:3" ht="12.75">
      <c r="A15" s="380" t="s">
        <v>336</v>
      </c>
      <c r="B15" s="389">
        <f>SUM(B16:B21)</f>
        <v>0</v>
      </c>
      <c r="C15" s="389">
        <f>SUM(C16:C21)</f>
        <v>0</v>
      </c>
    </row>
    <row r="16" spans="1:3" ht="12.75">
      <c r="A16" s="380" t="s">
        <v>337</v>
      </c>
      <c r="B16" s="386"/>
      <c r="C16" s="386"/>
    </row>
    <row r="17" spans="1:3" ht="12.75">
      <c r="A17" s="380" t="s">
        <v>338</v>
      </c>
      <c r="B17" s="386"/>
      <c r="C17" s="386"/>
    </row>
    <row r="18" spans="1:3" ht="12.75">
      <c r="A18" s="380" t="s">
        <v>339</v>
      </c>
      <c r="B18" s="385"/>
      <c r="C18" s="385"/>
    </row>
    <row r="19" spans="1:3" ht="12.75">
      <c r="A19" s="380" t="s">
        <v>340</v>
      </c>
      <c r="B19" s="386"/>
      <c r="C19" s="386"/>
    </row>
    <row r="20" spans="1:3" ht="12.75">
      <c r="A20" s="380" t="s">
        <v>341</v>
      </c>
      <c r="B20" s="385"/>
      <c r="C20" s="385"/>
    </row>
    <row r="21" spans="1:3" ht="27.75" customHeight="1">
      <c r="A21" s="380" t="s">
        <v>342</v>
      </c>
      <c r="B21" s="385"/>
      <c r="C21" s="385"/>
    </row>
    <row r="22" spans="1:3" ht="12.75">
      <c r="A22" s="380" t="s">
        <v>343</v>
      </c>
      <c r="B22" s="389">
        <f>SUM(B23:B26)</f>
        <v>0</v>
      </c>
      <c r="C22" s="389">
        <f>SUM(C23:C26)</f>
        <v>0</v>
      </c>
    </row>
    <row r="23" spans="1:3" ht="12.75">
      <c r="A23" s="380" t="s">
        <v>344</v>
      </c>
      <c r="B23" s="385"/>
      <c r="C23" s="385"/>
    </row>
    <row r="24" spans="1:3" ht="12.75">
      <c r="A24" s="380" t="s">
        <v>345</v>
      </c>
      <c r="B24" s="386"/>
      <c r="C24" s="386"/>
    </row>
    <row r="25" spans="1:3" ht="12.75">
      <c r="A25" s="380" t="s">
        <v>346</v>
      </c>
      <c r="B25" s="385"/>
      <c r="C25" s="385"/>
    </row>
    <row r="26" spans="1:3" ht="25.5">
      <c r="A26" s="380" t="s">
        <v>347</v>
      </c>
      <c r="B26" s="385"/>
      <c r="C26" s="385"/>
    </row>
    <row r="27" spans="1:3" ht="12.75">
      <c r="A27" s="380" t="s">
        <v>348</v>
      </c>
      <c r="B27" s="388">
        <f>SUM(B28:B30)</f>
        <v>2093</v>
      </c>
      <c r="C27" s="388">
        <v>2974</v>
      </c>
    </row>
    <row r="28" spans="1:3" ht="12.75">
      <c r="A28" s="380" t="s">
        <v>349</v>
      </c>
      <c r="B28" s="386"/>
      <c r="C28" s="386"/>
    </row>
    <row r="29" spans="1:3" ht="12.75">
      <c r="A29" s="380" t="s">
        <v>350</v>
      </c>
      <c r="B29" s="386"/>
      <c r="C29" s="386"/>
    </row>
    <row r="30" spans="1:3" ht="12.75">
      <c r="A30" s="380" t="s">
        <v>351</v>
      </c>
      <c r="B30" s="385">
        <v>2093</v>
      </c>
      <c r="C30" s="385">
        <v>2974</v>
      </c>
    </row>
    <row r="31" spans="1:3" ht="12.75">
      <c r="A31" s="380" t="s">
        <v>352</v>
      </c>
      <c r="B31" s="392">
        <f>SUM(B32:B33)</f>
        <v>0</v>
      </c>
      <c r="C31" s="392">
        <f>SUM(C32:C33)</f>
        <v>0</v>
      </c>
    </row>
    <row r="32" spans="1:3" ht="12.75">
      <c r="A32" s="380" t="s">
        <v>353</v>
      </c>
      <c r="B32" s="386"/>
      <c r="C32" s="386"/>
    </row>
    <row r="33" spans="1:3" ht="12.75">
      <c r="A33" s="380" t="s">
        <v>354</v>
      </c>
      <c r="B33" s="386"/>
      <c r="C33" s="386"/>
    </row>
    <row r="34" spans="1:3" ht="12.75">
      <c r="A34" s="380" t="s">
        <v>355</v>
      </c>
      <c r="B34" s="386"/>
      <c r="C34" s="386"/>
    </row>
    <row r="35" spans="1:3" ht="12.75">
      <c r="A35" s="380" t="s">
        <v>356</v>
      </c>
      <c r="B35" s="388">
        <f>SUM(B36:B38)</f>
        <v>0</v>
      </c>
      <c r="C35" s="388">
        <f>SUM(C36:C38)</f>
        <v>0</v>
      </c>
    </row>
    <row r="36" spans="1:3" ht="12.75">
      <c r="A36" s="380" t="s">
        <v>357</v>
      </c>
      <c r="B36" s="386"/>
      <c r="C36" s="386"/>
    </row>
    <row r="37" spans="1:3" ht="12.75">
      <c r="A37" s="380" t="s">
        <v>358</v>
      </c>
      <c r="B37" s="385"/>
      <c r="C37" s="385"/>
    </row>
    <row r="38" spans="1:3" ht="12.75">
      <c r="A38" s="380" t="s">
        <v>359</v>
      </c>
      <c r="B38" s="386"/>
      <c r="C38" s="386"/>
    </row>
    <row r="39" spans="1:3" ht="12.75">
      <c r="A39" s="380" t="s">
        <v>360</v>
      </c>
      <c r="B39" s="393">
        <f>SUM(B40:B42)</f>
        <v>0</v>
      </c>
      <c r="C39" s="393">
        <f>SUM(C40:C42)</f>
        <v>0</v>
      </c>
    </row>
    <row r="40" spans="1:3" ht="12.75">
      <c r="A40" s="380" t="s">
        <v>361</v>
      </c>
      <c r="B40" s="385"/>
      <c r="C40" s="385"/>
    </row>
    <row r="41" spans="1:3" ht="12.75">
      <c r="A41" s="380" t="s">
        <v>362</v>
      </c>
      <c r="B41" s="385"/>
      <c r="C41" s="385"/>
    </row>
    <row r="42" spans="1:3" ht="12.75">
      <c r="A42" s="380" t="s">
        <v>363</v>
      </c>
      <c r="B42" s="386"/>
      <c r="C42" s="386"/>
    </row>
    <row r="43" spans="1:3" ht="12.75">
      <c r="A43" s="380" t="s">
        <v>364</v>
      </c>
      <c r="B43" s="386"/>
      <c r="C43" s="386"/>
    </row>
    <row r="44" spans="1:3" ht="12.75">
      <c r="A44" s="380" t="s">
        <v>365</v>
      </c>
      <c r="B44" s="386"/>
      <c r="C44" s="386"/>
    </row>
    <row r="45" spans="1:3" ht="12.75">
      <c r="A45" s="380" t="s">
        <v>366</v>
      </c>
      <c r="B45" s="386"/>
      <c r="C45" s="386"/>
    </row>
    <row r="46" spans="1:3" ht="12.75">
      <c r="A46" s="380" t="s">
        <v>367</v>
      </c>
      <c r="B46" s="386"/>
      <c r="C46" s="386"/>
    </row>
    <row r="47" spans="1:3" ht="12.75">
      <c r="A47" s="380" t="s">
        <v>368</v>
      </c>
      <c r="B47" s="386"/>
      <c r="C47" s="386"/>
    </row>
    <row r="48" spans="1:3" ht="15">
      <c r="A48" s="380" t="s">
        <v>369</v>
      </c>
      <c r="B48" s="387">
        <f>SUM(B49:B56)</f>
        <v>1250</v>
      </c>
      <c r="C48" s="387">
        <f>SUM(C49:C56)</f>
        <v>0</v>
      </c>
    </row>
    <row r="49" spans="1:3" ht="12.75">
      <c r="A49" s="380" t="s">
        <v>370</v>
      </c>
      <c r="B49" s="385"/>
      <c r="C49" s="385"/>
    </row>
    <row r="50" spans="1:3" ht="12.75">
      <c r="A50" s="380" t="s">
        <v>371</v>
      </c>
      <c r="B50" s="385"/>
      <c r="C50" s="385"/>
    </row>
    <row r="51" spans="1:3" ht="12.75">
      <c r="A51" s="380" t="s">
        <v>372</v>
      </c>
      <c r="B51" s="385"/>
      <c r="C51" s="385"/>
    </row>
    <row r="52" spans="1:3" ht="12.75">
      <c r="A52" s="380" t="s">
        <v>373</v>
      </c>
      <c r="B52" s="385"/>
      <c r="C52" s="385"/>
    </row>
    <row r="53" spans="1:3" ht="12.75">
      <c r="A53" s="380" t="s">
        <v>374</v>
      </c>
      <c r="B53" s="385">
        <v>1250</v>
      </c>
      <c r="C53" s="385">
        <v>0</v>
      </c>
    </row>
    <row r="54" spans="1:3" ht="12.75">
      <c r="A54" s="380" t="s">
        <v>375</v>
      </c>
      <c r="B54" s="385"/>
      <c r="C54" s="385"/>
    </row>
    <row r="55" spans="1:3" ht="12.75">
      <c r="A55" s="380" t="s">
        <v>376</v>
      </c>
      <c r="B55" s="385"/>
      <c r="C55" s="385"/>
    </row>
    <row r="56" spans="1:3" ht="12.75">
      <c r="A56" s="380" t="s">
        <v>377</v>
      </c>
      <c r="B56" s="385"/>
      <c r="C56" s="385"/>
    </row>
    <row r="57" spans="1:3" ht="15">
      <c r="A57" s="380" t="s">
        <v>378</v>
      </c>
      <c r="B57" s="387">
        <f>SUM(B58:B61)</f>
        <v>0</v>
      </c>
      <c r="C57" s="387">
        <f>SUM(C58:C61)</f>
        <v>0</v>
      </c>
    </row>
    <row r="58" spans="1:3" ht="12.75" customHeight="1">
      <c r="A58" s="390" t="s">
        <v>379</v>
      </c>
      <c r="B58" s="385"/>
      <c r="C58" s="385"/>
    </row>
    <row r="59" spans="1:3" ht="12.75">
      <c r="A59" s="390" t="s">
        <v>380</v>
      </c>
      <c r="B59" s="495"/>
      <c r="C59" s="495"/>
    </row>
    <row r="60" spans="1:3" ht="12.75">
      <c r="A60" s="391" t="s">
        <v>381</v>
      </c>
      <c r="B60" s="495"/>
      <c r="C60" s="495"/>
    </row>
    <row r="61" spans="1:3" ht="14.25" customHeight="1">
      <c r="A61" s="380" t="s">
        <v>382</v>
      </c>
      <c r="B61" s="385"/>
      <c r="C61" s="385"/>
    </row>
    <row r="62" spans="1:4" s="397" customFormat="1" ht="14.25" customHeight="1">
      <c r="A62" s="394"/>
      <c r="B62" s="395"/>
      <c r="C62" s="395"/>
      <c r="D62" s="396"/>
    </row>
    <row r="63" spans="1:4" s="397" customFormat="1" ht="14.25" customHeight="1">
      <c r="A63" s="398"/>
      <c r="B63" s="399"/>
      <c r="C63" s="399"/>
      <c r="D63" s="396"/>
    </row>
    <row r="64" spans="1:4" s="397" customFormat="1" ht="14.25" customHeight="1">
      <c r="A64" s="398"/>
      <c r="B64" s="399"/>
      <c r="C64" s="399"/>
      <c r="D64" s="396"/>
    </row>
    <row r="65" spans="1:4" s="397" customFormat="1" ht="14.25" customHeight="1">
      <c r="A65" s="398"/>
      <c r="B65" s="399"/>
      <c r="C65" s="399"/>
      <c r="D65" s="396"/>
    </row>
    <row r="66" spans="1:4" s="397" customFormat="1" ht="14.25" customHeight="1">
      <c r="A66" s="398"/>
      <c r="B66" s="399"/>
      <c r="C66" s="399"/>
      <c r="D66" s="396"/>
    </row>
    <row r="67" spans="1:4" s="397" customFormat="1" ht="14.25" customHeight="1">
      <c r="A67" s="398"/>
      <c r="B67" s="399"/>
      <c r="C67" s="399"/>
      <c r="D67" s="396"/>
    </row>
    <row r="68" spans="1:4" s="397" customFormat="1" ht="14.25" customHeight="1">
      <c r="A68" s="400"/>
      <c r="B68" s="401"/>
      <c r="C68" s="401"/>
      <c r="D68" s="396"/>
    </row>
    <row r="69" spans="1:3" ht="14.25" customHeight="1">
      <c r="A69" s="380"/>
      <c r="B69" s="381">
        <v>2012</v>
      </c>
      <c r="C69" s="381">
        <v>2013</v>
      </c>
    </row>
    <row r="70" spans="1:3" ht="15.75">
      <c r="A70" s="380" t="s">
        <v>383</v>
      </c>
      <c r="B70" s="383">
        <f>SUM(B71:B77)</f>
        <v>12949</v>
      </c>
      <c r="C70" s="383">
        <f>SUM(C71:C77)</f>
        <v>7332</v>
      </c>
    </row>
    <row r="71" spans="1:3" ht="12.75">
      <c r="A71" s="380" t="s">
        <v>384</v>
      </c>
      <c r="B71" s="385"/>
      <c r="C71" s="385"/>
    </row>
    <row r="72" spans="1:3" ht="12.75">
      <c r="A72" s="380" t="s">
        <v>385</v>
      </c>
      <c r="B72" s="385">
        <v>180</v>
      </c>
      <c r="C72" s="385">
        <v>564</v>
      </c>
    </row>
    <row r="73" spans="1:3" ht="12.75">
      <c r="A73" s="380" t="s">
        <v>386</v>
      </c>
      <c r="B73" s="385"/>
      <c r="C73" s="385"/>
    </row>
    <row r="74" spans="1:3" ht="12.75">
      <c r="A74" s="380" t="s">
        <v>387</v>
      </c>
      <c r="B74" s="385"/>
      <c r="C74" s="385"/>
    </row>
    <row r="75" spans="1:3" ht="12.75">
      <c r="A75" s="380" t="s">
        <v>388</v>
      </c>
      <c r="B75" s="385"/>
      <c r="C75" s="385"/>
    </row>
    <row r="76" spans="1:3" ht="12.75">
      <c r="A76" s="380" t="s">
        <v>389</v>
      </c>
      <c r="B76" s="385">
        <v>2937</v>
      </c>
      <c r="C76" s="385">
        <v>2201</v>
      </c>
    </row>
    <row r="77" spans="1:3" ht="12.75">
      <c r="A77" s="380" t="s">
        <v>390</v>
      </c>
      <c r="B77" s="385">
        <v>9832</v>
      </c>
      <c r="C77" s="385">
        <v>4567</v>
      </c>
    </row>
    <row r="78" spans="1:3" ht="12.75">
      <c r="A78" s="380"/>
      <c r="B78" s="385"/>
      <c r="C78" s="385"/>
    </row>
    <row r="79" spans="1:3" ht="12.75">
      <c r="A79" s="380" t="s">
        <v>391</v>
      </c>
      <c r="B79" s="385"/>
      <c r="C79" s="385"/>
    </row>
    <row r="80" spans="1:3" ht="15.75">
      <c r="A80" s="380" t="s">
        <v>392</v>
      </c>
      <c r="B80" s="383">
        <f>SUM(B81:B83)</f>
        <v>1320</v>
      </c>
      <c r="C80" s="383">
        <f>SUM(C81:C83)</f>
        <v>1484</v>
      </c>
    </row>
    <row r="81" spans="1:3" ht="12.75">
      <c r="A81" s="380" t="s">
        <v>393</v>
      </c>
      <c r="B81" s="385"/>
      <c r="C81" s="385"/>
    </row>
    <row r="82" spans="1:3" ht="12.75">
      <c r="A82" s="380" t="s">
        <v>394</v>
      </c>
      <c r="B82" s="385">
        <v>1292</v>
      </c>
      <c r="C82" s="385">
        <v>319</v>
      </c>
    </row>
    <row r="83" spans="1:3" ht="12.75">
      <c r="A83" s="380" t="s">
        <v>395</v>
      </c>
      <c r="B83" s="385">
        <v>28</v>
      </c>
      <c r="C83" s="385">
        <v>1165</v>
      </c>
    </row>
    <row r="84" spans="1:3" ht="12.75">
      <c r="A84" s="380"/>
      <c r="B84" s="385"/>
      <c r="C84" s="385"/>
    </row>
    <row r="85" spans="1:3" ht="12.75">
      <c r="A85" s="380" t="s">
        <v>396</v>
      </c>
      <c r="B85" s="386"/>
      <c r="C85" s="386"/>
    </row>
    <row r="86" spans="1:3" ht="12.75">
      <c r="A86" s="380"/>
      <c r="B86" s="386"/>
      <c r="C86" s="386"/>
    </row>
    <row r="87" spans="1:3" ht="12.75">
      <c r="A87" s="380" t="s">
        <v>397</v>
      </c>
      <c r="B87" s="386"/>
      <c r="C87" s="386"/>
    </row>
    <row r="88" spans="1:3" ht="12.75">
      <c r="A88" s="402" t="s">
        <v>398</v>
      </c>
      <c r="B88" s="385">
        <v>18362</v>
      </c>
      <c r="C88" s="385">
        <v>15646</v>
      </c>
    </row>
    <row r="89" spans="1:3" ht="12.75">
      <c r="A89" s="402" t="s">
        <v>399</v>
      </c>
      <c r="B89" s="386"/>
      <c r="C89" s="386"/>
    </row>
    <row r="90" spans="1:3" ht="12.75">
      <c r="A90" s="402" t="s">
        <v>400</v>
      </c>
      <c r="B90" s="386"/>
      <c r="C90" s="386"/>
    </row>
    <row r="91" spans="1:3" ht="12.75">
      <c r="A91" s="403" t="s">
        <v>401</v>
      </c>
      <c r="B91" s="386"/>
      <c r="C91" s="386"/>
    </row>
    <row r="92" spans="1:3" ht="12.75">
      <c r="A92" s="380" t="s">
        <v>402</v>
      </c>
      <c r="B92" s="386"/>
      <c r="C92" s="386"/>
    </row>
    <row r="93" spans="1:3" ht="12.75">
      <c r="A93" s="380" t="s">
        <v>403</v>
      </c>
      <c r="B93" s="386"/>
      <c r="C93" s="386"/>
    </row>
    <row r="94" spans="1:3" ht="12.75">
      <c r="A94" s="380" t="s">
        <v>404</v>
      </c>
      <c r="B94" s="386"/>
      <c r="C94" s="386"/>
    </row>
    <row r="95" spans="1:3" ht="12.75">
      <c r="A95" s="380" t="s">
        <v>405</v>
      </c>
      <c r="B95" s="386"/>
      <c r="C95" s="386"/>
    </row>
    <row r="96" spans="1:3" ht="12.75">
      <c r="A96" s="380" t="s">
        <v>406</v>
      </c>
      <c r="B96" s="386"/>
      <c r="C96" s="386"/>
    </row>
    <row r="97" spans="1:3" ht="12.75">
      <c r="A97" s="380"/>
      <c r="B97" s="386"/>
      <c r="C97" s="386"/>
    </row>
    <row r="98" spans="1:3" ht="12.75">
      <c r="A98" s="380" t="s">
        <v>407</v>
      </c>
      <c r="B98" s="386"/>
      <c r="C98" s="386"/>
    </row>
    <row r="99" spans="1:3" ht="12.75">
      <c r="A99" s="402" t="s">
        <v>408</v>
      </c>
      <c r="B99" s="386"/>
      <c r="C99" s="386"/>
    </row>
    <row r="100" spans="1:3" ht="12.75">
      <c r="A100" s="402" t="s">
        <v>409</v>
      </c>
      <c r="B100" s="386"/>
      <c r="C100" s="386"/>
    </row>
    <row r="101" spans="1:3" ht="12.75">
      <c r="A101" s="402" t="s">
        <v>410</v>
      </c>
      <c r="B101" s="385"/>
      <c r="C101" s="385"/>
    </row>
    <row r="102" spans="1:3" ht="12.75">
      <c r="A102" s="402" t="s">
        <v>411</v>
      </c>
      <c r="B102" s="386"/>
      <c r="C102" s="386"/>
    </row>
    <row r="103" spans="1:3" ht="12.75">
      <c r="A103" s="402" t="s">
        <v>412</v>
      </c>
      <c r="B103" s="386"/>
      <c r="C103" s="386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8.sz. melléklet&amp;C&amp;"Arial,Félkövér"&amp;12Nagykovácsi Polgármesteri Hivatal 2013. évi vagyonkimutatása&amp;R
adatok  eFt-ban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83"/>
  <sheetViews>
    <sheetView zoomScalePageLayoutView="0" workbookViewId="0" topLeftCell="A1">
      <pane xSplit="2" ySplit="4" topLeftCell="C47" activePane="bottomRight" state="frozen"/>
      <selection pane="topLeft" activeCell="X8" sqref="X8"/>
      <selection pane="topRight" activeCell="X8" sqref="X8"/>
      <selection pane="bottomLeft" activeCell="X8" sqref="X8"/>
      <selection pane="bottomRight" activeCell="B48" sqref="B47:B48"/>
    </sheetView>
  </sheetViews>
  <sheetFormatPr defaultColWidth="8.8515625" defaultRowHeight="12.75"/>
  <cols>
    <col min="1" max="1" width="9.57421875" style="13" customWidth="1"/>
    <col min="2" max="2" width="54.28125" style="13" customWidth="1"/>
    <col min="3" max="3" width="16.140625" style="13" customWidth="1"/>
    <col min="4" max="8" width="16.140625" style="13" hidden="1" customWidth="1"/>
    <col min="9" max="9" width="16.140625" style="243" hidden="1" customWidth="1"/>
    <col min="10" max="16" width="16.140625" style="13" hidden="1" customWidth="1"/>
    <col min="17" max="17" width="16.140625" style="13" customWidth="1"/>
    <col min="18" max="19" width="16.28125" style="13" customWidth="1"/>
    <col min="20" max="16384" width="8.8515625" style="13" customWidth="1"/>
  </cols>
  <sheetData>
    <row r="1" spans="1:19" s="130" customFormat="1" ht="26.25" thickBot="1">
      <c r="A1" s="128" t="s">
        <v>23</v>
      </c>
      <c r="B1" s="129" t="s">
        <v>24</v>
      </c>
      <c r="C1" s="59" t="s">
        <v>450</v>
      </c>
      <c r="D1" s="59" t="s">
        <v>187</v>
      </c>
      <c r="E1" s="59" t="s">
        <v>188</v>
      </c>
      <c r="F1" s="59" t="s">
        <v>213</v>
      </c>
      <c r="G1" s="59" t="s">
        <v>211</v>
      </c>
      <c r="H1" s="233" t="s">
        <v>215</v>
      </c>
      <c r="I1" s="245" t="s">
        <v>216</v>
      </c>
      <c r="J1" s="59" t="s">
        <v>206</v>
      </c>
      <c r="K1" s="59" t="s">
        <v>204</v>
      </c>
      <c r="L1" s="59" t="s">
        <v>222</v>
      </c>
      <c r="M1" s="59" t="s">
        <v>220</v>
      </c>
      <c r="N1" s="59" t="s">
        <v>229</v>
      </c>
      <c r="O1" s="59" t="s">
        <v>230</v>
      </c>
      <c r="P1" s="59" t="s">
        <v>233</v>
      </c>
      <c r="Q1" s="59" t="s">
        <v>451</v>
      </c>
      <c r="R1" s="59" t="s">
        <v>236</v>
      </c>
      <c r="S1" s="59" t="s">
        <v>238</v>
      </c>
    </row>
    <row r="2" spans="1:19" ht="13.5" thickBot="1">
      <c r="A2" s="14"/>
      <c r="B2" s="15"/>
      <c r="C2" s="59"/>
      <c r="D2" s="59"/>
      <c r="E2" s="59" t="s">
        <v>189</v>
      </c>
      <c r="F2" s="59"/>
      <c r="G2" s="59" t="s">
        <v>189</v>
      </c>
      <c r="H2" s="59"/>
      <c r="I2" s="108"/>
      <c r="J2" s="59"/>
      <c r="K2" s="59" t="s">
        <v>189</v>
      </c>
      <c r="L2" s="59"/>
      <c r="M2" s="59" t="s">
        <v>189</v>
      </c>
      <c r="N2" s="59"/>
      <c r="O2" s="59" t="s">
        <v>189</v>
      </c>
      <c r="P2" s="59"/>
      <c r="Q2" s="59"/>
      <c r="R2" s="59"/>
      <c r="S2" s="59"/>
    </row>
    <row r="3" spans="1:19" ht="12.75">
      <c r="A3" s="14"/>
      <c r="B3" s="15"/>
      <c r="C3" s="16"/>
      <c r="D3" s="16"/>
      <c r="E3" s="16"/>
      <c r="F3" s="16"/>
      <c r="G3" s="16"/>
      <c r="H3" s="16"/>
      <c r="I3" s="23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3.5" thickBot="1">
      <c r="A4" s="17">
        <v>1</v>
      </c>
      <c r="B4" s="3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14</v>
      </c>
      <c r="Q4" s="17">
        <v>4</v>
      </c>
      <c r="R4" s="17">
        <v>5</v>
      </c>
      <c r="S4" s="17">
        <v>6</v>
      </c>
    </row>
    <row r="5" spans="1:19" ht="13.5" thickBot="1">
      <c r="A5" s="18" t="s">
        <v>27</v>
      </c>
      <c r="B5" s="74" t="s">
        <v>28</v>
      </c>
      <c r="C5" s="73">
        <f>C6+C22</f>
        <v>3524</v>
      </c>
      <c r="D5" s="73"/>
      <c r="E5" s="73"/>
      <c r="F5" s="73"/>
      <c r="G5" s="73"/>
      <c r="H5" s="73"/>
      <c r="I5" s="237"/>
      <c r="J5" s="73"/>
      <c r="K5" s="73"/>
      <c r="L5" s="73"/>
      <c r="M5" s="73"/>
      <c r="N5" s="73"/>
      <c r="O5" s="73"/>
      <c r="P5" s="73"/>
      <c r="Q5" s="73">
        <f>Q6+Q22</f>
        <v>9061</v>
      </c>
      <c r="R5" s="73">
        <f>R6+R22</f>
        <v>7663</v>
      </c>
      <c r="S5" s="73"/>
    </row>
    <row r="6" spans="1:19" ht="13.5" thickBot="1">
      <c r="A6" s="75" t="s">
        <v>29</v>
      </c>
      <c r="B6" s="76" t="s">
        <v>30</v>
      </c>
      <c r="C6" s="77">
        <f>SUM(C7:C11)</f>
        <v>2262</v>
      </c>
      <c r="D6" s="77">
        <f aca="true" t="shared" si="0" ref="D6:Q6">SUM(D7:D11)</f>
        <v>0</v>
      </c>
      <c r="E6" s="77">
        <f t="shared" si="0"/>
        <v>30</v>
      </c>
      <c r="F6" s="77">
        <f t="shared" si="0"/>
        <v>0</v>
      </c>
      <c r="G6" s="77">
        <f t="shared" si="0"/>
        <v>30</v>
      </c>
      <c r="H6" s="77">
        <f t="shared" si="0"/>
        <v>0</v>
      </c>
      <c r="I6" s="77" t="e">
        <f t="shared" si="0"/>
        <v>#DIV/0!</v>
      </c>
      <c r="J6" s="77">
        <f t="shared" si="0"/>
        <v>0</v>
      </c>
      <c r="K6" s="77">
        <f t="shared" si="0"/>
        <v>30</v>
      </c>
      <c r="L6" s="77">
        <f t="shared" si="0"/>
        <v>0</v>
      </c>
      <c r="M6" s="77">
        <f t="shared" si="0"/>
        <v>30</v>
      </c>
      <c r="N6" s="77">
        <f t="shared" si="0"/>
        <v>0</v>
      </c>
      <c r="O6" s="77">
        <f t="shared" si="0"/>
        <v>30</v>
      </c>
      <c r="P6" s="77">
        <f t="shared" si="0"/>
        <v>410</v>
      </c>
      <c r="Q6" s="77">
        <f t="shared" si="0"/>
        <v>3629</v>
      </c>
      <c r="R6" s="77">
        <f>SUM(R7:R11)</f>
        <v>3391</v>
      </c>
      <c r="S6" s="238">
        <f>+R6/Q6</f>
        <v>0.9344171948195095</v>
      </c>
    </row>
    <row r="7" spans="1:19" ht="13.5" thickTop="1">
      <c r="A7" s="19"/>
      <c r="B7" s="20" t="s">
        <v>91</v>
      </c>
      <c r="C7" s="119"/>
      <c r="D7" s="119"/>
      <c r="E7" s="119">
        <f aca="true" t="shared" si="1" ref="E7:E67">+C7+D7</f>
        <v>0</v>
      </c>
      <c r="F7" s="119"/>
      <c r="G7" s="119">
        <f aca="true" t="shared" si="2" ref="G7:G67">+E7+F7</f>
        <v>0</v>
      </c>
      <c r="H7" s="119"/>
      <c r="I7" s="239"/>
      <c r="J7" s="119"/>
      <c r="K7" s="119">
        <f aca="true" t="shared" si="3" ref="K7:K67">+G7+J7</f>
        <v>0</v>
      </c>
      <c r="L7" s="119"/>
      <c r="M7" s="119">
        <f aca="true" t="shared" si="4" ref="M7:M67">+K7+L7</f>
        <v>0</v>
      </c>
      <c r="N7" s="119"/>
      <c r="O7" s="119">
        <f aca="true" t="shared" si="5" ref="O7:O67">+M7+N7</f>
        <v>0</v>
      </c>
      <c r="P7" s="119"/>
      <c r="Q7" s="119">
        <f aca="true" t="shared" si="6" ref="Q7:Q67">+O7+P7</f>
        <v>0</v>
      </c>
      <c r="R7" s="119"/>
      <c r="S7" s="239"/>
    </row>
    <row r="8" spans="1:19" ht="12.75">
      <c r="A8" s="22"/>
      <c r="B8" s="23" t="s">
        <v>92</v>
      </c>
      <c r="C8" s="21">
        <v>2232</v>
      </c>
      <c r="D8" s="21"/>
      <c r="E8" s="21"/>
      <c r="F8" s="21"/>
      <c r="G8" s="21"/>
      <c r="H8" s="21"/>
      <c r="I8" s="240"/>
      <c r="J8" s="21"/>
      <c r="K8" s="21"/>
      <c r="L8" s="21"/>
      <c r="M8" s="21"/>
      <c r="N8" s="21"/>
      <c r="O8" s="21"/>
      <c r="P8" s="21"/>
      <c r="Q8" s="21">
        <v>3165</v>
      </c>
      <c r="R8" s="21">
        <v>2915</v>
      </c>
      <c r="S8" s="240">
        <f aca="true" t="shared" si="7" ref="S8:S68">+R8/Q8</f>
        <v>0.9210110584518167</v>
      </c>
    </row>
    <row r="9" spans="1:19" ht="12.75">
      <c r="A9" s="22"/>
      <c r="B9" s="23" t="s">
        <v>93</v>
      </c>
      <c r="C9" s="443"/>
      <c r="D9" s="443"/>
      <c r="E9" s="443">
        <f t="shared" si="1"/>
        <v>0</v>
      </c>
      <c r="F9" s="443"/>
      <c r="G9" s="443">
        <f t="shared" si="2"/>
        <v>0</v>
      </c>
      <c r="H9" s="443"/>
      <c r="I9" s="444" t="e">
        <f aca="true" t="shared" si="8" ref="I9:I65">+H9/G9</f>
        <v>#DIV/0!</v>
      </c>
      <c r="J9" s="443"/>
      <c r="K9" s="443">
        <f t="shared" si="3"/>
        <v>0</v>
      </c>
      <c r="L9" s="443"/>
      <c r="M9" s="443">
        <f t="shared" si="4"/>
        <v>0</v>
      </c>
      <c r="N9" s="443"/>
      <c r="O9" s="443">
        <f t="shared" si="5"/>
        <v>0</v>
      </c>
      <c r="P9" s="443">
        <v>332</v>
      </c>
      <c r="Q9" s="443">
        <f t="shared" si="6"/>
        <v>332</v>
      </c>
      <c r="R9" s="443">
        <v>332</v>
      </c>
      <c r="S9" s="444">
        <f t="shared" si="7"/>
        <v>1</v>
      </c>
    </row>
    <row r="10" spans="1:19" ht="12.75" hidden="1">
      <c r="A10" s="22"/>
      <c r="B10" s="24" t="s">
        <v>75</v>
      </c>
      <c r="C10" s="443"/>
      <c r="D10" s="443"/>
      <c r="E10" s="443">
        <f t="shared" si="1"/>
        <v>0</v>
      </c>
      <c r="F10" s="443"/>
      <c r="G10" s="443">
        <f t="shared" si="2"/>
        <v>0</v>
      </c>
      <c r="H10" s="443"/>
      <c r="I10" s="444" t="e">
        <f t="shared" si="8"/>
        <v>#DIV/0!</v>
      </c>
      <c r="J10" s="443"/>
      <c r="K10" s="443">
        <f t="shared" si="3"/>
        <v>0</v>
      </c>
      <c r="L10" s="443"/>
      <c r="M10" s="443">
        <f t="shared" si="4"/>
        <v>0</v>
      </c>
      <c r="N10" s="443"/>
      <c r="O10" s="443">
        <f t="shared" si="5"/>
        <v>0</v>
      </c>
      <c r="P10" s="443"/>
      <c r="Q10" s="443">
        <f t="shared" si="6"/>
        <v>0</v>
      </c>
      <c r="R10" s="443"/>
      <c r="S10" s="444" t="e">
        <f t="shared" si="7"/>
        <v>#DIV/0!</v>
      </c>
    </row>
    <row r="11" spans="1:19" ht="13.5" thickBot="1">
      <c r="A11" s="22"/>
      <c r="B11" s="24" t="s">
        <v>31</v>
      </c>
      <c r="C11" s="443">
        <v>30</v>
      </c>
      <c r="D11" s="443"/>
      <c r="E11" s="443">
        <f t="shared" si="1"/>
        <v>30</v>
      </c>
      <c r="F11" s="443"/>
      <c r="G11" s="443">
        <f t="shared" si="2"/>
        <v>30</v>
      </c>
      <c r="H11" s="443"/>
      <c r="I11" s="444">
        <f t="shared" si="8"/>
        <v>0</v>
      </c>
      <c r="J11" s="443"/>
      <c r="K11" s="443">
        <f t="shared" si="3"/>
        <v>30</v>
      </c>
      <c r="L11" s="443"/>
      <c r="M11" s="443">
        <f t="shared" si="4"/>
        <v>30</v>
      </c>
      <c r="N11" s="443"/>
      <c r="O11" s="443">
        <f t="shared" si="5"/>
        <v>30</v>
      </c>
      <c r="P11" s="443">
        <v>78</v>
      </c>
      <c r="Q11" s="443">
        <v>132</v>
      </c>
      <c r="R11" s="443">
        <v>144</v>
      </c>
      <c r="S11" s="444">
        <f t="shared" si="7"/>
        <v>1.0909090909090908</v>
      </c>
    </row>
    <row r="12" spans="1:19" ht="13.5" hidden="1" thickBot="1">
      <c r="A12" s="75" t="s">
        <v>32</v>
      </c>
      <c r="B12" s="78" t="s">
        <v>33</v>
      </c>
      <c r="C12" s="445">
        <f>SUM(C13:C17)</f>
        <v>0</v>
      </c>
      <c r="D12" s="445"/>
      <c r="E12" s="445">
        <f t="shared" si="1"/>
        <v>0</v>
      </c>
      <c r="F12" s="445"/>
      <c r="G12" s="445">
        <f t="shared" si="2"/>
        <v>0</v>
      </c>
      <c r="H12" s="445">
        <f>SUM(H13:H17)</f>
        <v>0</v>
      </c>
      <c r="I12" s="446" t="e">
        <f t="shared" si="8"/>
        <v>#DIV/0!</v>
      </c>
      <c r="J12" s="445"/>
      <c r="K12" s="445">
        <f t="shared" si="3"/>
        <v>0</v>
      </c>
      <c r="L12" s="445"/>
      <c r="M12" s="445">
        <f t="shared" si="4"/>
        <v>0</v>
      </c>
      <c r="N12" s="445"/>
      <c r="O12" s="445">
        <f t="shared" si="5"/>
        <v>0</v>
      </c>
      <c r="P12" s="445"/>
      <c r="Q12" s="445">
        <f t="shared" si="6"/>
        <v>0</v>
      </c>
      <c r="R12" s="445">
        <f>SUM(R13:R17)</f>
        <v>0</v>
      </c>
      <c r="S12" s="446" t="e">
        <f t="shared" si="7"/>
        <v>#DIV/0!</v>
      </c>
    </row>
    <row r="13" spans="1:19" ht="13.5" hidden="1" thickBot="1">
      <c r="A13" s="22"/>
      <c r="B13" s="23" t="s">
        <v>34</v>
      </c>
      <c r="C13" s="443"/>
      <c r="D13" s="443"/>
      <c r="E13" s="443">
        <f t="shared" si="1"/>
        <v>0</v>
      </c>
      <c r="F13" s="443"/>
      <c r="G13" s="443">
        <f t="shared" si="2"/>
        <v>0</v>
      </c>
      <c r="H13" s="443"/>
      <c r="I13" s="444" t="e">
        <f t="shared" si="8"/>
        <v>#DIV/0!</v>
      </c>
      <c r="J13" s="443"/>
      <c r="K13" s="443">
        <f t="shared" si="3"/>
        <v>0</v>
      </c>
      <c r="L13" s="443"/>
      <c r="M13" s="443">
        <f t="shared" si="4"/>
        <v>0</v>
      </c>
      <c r="N13" s="443"/>
      <c r="O13" s="443">
        <f t="shared" si="5"/>
        <v>0</v>
      </c>
      <c r="P13" s="443"/>
      <c r="Q13" s="443">
        <f t="shared" si="6"/>
        <v>0</v>
      </c>
      <c r="R13" s="443"/>
      <c r="S13" s="444" t="e">
        <f t="shared" si="7"/>
        <v>#DIV/0!</v>
      </c>
    </row>
    <row r="14" spans="1:19" ht="13.5" hidden="1" thickBot="1">
      <c r="A14" s="22"/>
      <c r="B14" s="23" t="s">
        <v>13</v>
      </c>
      <c r="C14" s="443"/>
      <c r="D14" s="443"/>
      <c r="E14" s="443">
        <f t="shared" si="1"/>
        <v>0</v>
      </c>
      <c r="F14" s="443"/>
      <c r="G14" s="443">
        <f t="shared" si="2"/>
        <v>0</v>
      </c>
      <c r="H14" s="443"/>
      <c r="I14" s="444" t="e">
        <f t="shared" si="8"/>
        <v>#DIV/0!</v>
      </c>
      <c r="J14" s="443"/>
      <c r="K14" s="443">
        <f t="shared" si="3"/>
        <v>0</v>
      </c>
      <c r="L14" s="443"/>
      <c r="M14" s="443">
        <f t="shared" si="4"/>
        <v>0</v>
      </c>
      <c r="N14" s="443"/>
      <c r="O14" s="443">
        <f t="shared" si="5"/>
        <v>0</v>
      </c>
      <c r="P14" s="443"/>
      <c r="Q14" s="443">
        <f t="shared" si="6"/>
        <v>0</v>
      </c>
      <c r="R14" s="443"/>
      <c r="S14" s="444" t="e">
        <f t="shared" si="7"/>
        <v>#DIV/0!</v>
      </c>
    </row>
    <row r="15" spans="1:19" ht="13.5" hidden="1" thickBot="1">
      <c r="A15" s="22"/>
      <c r="B15" s="23" t="s">
        <v>128</v>
      </c>
      <c r="C15" s="443"/>
      <c r="D15" s="443"/>
      <c r="E15" s="443">
        <f t="shared" si="1"/>
        <v>0</v>
      </c>
      <c r="F15" s="443"/>
      <c r="G15" s="443">
        <f t="shared" si="2"/>
        <v>0</v>
      </c>
      <c r="H15" s="443"/>
      <c r="I15" s="444" t="e">
        <f t="shared" si="8"/>
        <v>#DIV/0!</v>
      </c>
      <c r="J15" s="443"/>
      <c r="K15" s="443">
        <f t="shared" si="3"/>
        <v>0</v>
      </c>
      <c r="L15" s="443"/>
      <c r="M15" s="443">
        <f t="shared" si="4"/>
        <v>0</v>
      </c>
      <c r="N15" s="443"/>
      <c r="O15" s="443">
        <f t="shared" si="5"/>
        <v>0</v>
      </c>
      <c r="P15" s="443"/>
      <c r="Q15" s="443">
        <f t="shared" si="6"/>
        <v>0</v>
      </c>
      <c r="R15" s="443"/>
      <c r="S15" s="444" t="e">
        <f t="shared" si="7"/>
        <v>#DIV/0!</v>
      </c>
    </row>
    <row r="16" spans="1:19" ht="13.5" hidden="1" thickBot="1">
      <c r="A16" s="22"/>
      <c r="B16" s="23" t="s">
        <v>94</v>
      </c>
      <c r="C16" s="443"/>
      <c r="D16" s="443"/>
      <c r="E16" s="443">
        <f t="shared" si="1"/>
        <v>0</v>
      </c>
      <c r="F16" s="443"/>
      <c r="G16" s="443">
        <f t="shared" si="2"/>
        <v>0</v>
      </c>
      <c r="H16" s="443"/>
      <c r="I16" s="444" t="e">
        <f t="shared" si="8"/>
        <v>#DIV/0!</v>
      </c>
      <c r="J16" s="443"/>
      <c r="K16" s="443">
        <f t="shared" si="3"/>
        <v>0</v>
      </c>
      <c r="L16" s="443"/>
      <c r="M16" s="443">
        <f t="shared" si="4"/>
        <v>0</v>
      </c>
      <c r="N16" s="443"/>
      <c r="O16" s="443">
        <f t="shared" si="5"/>
        <v>0</v>
      </c>
      <c r="P16" s="443"/>
      <c r="Q16" s="443">
        <f t="shared" si="6"/>
        <v>0</v>
      </c>
      <c r="R16" s="443"/>
      <c r="S16" s="444" t="e">
        <f t="shared" si="7"/>
        <v>#DIV/0!</v>
      </c>
    </row>
    <row r="17" spans="1:19" ht="13.5" hidden="1" thickBot="1">
      <c r="A17" s="72"/>
      <c r="B17" s="24" t="s">
        <v>95</v>
      </c>
      <c r="C17" s="447"/>
      <c r="D17" s="447"/>
      <c r="E17" s="447">
        <f t="shared" si="1"/>
        <v>0</v>
      </c>
      <c r="F17" s="447"/>
      <c r="G17" s="447">
        <f t="shared" si="2"/>
        <v>0</v>
      </c>
      <c r="H17" s="447"/>
      <c r="I17" s="448" t="e">
        <f t="shared" si="8"/>
        <v>#DIV/0!</v>
      </c>
      <c r="J17" s="447"/>
      <c r="K17" s="447">
        <f t="shared" si="3"/>
        <v>0</v>
      </c>
      <c r="L17" s="447"/>
      <c r="M17" s="447">
        <f t="shared" si="4"/>
        <v>0</v>
      </c>
      <c r="N17" s="447"/>
      <c r="O17" s="447">
        <f t="shared" si="5"/>
        <v>0</v>
      </c>
      <c r="P17" s="447"/>
      <c r="Q17" s="447">
        <f t="shared" si="6"/>
        <v>0</v>
      </c>
      <c r="R17" s="447"/>
      <c r="S17" s="448" t="e">
        <f t="shared" si="7"/>
        <v>#DIV/0!</v>
      </c>
    </row>
    <row r="18" spans="1:19" ht="13.5" hidden="1" thickBot="1">
      <c r="A18" s="75" t="s">
        <v>35</v>
      </c>
      <c r="B18" s="76" t="s">
        <v>36</v>
      </c>
      <c r="C18" s="445">
        <f>SUM(C19:C21)</f>
        <v>0</v>
      </c>
      <c r="D18" s="445"/>
      <c r="E18" s="445">
        <f t="shared" si="1"/>
        <v>0</v>
      </c>
      <c r="F18" s="445"/>
      <c r="G18" s="445">
        <f t="shared" si="2"/>
        <v>0</v>
      </c>
      <c r="H18" s="445">
        <f>SUM(H19:H21)</f>
        <v>0</v>
      </c>
      <c r="I18" s="446" t="e">
        <f t="shared" si="8"/>
        <v>#DIV/0!</v>
      </c>
      <c r="J18" s="445"/>
      <c r="K18" s="445">
        <f t="shared" si="3"/>
        <v>0</v>
      </c>
      <c r="L18" s="445"/>
      <c r="M18" s="445">
        <f t="shared" si="4"/>
        <v>0</v>
      </c>
      <c r="N18" s="445"/>
      <c r="O18" s="445">
        <f t="shared" si="5"/>
        <v>0</v>
      </c>
      <c r="P18" s="445"/>
      <c r="Q18" s="445">
        <f t="shared" si="6"/>
        <v>0</v>
      </c>
      <c r="R18" s="445">
        <f>SUM(R19:R21)</f>
        <v>0</v>
      </c>
      <c r="S18" s="446" t="e">
        <f t="shared" si="7"/>
        <v>#DIV/0!</v>
      </c>
    </row>
    <row r="19" spans="1:19" ht="14.25" hidden="1" thickBot="1" thickTop="1">
      <c r="A19" s="19"/>
      <c r="B19" s="20" t="s">
        <v>15</v>
      </c>
      <c r="C19" s="449"/>
      <c r="D19" s="449"/>
      <c r="E19" s="449">
        <f t="shared" si="1"/>
        <v>0</v>
      </c>
      <c r="F19" s="449"/>
      <c r="G19" s="449">
        <f t="shared" si="2"/>
        <v>0</v>
      </c>
      <c r="H19" s="449"/>
      <c r="I19" s="450" t="e">
        <f t="shared" si="8"/>
        <v>#DIV/0!</v>
      </c>
      <c r="J19" s="449"/>
      <c r="K19" s="449">
        <f t="shared" si="3"/>
        <v>0</v>
      </c>
      <c r="L19" s="449"/>
      <c r="M19" s="449">
        <f t="shared" si="4"/>
        <v>0</v>
      </c>
      <c r="N19" s="449"/>
      <c r="O19" s="449">
        <f t="shared" si="5"/>
        <v>0</v>
      </c>
      <c r="P19" s="449"/>
      <c r="Q19" s="449">
        <f t="shared" si="6"/>
        <v>0</v>
      </c>
      <c r="R19" s="449"/>
      <c r="S19" s="450" t="e">
        <f t="shared" si="7"/>
        <v>#DIV/0!</v>
      </c>
    </row>
    <row r="20" spans="1:19" ht="13.5" hidden="1" thickBot="1">
      <c r="A20" s="19"/>
      <c r="B20" s="79" t="s">
        <v>96</v>
      </c>
      <c r="C20" s="443"/>
      <c r="D20" s="443"/>
      <c r="E20" s="443">
        <f t="shared" si="1"/>
        <v>0</v>
      </c>
      <c r="F20" s="443"/>
      <c r="G20" s="443">
        <f t="shared" si="2"/>
        <v>0</v>
      </c>
      <c r="H20" s="443"/>
      <c r="I20" s="444" t="e">
        <f t="shared" si="8"/>
        <v>#DIV/0!</v>
      </c>
      <c r="J20" s="443"/>
      <c r="K20" s="443">
        <f t="shared" si="3"/>
        <v>0</v>
      </c>
      <c r="L20" s="443"/>
      <c r="M20" s="443">
        <f t="shared" si="4"/>
        <v>0</v>
      </c>
      <c r="N20" s="443"/>
      <c r="O20" s="443">
        <f t="shared" si="5"/>
        <v>0</v>
      </c>
      <c r="P20" s="443"/>
      <c r="Q20" s="443">
        <f t="shared" si="6"/>
        <v>0</v>
      </c>
      <c r="R20" s="443"/>
      <c r="S20" s="444" t="e">
        <f t="shared" si="7"/>
        <v>#DIV/0!</v>
      </c>
    </row>
    <row r="21" spans="1:19" ht="13.5" hidden="1" thickBot="1">
      <c r="A21" s="72"/>
      <c r="B21" s="24" t="s">
        <v>17</v>
      </c>
      <c r="C21" s="447"/>
      <c r="D21" s="447"/>
      <c r="E21" s="447">
        <f t="shared" si="1"/>
        <v>0</v>
      </c>
      <c r="F21" s="447"/>
      <c r="G21" s="447">
        <f t="shared" si="2"/>
        <v>0</v>
      </c>
      <c r="H21" s="447"/>
      <c r="I21" s="448" t="e">
        <f t="shared" si="8"/>
        <v>#DIV/0!</v>
      </c>
      <c r="J21" s="447"/>
      <c r="K21" s="447">
        <f t="shared" si="3"/>
        <v>0</v>
      </c>
      <c r="L21" s="447"/>
      <c r="M21" s="447">
        <f t="shared" si="4"/>
        <v>0</v>
      </c>
      <c r="N21" s="447"/>
      <c r="O21" s="447">
        <f t="shared" si="5"/>
        <v>0</v>
      </c>
      <c r="P21" s="447"/>
      <c r="Q21" s="447">
        <f t="shared" si="6"/>
        <v>0</v>
      </c>
      <c r="R21" s="447"/>
      <c r="S21" s="448" t="e">
        <f t="shared" si="7"/>
        <v>#DIV/0!</v>
      </c>
    </row>
    <row r="22" spans="1:19" ht="13.5" thickBot="1">
      <c r="A22" s="75" t="s">
        <v>37</v>
      </c>
      <c r="B22" s="78" t="s">
        <v>97</v>
      </c>
      <c r="C22" s="445">
        <f>SUM(C23:C29)</f>
        <v>1262</v>
      </c>
      <c r="D22" s="445">
        <f aca="true" t="shared" si="9" ref="D22:Q22">SUM(D23:D29)</f>
        <v>0</v>
      </c>
      <c r="E22" s="445">
        <f t="shared" si="9"/>
        <v>1262</v>
      </c>
      <c r="F22" s="445">
        <f t="shared" si="9"/>
        <v>0</v>
      </c>
      <c r="G22" s="445">
        <f t="shared" si="9"/>
        <v>1262</v>
      </c>
      <c r="H22" s="445">
        <f t="shared" si="9"/>
        <v>1679</v>
      </c>
      <c r="I22" s="445" t="e">
        <f t="shared" si="9"/>
        <v>#DIV/0!</v>
      </c>
      <c r="J22" s="445">
        <f t="shared" si="9"/>
        <v>-1837</v>
      </c>
      <c r="K22" s="445">
        <f t="shared" si="9"/>
        <v>-575</v>
      </c>
      <c r="L22" s="445">
        <f t="shared" si="9"/>
        <v>0</v>
      </c>
      <c r="M22" s="445">
        <f t="shared" si="9"/>
        <v>-575</v>
      </c>
      <c r="N22" s="445">
        <f t="shared" si="9"/>
        <v>0</v>
      </c>
      <c r="O22" s="445">
        <f t="shared" si="9"/>
        <v>-575</v>
      </c>
      <c r="P22" s="445">
        <f t="shared" si="9"/>
        <v>480</v>
      </c>
      <c r="Q22" s="445">
        <f t="shared" si="9"/>
        <v>5432</v>
      </c>
      <c r="R22" s="445">
        <f>SUM(R23:R29)</f>
        <v>4272</v>
      </c>
      <c r="S22" s="446">
        <f t="shared" si="7"/>
        <v>0.7864506627393225</v>
      </c>
    </row>
    <row r="23" spans="1:19" ht="13.5" thickTop="1">
      <c r="A23" s="26"/>
      <c r="B23" s="20" t="s">
        <v>454</v>
      </c>
      <c r="C23" s="449"/>
      <c r="D23" s="449"/>
      <c r="E23" s="449">
        <f t="shared" si="1"/>
        <v>0</v>
      </c>
      <c r="F23" s="449"/>
      <c r="G23" s="449">
        <f t="shared" si="2"/>
        <v>0</v>
      </c>
      <c r="H23" s="449"/>
      <c r="I23" s="450" t="e">
        <f t="shared" si="8"/>
        <v>#DIV/0!</v>
      </c>
      <c r="J23" s="449"/>
      <c r="K23" s="449">
        <f t="shared" si="3"/>
        <v>0</v>
      </c>
      <c r="L23" s="449"/>
      <c r="M23" s="449">
        <f t="shared" si="4"/>
        <v>0</v>
      </c>
      <c r="N23" s="449"/>
      <c r="O23" s="449">
        <f t="shared" si="5"/>
        <v>0</v>
      </c>
      <c r="P23" s="449"/>
      <c r="Q23" s="449">
        <f t="shared" si="6"/>
        <v>0</v>
      </c>
      <c r="R23" s="449">
        <v>10</v>
      </c>
      <c r="S23" s="450"/>
    </row>
    <row r="24" spans="1:19" ht="12.75">
      <c r="A24" s="27"/>
      <c r="B24" s="23" t="s">
        <v>98</v>
      </c>
      <c r="C24" s="443"/>
      <c r="D24" s="443"/>
      <c r="E24" s="443">
        <f t="shared" si="1"/>
        <v>0</v>
      </c>
      <c r="F24" s="443"/>
      <c r="G24" s="443">
        <f t="shared" si="2"/>
        <v>0</v>
      </c>
      <c r="H24" s="443"/>
      <c r="I24" s="444" t="e">
        <f t="shared" si="8"/>
        <v>#DIV/0!</v>
      </c>
      <c r="J24" s="443"/>
      <c r="K24" s="443">
        <f t="shared" si="3"/>
        <v>0</v>
      </c>
      <c r="L24" s="443"/>
      <c r="M24" s="443">
        <f t="shared" si="4"/>
        <v>0</v>
      </c>
      <c r="N24" s="443"/>
      <c r="O24" s="443">
        <f t="shared" si="5"/>
        <v>0</v>
      </c>
      <c r="P24" s="443"/>
      <c r="Q24" s="443">
        <v>435</v>
      </c>
      <c r="R24" s="443">
        <v>435</v>
      </c>
      <c r="S24" s="444"/>
    </row>
    <row r="25" spans="1:19" ht="12.75">
      <c r="A25" s="27"/>
      <c r="B25" s="23" t="s">
        <v>452</v>
      </c>
      <c r="C25" s="451"/>
      <c r="D25" s="451"/>
      <c r="E25" s="451">
        <f>+C25+D25</f>
        <v>0</v>
      </c>
      <c r="F25" s="451"/>
      <c r="G25" s="451">
        <f>+E25+F25</f>
        <v>0</v>
      </c>
      <c r="H25" s="451"/>
      <c r="I25" s="452"/>
      <c r="J25" s="451"/>
      <c r="K25" s="451">
        <f>+G25+J25</f>
        <v>0</v>
      </c>
      <c r="L25" s="451"/>
      <c r="M25" s="451">
        <f>+K25+L25</f>
        <v>0</v>
      </c>
      <c r="N25" s="451"/>
      <c r="O25" s="451">
        <f>+M25+N25</f>
        <v>0</v>
      </c>
      <c r="P25" s="451"/>
      <c r="Q25" s="451">
        <v>3750</v>
      </c>
      <c r="R25" s="451">
        <v>2585</v>
      </c>
      <c r="S25" s="452"/>
    </row>
    <row r="26" spans="1:19" ht="12.75">
      <c r="A26" s="131"/>
      <c r="B26" s="28" t="s">
        <v>130</v>
      </c>
      <c r="C26" s="451"/>
      <c r="D26" s="451"/>
      <c r="E26" s="451">
        <f t="shared" si="1"/>
        <v>0</v>
      </c>
      <c r="F26" s="451"/>
      <c r="G26" s="451">
        <f t="shared" si="2"/>
        <v>0</v>
      </c>
      <c r="H26" s="451">
        <v>293</v>
      </c>
      <c r="I26" s="452" t="e">
        <f t="shared" si="8"/>
        <v>#DIV/0!</v>
      </c>
      <c r="J26" s="451"/>
      <c r="K26" s="451">
        <f t="shared" si="3"/>
        <v>0</v>
      </c>
      <c r="L26" s="451"/>
      <c r="M26" s="451">
        <f t="shared" si="4"/>
        <v>0</v>
      </c>
      <c r="N26" s="451"/>
      <c r="O26" s="451">
        <f t="shared" si="5"/>
        <v>0</v>
      </c>
      <c r="P26" s="451">
        <v>-142</v>
      </c>
      <c r="Q26" s="451">
        <v>85</v>
      </c>
      <c r="R26" s="451">
        <v>85</v>
      </c>
      <c r="S26" s="452">
        <f t="shared" si="7"/>
        <v>1</v>
      </c>
    </row>
    <row r="27" spans="1:19" ht="12.75">
      <c r="A27" s="131"/>
      <c r="B27" s="28" t="s">
        <v>235</v>
      </c>
      <c r="C27" s="451">
        <v>1262</v>
      </c>
      <c r="D27" s="451"/>
      <c r="E27" s="451">
        <f t="shared" si="1"/>
        <v>1262</v>
      </c>
      <c r="F27" s="451"/>
      <c r="G27" s="451">
        <f t="shared" si="2"/>
        <v>1262</v>
      </c>
      <c r="H27" s="451"/>
      <c r="I27" s="452"/>
      <c r="J27" s="451"/>
      <c r="K27" s="451">
        <f t="shared" si="3"/>
        <v>1262</v>
      </c>
      <c r="L27" s="451"/>
      <c r="M27" s="451">
        <f t="shared" si="4"/>
        <v>1262</v>
      </c>
      <c r="N27" s="451"/>
      <c r="O27" s="451">
        <f t="shared" si="5"/>
        <v>1262</v>
      </c>
      <c r="P27" s="451">
        <v>1382</v>
      </c>
      <c r="Q27" s="451">
        <v>346</v>
      </c>
      <c r="R27" s="451">
        <v>346</v>
      </c>
      <c r="S27" s="452">
        <f t="shared" si="7"/>
        <v>1</v>
      </c>
    </row>
    <row r="28" spans="1:19" ht="12.75">
      <c r="A28" s="131"/>
      <c r="B28" s="28" t="s">
        <v>38</v>
      </c>
      <c r="C28" s="451"/>
      <c r="D28" s="451"/>
      <c r="E28" s="451">
        <f t="shared" si="1"/>
        <v>0</v>
      </c>
      <c r="F28" s="451"/>
      <c r="G28" s="451">
        <f t="shared" si="2"/>
        <v>0</v>
      </c>
      <c r="H28" s="451">
        <v>1386</v>
      </c>
      <c r="I28" s="452" t="e">
        <f t="shared" si="8"/>
        <v>#DIV/0!</v>
      </c>
      <c r="J28" s="451">
        <f>-2866+1029</f>
        <v>-1837</v>
      </c>
      <c r="K28" s="451">
        <f t="shared" si="3"/>
        <v>-1837</v>
      </c>
      <c r="L28" s="451"/>
      <c r="M28" s="451">
        <f t="shared" si="4"/>
        <v>-1837</v>
      </c>
      <c r="N28" s="451"/>
      <c r="O28" s="451">
        <f t="shared" si="5"/>
        <v>-1837</v>
      </c>
      <c r="P28" s="451">
        <v>-760</v>
      </c>
      <c r="Q28" s="451">
        <v>126</v>
      </c>
      <c r="R28" s="451">
        <v>125</v>
      </c>
      <c r="S28" s="452">
        <f t="shared" si="7"/>
        <v>0.9920634920634921</v>
      </c>
    </row>
    <row r="29" spans="1:19" ht="13.5" thickBot="1">
      <c r="A29" s="25"/>
      <c r="B29" s="5" t="s">
        <v>453</v>
      </c>
      <c r="C29" s="447"/>
      <c r="D29" s="447"/>
      <c r="E29" s="447"/>
      <c r="F29" s="447"/>
      <c r="G29" s="447"/>
      <c r="H29" s="447"/>
      <c r="I29" s="448"/>
      <c r="J29" s="447"/>
      <c r="K29" s="447"/>
      <c r="L29" s="447"/>
      <c r="M29" s="447"/>
      <c r="N29" s="447"/>
      <c r="O29" s="447"/>
      <c r="P29" s="447"/>
      <c r="Q29" s="447">
        <v>690</v>
      </c>
      <c r="R29" s="447">
        <v>686</v>
      </c>
      <c r="S29" s="448"/>
    </row>
    <row r="30" spans="1:19" ht="13.5" hidden="1" thickBot="1">
      <c r="A30" s="75" t="s">
        <v>39</v>
      </c>
      <c r="B30" s="78" t="s">
        <v>99</v>
      </c>
      <c r="C30" s="445">
        <f>SUM(C31:C34)</f>
        <v>0</v>
      </c>
      <c r="D30" s="445"/>
      <c r="E30" s="445">
        <f t="shared" si="1"/>
        <v>0</v>
      </c>
      <c r="F30" s="445"/>
      <c r="G30" s="445">
        <f t="shared" si="2"/>
        <v>0</v>
      </c>
      <c r="H30" s="445">
        <f>SUM(H31:H34)</f>
        <v>0</v>
      </c>
      <c r="I30" s="446" t="e">
        <f t="shared" si="8"/>
        <v>#DIV/0!</v>
      </c>
      <c r="J30" s="445"/>
      <c r="K30" s="445">
        <f t="shared" si="3"/>
        <v>0</v>
      </c>
      <c r="L30" s="445"/>
      <c r="M30" s="445">
        <f t="shared" si="4"/>
        <v>0</v>
      </c>
      <c r="N30" s="445"/>
      <c r="O30" s="445">
        <f t="shared" si="5"/>
        <v>0</v>
      </c>
      <c r="P30" s="445"/>
      <c r="Q30" s="445">
        <f t="shared" si="6"/>
        <v>0</v>
      </c>
      <c r="R30" s="445">
        <f>SUM(R31:R34)</f>
        <v>0</v>
      </c>
      <c r="S30" s="446" t="e">
        <f t="shared" si="7"/>
        <v>#DIV/0!</v>
      </c>
    </row>
    <row r="31" spans="1:19" ht="14.25" hidden="1" thickBot="1" thickTop="1">
      <c r="A31" s="80"/>
      <c r="B31" s="81" t="s">
        <v>16</v>
      </c>
      <c r="C31" s="443"/>
      <c r="D31" s="443"/>
      <c r="E31" s="443">
        <f t="shared" si="1"/>
        <v>0</v>
      </c>
      <c r="F31" s="443"/>
      <c r="G31" s="443">
        <f t="shared" si="2"/>
        <v>0</v>
      </c>
      <c r="H31" s="443"/>
      <c r="I31" s="444" t="e">
        <f t="shared" si="8"/>
        <v>#DIV/0!</v>
      </c>
      <c r="J31" s="443"/>
      <c r="K31" s="443">
        <f t="shared" si="3"/>
        <v>0</v>
      </c>
      <c r="L31" s="443"/>
      <c r="M31" s="443">
        <f t="shared" si="4"/>
        <v>0</v>
      </c>
      <c r="N31" s="443"/>
      <c r="O31" s="443">
        <f t="shared" si="5"/>
        <v>0</v>
      </c>
      <c r="P31" s="443"/>
      <c r="Q31" s="443">
        <f t="shared" si="6"/>
        <v>0</v>
      </c>
      <c r="R31" s="443"/>
      <c r="S31" s="444" t="e">
        <f t="shared" si="7"/>
        <v>#DIV/0!</v>
      </c>
    </row>
    <row r="32" spans="1:19" ht="13.5" hidden="1" thickBot="1">
      <c r="A32" s="26"/>
      <c r="B32" s="29" t="s">
        <v>40</v>
      </c>
      <c r="C32" s="443"/>
      <c r="D32" s="443"/>
      <c r="E32" s="443">
        <f t="shared" si="1"/>
        <v>0</v>
      </c>
      <c r="F32" s="443"/>
      <c r="G32" s="443">
        <f t="shared" si="2"/>
        <v>0</v>
      </c>
      <c r="H32" s="443"/>
      <c r="I32" s="444" t="e">
        <f t="shared" si="8"/>
        <v>#DIV/0!</v>
      </c>
      <c r="J32" s="443"/>
      <c r="K32" s="443">
        <f t="shared" si="3"/>
        <v>0</v>
      </c>
      <c r="L32" s="443"/>
      <c r="M32" s="443">
        <f t="shared" si="4"/>
        <v>0</v>
      </c>
      <c r="N32" s="443"/>
      <c r="O32" s="443">
        <f t="shared" si="5"/>
        <v>0</v>
      </c>
      <c r="P32" s="443"/>
      <c r="Q32" s="443">
        <f t="shared" si="6"/>
        <v>0</v>
      </c>
      <c r="R32" s="443"/>
      <c r="S32" s="444" t="e">
        <f t="shared" si="7"/>
        <v>#DIV/0!</v>
      </c>
    </row>
    <row r="33" spans="1:19" ht="13.5" hidden="1" thickBot="1">
      <c r="A33" s="27"/>
      <c r="B33" s="23" t="s">
        <v>147</v>
      </c>
      <c r="C33" s="451"/>
      <c r="D33" s="451"/>
      <c r="E33" s="451">
        <f t="shared" si="1"/>
        <v>0</v>
      </c>
      <c r="F33" s="451"/>
      <c r="G33" s="451">
        <f t="shared" si="2"/>
        <v>0</v>
      </c>
      <c r="H33" s="451"/>
      <c r="I33" s="452" t="e">
        <f t="shared" si="8"/>
        <v>#DIV/0!</v>
      </c>
      <c r="J33" s="451"/>
      <c r="K33" s="451">
        <f t="shared" si="3"/>
        <v>0</v>
      </c>
      <c r="L33" s="451"/>
      <c r="M33" s="451">
        <f t="shared" si="4"/>
        <v>0</v>
      </c>
      <c r="N33" s="451"/>
      <c r="O33" s="451">
        <f t="shared" si="5"/>
        <v>0</v>
      </c>
      <c r="P33" s="451"/>
      <c r="Q33" s="451">
        <f t="shared" si="6"/>
        <v>0</v>
      </c>
      <c r="R33" s="451"/>
      <c r="S33" s="452" t="e">
        <f t="shared" si="7"/>
        <v>#DIV/0!</v>
      </c>
    </row>
    <row r="34" spans="1:19" ht="13.5" hidden="1" thickBot="1">
      <c r="A34" s="18"/>
      <c r="B34" s="24" t="s">
        <v>74</v>
      </c>
      <c r="C34" s="453"/>
      <c r="D34" s="453"/>
      <c r="E34" s="453">
        <f t="shared" si="1"/>
        <v>0</v>
      </c>
      <c r="F34" s="453"/>
      <c r="G34" s="453">
        <f t="shared" si="2"/>
        <v>0</v>
      </c>
      <c r="H34" s="453"/>
      <c r="I34" s="454" t="e">
        <f t="shared" si="8"/>
        <v>#DIV/0!</v>
      </c>
      <c r="J34" s="453"/>
      <c r="K34" s="453">
        <f t="shared" si="3"/>
        <v>0</v>
      </c>
      <c r="L34" s="453"/>
      <c r="M34" s="453">
        <f t="shared" si="4"/>
        <v>0</v>
      </c>
      <c r="N34" s="453"/>
      <c r="O34" s="453">
        <f t="shared" si="5"/>
        <v>0</v>
      </c>
      <c r="P34" s="453"/>
      <c r="Q34" s="453">
        <f t="shared" si="6"/>
        <v>0</v>
      </c>
      <c r="R34" s="453"/>
      <c r="S34" s="454" t="e">
        <f t="shared" si="7"/>
        <v>#DIV/0!</v>
      </c>
    </row>
    <row r="35" spans="1:19" ht="13.5" thickBot="1">
      <c r="A35" s="75" t="s">
        <v>42</v>
      </c>
      <c r="B35" s="78" t="s">
        <v>3</v>
      </c>
      <c r="C35" s="445">
        <f>SUM(C36:C46)</f>
        <v>174721</v>
      </c>
      <c r="D35" s="445">
        <f aca="true" t="shared" si="10" ref="D35:Q35">SUM(D36:D46)</f>
        <v>-18819</v>
      </c>
      <c r="E35" s="445">
        <f t="shared" si="10"/>
        <v>155902</v>
      </c>
      <c r="F35" s="445">
        <f t="shared" si="10"/>
        <v>3461</v>
      </c>
      <c r="G35" s="445">
        <f t="shared" si="10"/>
        <v>159363</v>
      </c>
      <c r="H35" s="445">
        <f t="shared" si="10"/>
        <v>93176</v>
      </c>
      <c r="I35" s="445" t="e">
        <f t="shared" si="10"/>
        <v>#DIV/0!</v>
      </c>
      <c r="J35" s="445">
        <f t="shared" si="10"/>
        <v>-5895</v>
      </c>
      <c r="K35" s="445">
        <f t="shared" si="10"/>
        <v>153468</v>
      </c>
      <c r="L35" s="445">
        <f t="shared" si="10"/>
        <v>-24840</v>
      </c>
      <c r="M35" s="445">
        <f t="shared" si="10"/>
        <v>128628</v>
      </c>
      <c r="N35" s="445">
        <f t="shared" si="10"/>
        <v>5952</v>
      </c>
      <c r="O35" s="445">
        <f t="shared" si="10"/>
        <v>134580</v>
      </c>
      <c r="P35" s="445">
        <f t="shared" si="10"/>
        <v>-14199</v>
      </c>
      <c r="Q35" s="445">
        <f t="shared" si="10"/>
        <v>174149</v>
      </c>
      <c r="R35" s="445">
        <f>SUM(R36:R46)</f>
        <v>164320</v>
      </c>
      <c r="S35" s="446">
        <f t="shared" si="7"/>
        <v>0.9435598252071502</v>
      </c>
    </row>
    <row r="36" spans="1:19" ht="13.5" thickTop="1">
      <c r="A36" s="26"/>
      <c r="B36" s="23"/>
      <c r="C36" s="451"/>
      <c r="D36" s="451"/>
      <c r="E36" s="451">
        <f t="shared" si="1"/>
        <v>0</v>
      </c>
      <c r="F36" s="451"/>
      <c r="G36" s="451">
        <f t="shared" si="2"/>
        <v>0</v>
      </c>
      <c r="H36" s="451"/>
      <c r="I36" s="452"/>
      <c r="J36" s="451"/>
      <c r="K36" s="451">
        <f t="shared" si="3"/>
        <v>0</v>
      </c>
      <c r="L36" s="451"/>
      <c r="M36" s="451">
        <f t="shared" si="4"/>
        <v>0</v>
      </c>
      <c r="N36" s="451"/>
      <c r="O36" s="451">
        <f t="shared" si="5"/>
        <v>0</v>
      </c>
      <c r="P36" s="451"/>
      <c r="Q36" s="451"/>
      <c r="R36" s="451"/>
      <c r="S36" s="452"/>
    </row>
    <row r="37" spans="1:19" ht="12.75">
      <c r="A37" s="26"/>
      <c r="B37" s="23"/>
      <c r="C37" s="451"/>
      <c r="D37" s="451"/>
      <c r="E37" s="451">
        <f t="shared" si="1"/>
        <v>0</v>
      </c>
      <c r="F37" s="451"/>
      <c r="G37" s="451">
        <f t="shared" si="2"/>
        <v>0</v>
      </c>
      <c r="H37" s="451">
        <v>76</v>
      </c>
      <c r="I37" s="452"/>
      <c r="J37" s="451"/>
      <c r="K37" s="451">
        <f t="shared" si="3"/>
        <v>0</v>
      </c>
      <c r="L37" s="451"/>
      <c r="M37" s="451">
        <f t="shared" si="4"/>
        <v>0</v>
      </c>
      <c r="N37" s="451"/>
      <c r="O37" s="451">
        <f t="shared" si="5"/>
        <v>0</v>
      </c>
      <c r="P37" s="451">
        <v>76</v>
      </c>
      <c r="Q37" s="451"/>
      <c r="R37" s="451"/>
      <c r="S37" s="452"/>
    </row>
    <row r="38" spans="1:19" ht="12.75">
      <c r="A38" s="26"/>
      <c r="B38" s="23" t="s">
        <v>41</v>
      </c>
      <c r="C38" s="451"/>
      <c r="D38" s="451"/>
      <c r="E38" s="451">
        <f t="shared" si="1"/>
        <v>0</v>
      </c>
      <c r="F38" s="451"/>
      <c r="G38" s="451">
        <f t="shared" si="2"/>
        <v>0</v>
      </c>
      <c r="H38" s="451"/>
      <c r="I38" s="452"/>
      <c r="J38" s="451"/>
      <c r="K38" s="451">
        <f t="shared" si="3"/>
        <v>0</v>
      </c>
      <c r="L38" s="451"/>
      <c r="M38" s="451">
        <f t="shared" si="4"/>
        <v>0</v>
      </c>
      <c r="N38" s="451"/>
      <c r="O38" s="451">
        <f t="shared" si="5"/>
        <v>0</v>
      </c>
      <c r="P38" s="451"/>
      <c r="Q38" s="451">
        <f t="shared" si="6"/>
        <v>0</v>
      </c>
      <c r="R38" s="451"/>
      <c r="S38" s="452"/>
    </row>
    <row r="39" spans="1:19" ht="12.75">
      <c r="A39" s="26"/>
      <c r="B39" s="23" t="s">
        <v>178</v>
      </c>
      <c r="C39" s="451">
        <v>78789</v>
      </c>
      <c r="D39" s="451"/>
      <c r="E39" s="451">
        <f t="shared" si="1"/>
        <v>78789</v>
      </c>
      <c r="F39" s="451"/>
      <c r="G39" s="451">
        <f t="shared" si="2"/>
        <v>78789</v>
      </c>
      <c r="H39" s="451">
        <v>93100</v>
      </c>
      <c r="I39" s="452">
        <f t="shared" si="8"/>
        <v>1.18163703054995</v>
      </c>
      <c r="J39" s="451"/>
      <c r="K39" s="451">
        <f t="shared" si="3"/>
        <v>78789</v>
      </c>
      <c r="L39" s="451"/>
      <c r="M39" s="451">
        <f t="shared" si="4"/>
        <v>78789</v>
      </c>
      <c r="N39" s="451"/>
      <c r="O39" s="451">
        <f t="shared" si="5"/>
        <v>78789</v>
      </c>
      <c r="P39" s="451">
        <f>3428-19399+1702+534-540</f>
        <v>-14275</v>
      </c>
      <c r="Q39" s="451">
        <v>75070</v>
      </c>
      <c r="R39" s="451">
        <v>75070</v>
      </c>
      <c r="S39" s="452">
        <f t="shared" si="7"/>
        <v>1</v>
      </c>
    </row>
    <row r="40" spans="1:19" ht="13.5" thickBot="1">
      <c r="A40" s="26"/>
      <c r="B40" s="23" t="s">
        <v>179</v>
      </c>
      <c r="C40" s="451">
        <v>95932</v>
      </c>
      <c r="D40" s="451">
        <f>3047+600+4607-500-30000+427+3000</f>
        <v>-18819</v>
      </c>
      <c r="E40" s="451">
        <f t="shared" si="1"/>
        <v>77113</v>
      </c>
      <c r="F40" s="451">
        <f>2637+824</f>
        <v>3461</v>
      </c>
      <c r="G40" s="451">
        <f t="shared" si="2"/>
        <v>80574</v>
      </c>
      <c r="H40" s="451"/>
      <c r="I40" s="452">
        <f t="shared" si="8"/>
        <v>0</v>
      </c>
      <c r="J40" s="451">
        <f>810-8542+2866-1029</f>
        <v>-5895</v>
      </c>
      <c r="K40" s="451">
        <f t="shared" si="3"/>
        <v>74679</v>
      </c>
      <c r="L40" s="451">
        <f>-25650+810</f>
        <v>-24840</v>
      </c>
      <c r="M40" s="451">
        <f t="shared" si="4"/>
        <v>49839</v>
      </c>
      <c r="N40" s="451">
        <f>4779+1300-127</f>
        <v>5952</v>
      </c>
      <c r="O40" s="451">
        <f t="shared" si="5"/>
        <v>55791</v>
      </c>
      <c r="P40" s="451"/>
      <c r="Q40" s="451">
        <v>99079</v>
      </c>
      <c r="R40" s="451">
        <v>89250</v>
      </c>
      <c r="S40" s="452">
        <f t="shared" si="7"/>
        <v>0.900796334238335</v>
      </c>
    </row>
    <row r="41" spans="1:19" ht="13.5" hidden="1" thickBot="1">
      <c r="A41" s="27"/>
      <c r="B41" s="23" t="s">
        <v>100</v>
      </c>
      <c r="C41" s="455"/>
      <c r="D41" s="455"/>
      <c r="E41" s="455">
        <f t="shared" si="1"/>
        <v>0</v>
      </c>
      <c r="F41" s="455"/>
      <c r="G41" s="455">
        <f t="shared" si="2"/>
        <v>0</v>
      </c>
      <c r="H41" s="455"/>
      <c r="I41" s="456" t="e">
        <f t="shared" si="8"/>
        <v>#DIV/0!</v>
      </c>
      <c r="J41" s="455"/>
      <c r="K41" s="455">
        <f t="shared" si="3"/>
        <v>0</v>
      </c>
      <c r="L41" s="455"/>
      <c r="M41" s="455">
        <f t="shared" si="4"/>
        <v>0</v>
      </c>
      <c r="N41" s="455"/>
      <c r="O41" s="455">
        <f t="shared" si="5"/>
        <v>0</v>
      </c>
      <c r="P41" s="455"/>
      <c r="Q41" s="455">
        <f t="shared" si="6"/>
        <v>0</v>
      </c>
      <c r="R41" s="455"/>
      <c r="S41" s="456" t="e">
        <f t="shared" si="7"/>
        <v>#DIV/0!</v>
      </c>
    </row>
    <row r="42" spans="1:19" ht="13.5" hidden="1" thickBot="1">
      <c r="A42" s="18"/>
      <c r="B42" s="24" t="s">
        <v>101</v>
      </c>
      <c r="C42" s="455"/>
      <c r="D42" s="455"/>
      <c r="E42" s="455">
        <f t="shared" si="1"/>
        <v>0</v>
      </c>
      <c r="F42" s="455"/>
      <c r="G42" s="455">
        <f t="shared" si="2"/>
        <v>0</v>
      </c>
      <c r="H42" s="455"/>
      <c r="I42" s="456" t="e">
        <f t="shared" si="8"/>
        <v>#DIV/0!</v>
      </c>
      <c r="J42" s="455"/>
      <c r="K42" s="455">
        <f t="shared" si="3"/>
        <v>0</v>
      </c>
      <c r="L42" s="455"/>
      <c r="M42" s="455">
        <f t="shared" si="4"/>
        <v>0</v>
      </c>
      <c r="N42" s="455"/>
      <c r="O42" s="455">
        <f t="shared" si="5"/>
        <v>0</v>
      </c>
      <c r="P42" s="455"/>
      <c r="Q42" s="455">
        <f t="shared" si="6"/>
        <v>0</v>
      </c>
      <c r="R42" s="455"/>
      <c r="S42" s="456" t="e">
        <f t="shared" si="7"/>
        <v>#DIV/0!</v>
      </c>
    </row>
    <row r="43" spans="1:19" ht="13.5" hidden="1" thickBot="1">
      <c r="A43" s="18"/>
      <c r="B43" s="24" t="s">
        <v>129</v>
      </c>
      <c r="C43" s="457"/>
      <c r="D43" s="457"/>
      <c r="E43" s="457">
        <f t="shared" si="1"/>
        <v>0</v>
      </c>
      <c r="F43" s="457"/>
      <c r="G43" s="457">
        <f t="shared" si="2"/>
        <v>0</v>
      </c>
      <c r="H43" s="457"/>
      <c r="I43" s="458" t="e">
        <f t="shared" si="8"/>
        <v>#DIV/0!</v>
      </c>
      <c r="J43" s="457"/>
      <c r="K43" s="457">
        <f t="shared" si="3"/>
        <v>0</v>
      </c>
      <c r="L43" s="457"/>
      <c r="M43" s="457">
        <f t="shared" si="4"/>
        <v>0</v>
      </c>
      <c r="N43" s="457"/>
      <c r="O43" s="457">
        <f t="shared" si="5"/>
        <v>0</v>
      </c>
      <c r="P43" s="457"/>
      <c r="Q43" s="457">
        <f t="shared" si="6"/>
        <v>0</v>
      </c>
      <c r="R43" s="457"/>
      <c r="S43" s="458" t="e">
        <f t="shared" si="7"/>
        <v>#DIV/0!</v>
      </c>
    </row>
    <row r="44" spans="1:19" ht="13.5" hidden="1" thickBot="1">
      <c r="A44" s="18"/>
      <c r="B44" s="72" t="s">
        <v>102</v>
      </c>
      <c r="C44" s="459"/>
      <c r="D44" s="459"/>
      <c r="E44" s="459">
        <f t="shared" si="1"/>
        <v>0</v>
      </c>
      <c r="F44" s="459"/>
      <c r="G44" s="459">
        <f t="shared" si="2"/>
        <v>0</v>
      </c>
      <c r="H44" s="459"/>
      <c r="I44" s="460" t="e">
        <f t="shared" si="8"/>
        <v>#DIV/0!</v>
      </c>
      <c r="J44" s="459"/>
      <c r="K44" s="459">
        <f t="shared" si="3"/>
        <v>0</v>
      </c>
      <c r="L44" s="459"/>
      <c r="M44" s="459">
        <f t="shared" si="4"/>
        <v>0</v>
      </c>
      <c r="N44" s="459"/>
      <c r="O44" s="459">
        <f t="shared" si="5"/>
        <v>0</v>
      </c>
      <c r="P44" s="459"/>
      <c r="Q44" s="459">
        <f t="shared" si="6"/>
        <v>0</v>
      </c>
      <c r="R44" s="459"/>
      <c r="S44" s="460" t="e">
        <f t="shared" si="7"/>
        <v>#DIV/0!</v>
      </c>
    </row>
    <row r="45" spans="1:19" ht="13.5" hidden="1" thickBot="1">
      <c r="A45" s="27"/>
      <c r="B45" s="23" t="s">
        <v>103</v>
      </c>
      <c r="C45" s="461"/>
      <c r="D45" s="461"/>
      <c r="E45" s="461">
        <f t="shared" si="1"/>
        <v>0</v>
      </c>
      <c r="F45" s="461"/>
      <c r="G45" s="461">
        <f t="shared" si="2"/>
        <v>0</v>
      </c>
      <c r="H45" s="461"/>
      <c r="I45" s="462" t="e">
        <f t="shared" si="8"/>
        <v>#DIV/0!</v>
      </c>
      <c r="J45" s="461"/>
      <c r="K45" s="461">
        <f t="shared" si="3"/>
        <v>0</v>
      </c>
      <c r="L45" s="461"/>
      <c r="M45" s="461">
        <f t="shared" si="4"/>
        <v>0</v>
      </c>
      <c r="N45" s="461"/>
      <c r="O45" s="461">
        <f t="shared" si="5"/>
        <v>0</v>
      </c>
      <c r="P45" s="461"/>
      <c r="Q45" s="461">
        <f t="shared" si="6"/>
        <v>0</v>
      </c>
      <c r="R45" s="461"/>
      <c r="S45" s="462" t="e">
        <f t="shared" si="7"/>
        <v>#DIV/0!</v>
      </c>
    </row>
    <row r="46" spans="1:19" ht="13.5" hidden="1" thickBot="1">
      <c r="A46" s="25"/>
      <c r="B46" s="5" t="s">
        <v>131</v>
      </c>
      <c r="C46" s="459"/>
      <c r="D46" s="459"/>
      <c r="E46" s="459">
        <f t="shared" si="1"/>
        <v>0</v>
      </c>
      <c r="F46" s="459"/>
      <c r="G46" s="459">
        <f t="shared" si="2"/>
        <v>0</v>
      </c>
      <c r="H46" s="459"/>
      <c r="I46" s="460" t="e">
        <f t="shared" si="8"/>
        <v>#DIV/0!</v>
      </c>
      <c r="J46" s="459"/>
      <c r="K46" s="459">
        <f t="shared" si="3"/>
        <v>0</v>
      </c>
      <c r="L46" s="459"/>
      <c r="M46" s="459">
        <f t="shared" si="4"/>
        <v>0</v>
      </c>
      <c r="N46" s="459"/>
      <c r="O46" s="459">
        <f t="shared" si="5"/>
        <v>0</v>
      </c>
      <c r="P46" s="459"/>
      <c r="Q46" s="459">
        <f t="shared" si="6"/>
        <v>0</v>
      </c>
      <c r="R46" s="459"/>
      <c r="S46" s="460" t="e">
        <f t="shared" si="7"/>
        <v>#DIV/0!</v>
      </c>
    </row>
    <row r="47" spans="1:19" ht="13.5" thickBot="1">
      <c r="A47" s="30" t="s">
        <v>43</v>
      </c>
      <c r="B47" s="82" t="s">
        <v>44</v>
      </c>
      <c r="C47" s="463"/>
      <c r="D47" s="463"/>
      <c r="E47" s="463">
        <f t="shared" si="1"/>
        <v>0</v>
      </c>
      <c r="F47" s="463"/>
      <c r="G47" s="463">
        <f t="shared" si="2"/>
        <v>0</v>
      </c>
      <c r="H47" s="463"/>
      <c r="I47" s="464"/>
      <c r="J47" s="463"/>
      <c r="K47" s="463">
        <f t="shared" si="3"/>
        <v>0</v>
      </c>
      <c r="L47" s="463"/>
      <c r="M47" s="463">
        <f t="shared" si="4"/>
        <v>0</v>
      </c>
      <c r="N47" s="463"/>
      <c r="O47" s="463">
        <f t="shared" si="5"/>
        <v>0</v>
      </c>
      <c r="P47" s="463"/>
      <c r="Q47" s="463">
        <f t="shared" si="6"/>
        <v>0</v>
      </c>
      <c r="R47" s="463"/>
      <c r="S47" s="464"/>
    </row>
    <row r="48" spans="1:19" ht="13.5" thickBot="1">
      <c r="A48" s="30" t="s">
        <v>45</v>
      </c>
      <c r="B48" s="83" t="s">
        <v>104</v>
      </c>
      <c r="C48" s="465"/>
      <c r="D48" s="465"/>
      <c r="E48" s="465">
        <f t="shared" si="1"/>
        <v>0</v>
      </c>
      <c r="F48" s="465"/>
      <c r="G48" s="465">
        <f t="shared" si="2"/>
        <v>0</v>
      </c>
      <c r="H48" s="465"/>
      <c r="I48" s="466"/>
      <c r="J48" s="465"/>
      <c r="K48" s="465">
        <f t="shared" si="3"/>
        <v>0</v>
      </c>
      <c r="L48" s="465"/>
      <c r="M48" s="465">
        <f t="shared" si="4"/>
        <v>0</v>
      </c>
      <c r="N48" s="465"/>
      <c r="O48" s="465">
        <f t="shared" si="5"/>
        <v>0</v>
      </c>
      <c r="P48" s="465"/>
      <c r="Q48" s="465">
        <f t="shared" si="6"/>
        <v>0</v>
      </c>
      <c r="R48" s="465"/>
      <c r="S48" s="466"/>
    </row>
    <row r="49" spans="1:19" ht="13.5" thickBot="1">
      <c r="A49" s="30"/>
      <c r="B49" s="83" t="s">
        <v>455</v>
      </c>
      <c r="C49" s="465"/>
      <c r="D49" s="465"/>
      <c r="E49" s="465"/>
      <c r="F49" s="465"/>
      <c r="G49" s="465"/>
      <c r="H49" s="465"/>
      <c r="I49" s="466"/>
      <c r="J49" s="465"/>
      <c r="K49" s="465"/>
      <c r="L49" s="465"/>
      <c r="M49" s="465"/>
      <c r="N49" s="465"/>
      <c r="O49" s="465"/>
      <c r="P49" s="465"/>
      <c r="Q49" s="465"/>
      <c r="R49" s="465">
        <v>1137</v>
      </c>
      <c r="S49" s="466"/>
    </row>
    <row r="50" spans="1:19" ht="13.5" thickBot="1">
      <c r="A50" s="84" t="s">
        <v>27</v>
      </c>
      <c r="B50" s="31" t="s">
        <v>46</v>
      </c>
      <c r="C50" s="463">
        <f>C6+C12+C18+C22+C30+C35+C47+C48</f>
        <v>178245</v>
      </c>
      <c r="D50" s="463">
        <f aca="true" t="shared" si="11" ref="D50:Q50">D6+D12+D18+D22+D30+D35+D47+D48</f>
        <v>-18819</v>
      </c>
      <c r="E50" s="463">
        <f t="shared" si="11"/>
        <v>157194</v>
      </c>
      <c r="F50" s="463">
        <f t="shared" si="11"/>
        <v>3461</v>
      </c>
      <c r="G50" s="463">
        <f t="shared" si="11"/>
        <v>160655</v>
      </c>
      <c r="H50" s="463">
        <f t="shared" si="11"/>
        <v>94855</v>
      </c>
      <c r="I50" s="463" t="e">
        <f t="shared" si="11"/>
        <v>#DIV/0!</v>
      </c>
      <c r="J50" s="463">
        <f t="shared" si="11"/>
        <v>-7732</v>
      </c>
      <c r="K50" s="463">
        <f t="shared" si="11"/>
        <v>152923</v>
      </c>
      <c r="L50" s="463">
        <f t="shared" si="11"/>
        <v>-24840</v>
      </c>
      <c r="M50" s="463">
        <f t="shared" si="11"/>
        <v>128083</v>
      </c>
      <c r="N50" s="463">
        <f t="shared" si="11"/>
        <v>5952</v>
      </c>
      <c r="O50" s="463">
        <f t="shared" si="11"/>
        <v>134035</v>
      </c>
      <c r="P50" s="463">
        <f t="shared" si="11"/>
        <v>-13309</v>
      </c>
      <c r="Q50" s="463">
        <f t="shared" si="11"/>
        <v>183210</v>
      </c>
      <c r="R50" s="463">
        <f>R6+R12+R18+R22+R30+R35+R47+R48</f>
        <v>171983</v>
      </c>
      <c r="S50" s="464">
        <f t="shared" si="7"/>
        <v>0.9387205938540473</v>
      </c>
    </row>
    <row r="51" spans="1:19" ht="17.25" customHeight="1">
      <c r="A51" s="26" t="s">
        <v>47</v>
      </c>
      <c r="B51" s="32" t="s">
        <v>48</v>
      </c>
      <c r="C51" s="461"/>
      <c r="D51" s="461"/>
      <c r="E51" s="461">
        <f t="shared" si="1"/>
        <v>0</v>
      </c>
      <c r="F51" s="461"/>
      <c r="G51" s="461">
        <f t="shared" si="2"/>
        <v>0</v>
      </c>
      <c r="H51" s="461"/>
      <c r="I51" s="462" t="e">
        <f t="shared" si="8"/>
        <v>#DIV/0!</v>
      </c>
      <c r="J51" s="461"/>
      <c r="K51" s="461">
        <f t="shared" si="3"/>
        <v>0</v>
      </c>
      <c r="L51" s="461"/>
      <c r="M51" s="461">
        <f t="shared" si="4"/>
        <v>0</v>
      </c>
      <c r="N51" s="461"/>
      <c r="O51" s="461">
        <f t="shared" si="5"/>
        <v>0</v>
      </c>
      <c r="P51" s="461"/>
      <c r="Q51" s="461">
        <f t="shared" si="6"/>
        <v>0</v>
      </c>
      <c r="R51" s="461"/>
      <c r="S51" s="462"/>
    </row>
    <row r="52" spans="1:19" ht="13.5" thickBot="1">
      <c r="A52" s="26" t="s">
        <v>29</v>
      </c>
      <c r="B52" s="32" t="s">
        <v>105</v>
      </c>
      <c r="C52" s="467"/>
      <c r="D52" s="467"/>
      <c r="E52" s="467">
        <f t="shared" si="1"/>
        <v>0</v>
      </c>
      <c r="F52" s="467"/>
      <c r="G52" s="467">
        <f t="shared" si="2"/>
        <v>0</v>
      </c>
      <c r="H52" s="467"/>
      <c r="I52" s="468" t="e">
        <f t="shared" si="8"/>
        <v>#DIV/0!</v>
      </c>
      <c r="J52" s="467"/>
      <c r="K52" s="467">
        <f t="shared" si="3"/>
        <v>0</v>
      </c>
      <c r="L52" s="467"/>
      <c r="M52" s="467">
        <f t="shared" si="4"/>
        <v>0</v>
      </c>
      <c r="N52" s="467">
        <v>100</v>
      </c>
      <c r="O52" s="467">
        <f t="shared" si="5"/>
        <v>100</v>
      </c>
      <c r="P52" s="467"/>
      <c r="Q52" s="467">
        <v>40</v>
      </c>
      <c r="R52" s="467">
        <v>39</v>
      </c>
      <c r="S52" s="468">
        <f t="shared" si="7"/>
        <v>0.975</v>
      </c>
    </row>
    <row r="53" spans="1:19" ht="13.5" hidden="1" thickBot="1">
      <c r="A53" s="27" t="s">
        <v>35</v>
      </c>
      <c r="B53" s="8" t="s">
        <v>14</v>
      </c>
      <c r="C53" s="469"/>
      <c r="D53" s="469"/>
      <c r="E53" s="469">
        <f t="shared" si="1"/>
        <v>0</v>
      </c>
      <c r="F53" s="469"/>
      <c r="G53" s="469">
        <f t="shared" si="2"/>
        <v>0</v>
      </c>
      <c r="H53" s="469"/>
      <c r="I53" s="470" t="e">
        <f t="shared" si="8"/>
        <v>#DIV/0!</v>
      </c>
      <c r="J53" s="469"/>
      <c r="K53" s="469">
        <f t="shared" si="3"/>
        <v>0</v>
      </c>
      <c r="L53" s="469"/>
      <c r="M53" s="469">
        <f t="shared" si="4"/>
        <v>0</v>
      </c>
      <c r="N53" s="469"/>
      <c r="O53" s="469">
        <f t="shared" si="5"/>
        <v>0</v>
      </c>
      <c r="P53" s="469"/>
      <c r="Q53" s="467">
        <v>40</v>
      </c>
      <c r="R53" s="469"/>
      <c r="S53" s="470">
        <f t="shared" si="7"/>
        <v>0</v>
      </c>
    </row>
    <row r="54" spans="1:19" ht="13.5" hidden="1" thickBot="1">
      <c r="A54" s="18" t="s">
        <v>37</v>
      </c>
      <c r="B54" s="33" t="s">
        <v>49</v>
      </c>
      <c r="C54" s="471"/>
      <c r="D54" s="471"/>
      <c r="E54" s="471">
        <f t="shared" si="1"/>
        <v>0</v>
      </c>
      <c r="F54" s="471"/>
      <c r="G54" s="471">
        <f t="shared" si="2"/>
        <v>0</v>
      </c>
      <c r="H54" s="471"/>
      <c r="I54" s="472" t="e">
        <f t="shared" si="8"/>
        <v>#DIV/0!</v>
      </c>
      <c r="J54" s="471"/>
      <c r="K54" s="471">
        <f t="shared" si="3"/>
        <v>0</v>
      </c>
      <c r="L54" s="471"/>
      <c r="M54" s="471">
        <f t="shared" si="4"/>
        <v>0</v>
      </c>
      <c r="N54" s="471"/>
      <c r="O54" s="471">
        <f t="shared" si="5"/>
        <v>0</v>
      </c>
      <c r="P54" s="471"/>
      <c r="Q54" s="467">
        <v>40</v>
      </c>
      <c r="R54" s="471"/>
      <c r="S54" s="472">
        <f t="shared" si="7"/>
        <v>0</v>
      </c>
    </row>
    <row r="55" spans="1:19" ht="13.5" hidden="1" thickBot="1">
      <c r="A55" s="18"/>
      <c r="B55" s="85" t="s">
        <v>106</v>
      </c>
      <c r="C55" s="461"/>
      <c r="D55" s="461"/>
      <c r="E55" s="461">
        <f t="shared" si="1"/>
        <v>0</v>
      </c>
      <c r="F55" s="461"/>
      <c r="G55" s="461">
        <f t="shared" si="2"/>
        <v>0</v>
      </c>
      <c r="H55" s="461"/>
      <c r="I55" s="462" t="e">
        <f t="shared" si="8"/>
        <v>#DIV/0!</v>
      </c>
      <c r="J55" s="461"/>
      <c r="K55" s="461">
        <f t="shared" si="3"/>
        <v>0</v>
      </c>
      <c r="L55" s="461"/>
      <c r="M55" s="461">
        <f t="shared" si="4"/>
        <v>0</v>
      </c>
      <c r="N55" s="461"/>
      <c r="O55" s="461">
        <f t="shared" si="5"/>
        <v>0</v>
      </c>
      <c r="P55" s="461"/>
      <c r="Q55" s="467">
        <v>40</v>
      </c>
      <c r="R55" s="461"/>
      <c r="S55" s="462">
        <f t="shared" si="7"/>
        <v>0</v>
      </c>
    </row>
    <row r="56" spans="1:19" ht="13.5" hidden="1" thickBot="1">
      <c r="A56" s="18"/>
      <c r="B56" s="85" t="s">
        <v>107</v>
      </c>
      <c r="C56" s="461"/>
      <c r="D56" s="461"/>
      <c r="E56" s="461">
        <f t="shared" si="1"/>
        <v>0</v>
      </c>
      <c r="F56" s="461"/>
      <c r="G56" s="461">
        <f t="shared" si="2"/>
        <v>0</v>
      </c>
      <c r="H56" s="461"/>
      <c r="I56" s="462" t="e">
        <f t="shared" si="8"/>
        <v>#DIV/0!</v>
      </c>
      <c r="J56" s="461"/>
      <c r="K56" s="461">
        <f t="shared" si="3"/>
        <v>0</v>
      </c>
      <c r="L56" s="461"/>
      <c r="M56" s="461">
        <f t="shared" si="4"/>
        <v>0</v>
      </c>
      <c r="N56" s="461"/>
      <c r="O56" s="461">
        <f t="shared" si="5"/>
        <v>0</v>
      </c>
      <c r="P56" s="461"/>
      <c r="Q56" s="467">
        <v>40</v>
      </c>
      <c r="R56" s="461"/>
      <c r="S56" s="462">
        <f t="shared" si="7"/>
        <v>0</v>
      </c>
    </row>
    <row r="57" spans="1:19" ht="13.5" hidden="1" thickBot="1">
      <c r="A57" s="18"/>
      <c r="B57" s="85" t="s">
        <v>108</v>
      </c>
      <c r="C57" s="461"/>
      <c r="D57" s="461"/>
      <c r="E57" s="461">
        <f t="shared" si="1"/>
        <v>0</v>
      </c>
      <c r="F57" s="461"/>
      <c r="G57" s="461">
        <f t="shared" si="2"/>
        <v>0</v>
      </c>
      <c r="H57" s="461"/>
      <c r="I57" s="462" t="e">
        <f t="shared" si="8"/>
        <v>#DIV/0!</v>
      </c>
      <c r="J57" s="461"/>
      <c r="K57" s="461">
        <f t="shared" si="3"/>
        <v>0</v>
      </c>
      <c r="L57" s="461"/>
      <c r="M57" s="461">
        <f t="shared" si="4"/>
        <v>0</v>
      </c>
      <c r="N57" s="461"/>
      <c r="O57" s="461">
        <f t="shared" si="5"/>
        <v>0</v>
      </c>
      <c r="P57" s="461"/>
      <c r="Q57" s="467">
        <v>40</v>
      </c>
      <c r="R57" s="461"/>
      <c r="S57" s="462">
        <f t="shared" si="7"/>
        <v>0</v>
      </c>
    </row>
    <row r="58" spans="1:19" ht="13.5" hidden="1" thickBot="1">
      <c r="A58" s="18"/>
      <c r="B58" s="85" t="s">
        <v>109</v>
      </c>
      <c r="C58" s="461"/>
      <c r="D58" s="461"/>
      <c r="E58" s="461">
        <f t="shared" si="1"/>
        <v>0</v>
      </c>
      <c r="F58" s="461"/>
      <c r="G58" s="461">
        <f t="shared" si="2"/>
        <v>0</v>
      </c>
      <c r="H58" s="461"/>
      <c r="I58" s="462" t="e">
        <f t="shared" si="8"/>
        <v>#DIV/0!</v>
      </c>
      <c r="J58" s="461"/>
      <c r="K58" s="461">
        <f t="shared" si="3"/>
        <v>0</v>
      </c>
      <c r="L58" s="461"/>
      <c r="M58" s="461">
        <f t="shared" si="4"/>
        <v>0</v>
      </c>
      <c r="N58" s="461"/>
      <c r="O58" s="461">
        <f t="shared" si="5"/>
        <v>0</v>
      </c>
      <c r="P58" s="461"/>
      <c r="Q58" s="467">
        <v>40</v>
      </c>
      <c r="R58" s="461"/>
      <c r="S58" s="462">
        <f t="shared" si="7"/>
        <v>0</v>
      </c>
    </row>
    <row r="59" spans="1:19" ht="13.5" hidden="1" thickBot="1">
      <c r="A59" s="18" t="s">
        <v>39</v>
      </c>
      <c r="B59" s="85" t="s">
        <v>50</v>
      </c>
      <c r="C59" s="461"/>
      <c r="D59" s="461"/>
      <c r="E59" s="461">
        <f t="shared" si="1"/>
        <v>0</v>
      </c>
      <c r="F59" s="461"/>
      <c r="G59" s="461">
        <f t="shared" si="2"/>
        <v>0</v>
      </c>
      <c r="H59" s="461"/>
      <c r="I59" s="462" t="e">
        <f t="shared" si="8"/>
        <v>#DIV/0!</v>
      </c>
      <c r="J59" s="461"/>
      <c r="K59" s="461">
        <f t="shared" si="3"/>
        <v>0</v>
      </c>
      <c r="L59" s="461"/>
      <c r="M59" s="461">
        <f t="shared" si="4"/>
        <v>0</v>
      </c>
      <c r="N59" s="461"/>
      <c r="O59" s="461">
        <f t="shared" si="5"/>
        <v>0</v>
      </c>
      <c r="P59" s="461"/>
      <c r="Q59" s="467">
        <v>40</v>
      </c>
      <c r="R59" s="461"/>
      <c r="S59" s="462">
        <f t="shared" si="7"/>
        <v>0</v>
      </c>
    </row>
    <row r="60" spans="1:19" ht="13.5" hidden="1" thickBot="1">
      <c r="A60" s="18" t="s">
        <v>42</v>
      </c>
      <c r="B60" s="85" t="s">
        <v>110</v>
      </c>
      <c r="C60" s="461"/>
      <c r="D60" s="461"/>
      <c r="E60" s="461">
        <f t="shared" si="1"/>
        <v>0</v>
      </c>
      <c r="F60" s="461"/>
      <c r="G60" s="461">
        <f t="shared" si="2"/>
        <v>0</v>
      </c>
      <c r="H60" s="461"/>
      <c r="I60" s="462" t="e">
        <f t="shared" si="8"/>
        <v>#DIV/0!</v>
      </c>
      <c r="J60" s="461"/>
      <c r="K60" s="461">
        <f t="shared" si="3"/>
        <v>0</v>
      </c>
      <c r="L60" s="461"/>
      <c r="M60" s="461">
        <f t="shared" si="4"/>
        <v>0</v>
      </c>
      <c r="N60" s="461"/>
      <c r="O60" s="461">
        <f t="shared" si="5"/>
        <v>0</v>
      </c>
      <c r="P60" s="461"/>
      <c r="Q60" s="467">
        <v>40</v>
      </c>
      <c r="R60" s="461"/>
      <c r="S60" s="462">
        <f t="shared" si="7"/>
        <v>0</v>
      </c>
    </row>
    <row r="61" spans="1:19" ht="13.5" hidden="1" thickBot="1">
      <c r="A61" s="18"/>
      <c r="B61" s="85" t="s">
        <v>51</v>
      </c>
      <c r="C61" s="461"/>
      <c r="D61" s="461"/>
      <c r="E61" s="461">
        <f t="shared" si="1"/>
        <v>0</v>
      </c>
      <c r="F61" s="461"/>
      <c r="G61" s="461">
        <f t="shared" si="2"/>
        <v>0</v>
      </c>
      <c r="H61" s="461"/>
      <c r="I61" s="462" t="e">
        <f t="shared" si="8"/>
        <v>#DIV/0!</v>
      </c>
      <c r="J61" s="461"/>
      <c r="K61" s="461">
        <f t="shared" si="3"/>
        <v>0</v>
      </c>
      <c r="L61" s="461"/>
      <c r="M61" s="461">
        <f t="shared" si="4"/>
        <v>0</v>
      </c>
      <c r="N61" s="461"/>
      <c r="O61" s="461">
        <f t="shared" si="5"/>
        <v>0</v>
      </c>
      <c r="P61" s="461"/>
      <c r="Q61" s="467">
        <v>40</v>
      </c>
      <c r="R61" s="461"/>
      <c r="S61" s="462">
        <f t="shared" si="7"/>
        <v>0</v>
      </c>
    </row>
    <row r="62" spans="1:19" ht="13.5" hidden="1" thickBot="1">
      <c r="A62" s="18"/>
      <c r="B62" s="85" t="s">
        <v>90</v>
      </c>
      <c r="C62" s="461"/>
      <c r="D62" s="461"/>
      <c r="E62" s="461">
        <f t="shared" si="1"/>
        <v>0</v>
      </c>
      <c r="F62" s="461"/>
      <c r="G62" s="461">
        <f t="shared" si="2"/>
        <v>0</v>
      </c>
      <c r="H62" s="461"/>
      <c r="I62" s="462" t="e">
        <f t="shared" si="8"/>
        <v>#DIV/0!</v>
      </c>
      <c r="J62" s="461"/>
      <c r="K62" s="461">
        <f t="shared" si="3"/>
        <v>0</v>
      </c>
      <c r="L62" s="461"/>
      <c r="M62" s="461">
        <f t="shared" si="4"/>
        <v>0</v>
      </c>
      <c r="N62" s="461"/>
      <c r="O62" s="461">
        <f t="shared" si="5"/>
        <v>0</v>
      </c>
      <c r="P62" s="461"/>
      <c r="Q62" s="467">
        <v>40</v>
      </c>
      <c r="R62" s="461"/>
      <c r="S62" s="462">
        <f t="shared" si="7"/>
        <v>0</v>
      </c>
    </row>
    <row r="63" spans="1:19" ht="13.5" hidden="1" thickBot="1">
      <c r="A63" s="18"/>
      <c r="B63" s="85" t="s">
        <v>52</v>
      </c>
      <c r="C63" s="461"/>
      <c r="D63" s="461"/>
      <c r="E63" s="461">
        <f t="shared" si="1"/>
        <v>0</v>
      </c>
      <c r="F63" s="461"/>
      <c r="G63" s="461">
        <f t="shared" si="2"/>
        <v>0</v>
      </c>
      <c r="H63" s="461"/>
      <c r="I63" s="462" t="e">
        <f t="shared" si="8"/>
        <v>#DIV/0!</v>
      </c>
      <c r="J63" s="461"/>
      <c r="K63" s="461">
        <f t="shared" si="3"/>
        <v>0</v>
      </c>
      <c r="L63" s="461"/>
      <c r="M63" s="461">
        <f t="shared" si="4"/>
        <v>0</v>
      </c>
      <c r="N63" s="461"/>
      <c r="O63" s="461">
        <f t="shared" si="5"/>
        <v>0</v>
      </c>
      <c r="P63" s="461"/>
      <c r="Q63" s="467">
        <v>40</v>
      </c>
      <c r="R63" s="461"/>
      <c r="S63" s="462">
        <f t="shared" si="7"/>
        <v>0</v>
      </c>
    </row>
    <row r="64" spans="1:19" ht="13.5" hidden="1" thickBot="1">
      <c r="A64" s="18"/>
      <c r="B64" s="85" t="s">
        <v>87</v>
      </c>
      <c r="C64" s="461"/>
      <c r="D64" s="461"/>
      <c r="E64" s="461">
        <f t="shared" si="1"/>
        <v>0</v>
      </c>
      <c r="F64" s="461"/>
      <c r="G64" s="461">
        <f t="shared" si="2"/>
        <v>0</v>
      </c>
      <c r="H64" s="461"/>
      <c r="I64" s="462" t="e">
        <f t="shared" si="8"/>
        <v>#DIV/0!</v>
      </c>
      <c r="J64" s="461"/>
      <c r="K64" s="461">
        <f t="shared" si="3"/>
        <v>0</v>
      </c>
      <c r="L64" s="461"/>
      <c r="M64" s="461">
        <f t="shared" si="4"/>
        <v>0</v>
      </c>
      <c r="N64" s="461"/>
      <c r="O64" s="461">
        <f t="shared" si="5"/>
        <v>0</v>
      </c>
      <c r="P64" s="461"/>
      <c r="Q64" s="467">
        <v>40</v>
      </c>
      <c r="R64" s="461"/>
      <c r="S64" s="462">
        <f t="shared" si="7"/>
        <v>0</v>
      </c>
    </row>
    <row r="65" spans="1:19" ht="13.5" hidden="1" thickBot="1">
      <c r="A65" s="18"/>
      <c r="B65" s="85" t="s">
        <v>88</v>
      </c>
      <c r="C65" s="461"/>
      <c r="D65" s="461"/>
      <c r="E65" s="461">
        <f t="shared" si="1"/>
        <v>0</v>
      </c>
      <c r="F65" s="461"/>
      <c r="G65" s="461">
        <f t="shared" si="2"/>
        <v>0</v>
      </c>
      <c r="H65" s="461"/>
      <c r="I65" s="462" t="e">
        <f t="shared" si="8"/>
        <v>#DIV/0!</v>
      </c>
      <c r="J65" s="461"/>
      <c r="K65" s="461">
        <f t="shared" si="3"/>
        <v>0</v>
      </c>
      <c r="L65" s="461"/>
      <c r="M65" s="461">
        <f t="shared" si="4"/>
        <v>0</v>
      </c>
      <c r="N65" s="461"/>
      <c r="O65" s="461">
        <f t="shared" si="5"/>
        <v>0</v>
      </c>
      <c r="P65" s="461"/>
      <c r="Q65" s="467">
        <v>40</v>
      </c>
      <c r="R65" s="461"/>
      <c r="S65" s="462">
        <f t="shared" si="7"/>
        <v>0</v>
      </c>
    </row>
    <row r="66" spans="1:19" ht="13.5" thickBot="1">
      <c r="A66" s="84" t="s">
        <v>47</v>
      </c>
      <c r="B66" s="31" t="s">
        <v>111</v>
      </c>
      <c r="C66" s="463">
        <f>C52+C53+C54+C60+C59</f>
        <v>0</v>
      </c>
      <c r="D66" s="463"/>
      <c r="E66" s="463">
        <f t="shared" si="1"/>
        <v>0</v>
      </c>
      <c r="F66" s="463"/>
      <c r="G66" s="463">
        <f t="shared" si="2"/>
        <v>0</v>
      </c>
      <c r="H66" s="463">
        <f>H52+H53+H54+H60+H59</f>
        <v>0</v>
      </c>
      <c r="I66" s="464"/>
      <c r="J66" s="463"/>
      <c r="K66" s="463">
        <f t="shared" si="3"/>
        <v>0</v>
      </c>
      <c r="L66" s="463"/>
      <c r="M66" s="463">
        <f t="shared" si="4"/>
        <v>0</v>
      </c>
      <c r="N66" s="463">
        <f>SUM(N51:N52)</f>
        <v>100</v>
      </c>
      <c r="O66" s="463">
        <f>SUM(O51:O52)</f>
        <v>100</v>
      </c>
      <c r="P66" s="463"/>
      <c r="Q66" s="467">
        <v>40</v>
      </c>
      <c r="R66" s="463">
        <f>R52+R53+R54+R60+R59</f>
        <v>39</v>
      </c>
      <c r="S66" s="464">
        <f t="shared" si="7"/>
        <v>0.975</v>
      </c>
    </row>
    <row r="67" spans="1:19" ht="12.75">
      <c r="A67" s="86" t="s">
        <v>53</v>
      </c>
      <c r="B67" s="87" t="s">
        <v>112</v>
      </c>
      <c r="C67" s="88"/>
      <c r="D67" s="88"/>
      <c r="E67" s="88">
        <f t="shared" si="1"/>
        <v>0</v>
      </c>
      <c r="F67" s="88"/>
      <c r="G67" s="88">
        <f t="shared" si="2"/>
        <v>0</v>
      </c>
      <c r="H67" s="88">
        <v>69</v>
      </c>
      <c r="I67" s="241"/>
      <c r="J67" s="88"/>
      <c r="K67" s="88">
        <f t="shared" si="3"/>
        <v>0</v>
      </c>
      <c r="L67" s="88"/>
      <c r="M67" s="88">
        <f t="shared" si="4"/>
        <v>0</v>
      </c>
      <c r="N67" s="88"/>
      <c r="O67" s="88">
        <f t="shared" si="5"/>
        <v>0</v>
      </c>
      <c r="P67" s="88"/>
      <c r="Q67" s="88">
        <f t="shared" si="6"/>
        <v>0</v>
      </c>
      <c r="R67" s="88"/>
      <c r="S67" s="241"/>
    </row>
    <row r="68" spans="1:19" ht="13.5" thickBot="1">
      <c r="A68" s="35" t="s">
        <v>54</v>
      </c>
      <c r="B68" s="36" t="s">
        <v>113</v>
      </c>
      <c r="C68" s="37">
        <f>C50+C66+C67</f>
        <v>178245</v>
      </c>
      <c r="D68" s="37">
        <f aca="true" t="shared" si="12" ref="D68:Q68">D50+D66+D67</f>
        <v>-18819</v>
      </c>
      <c r="E68" s="37">
        <f t="shared" si="12"/>
        <v>157194</v>
      </c>
      <c r="F68" s="37">
        <f t="shared" si="12"/>
        <v>3461</v>
      </c>
      <c r="G68" s="37">
        <f t="shared" si="12"/>
        <v>160655</v>
      </c>
      <c r="H68" s="37">
        <f t="shared" si="12"/>
        <v>94924</v>
      </c>
      <c r="I68" s="37" t="e">
        <f t="shared" si="12"/>
        <v>#DIV/0!</v>
      </c>
      <c r="J68" s="37">
        <f t="shared" si="12"/>
        <v>-7732</v>
      </c>
      <c r="K68" s="37">
        <f t="shared" si="12"/>
        <v>152923</v>
      </c>
      <c r="L68" s="37">
        <f t="shared" si="12"/>
        <v>-24840</v>
      </c>
      <c r="M68" s="37">
        <f t="shared" si="12"/>
        <v>128083</v>
      </c>
      <c r="N68" s="37">
        <f t="shared" si="12"/>
        <v>6052</v>
      </c>
      <c r="O68" s="37">
        <f t="shared" si="12"/>
        <v>134135</v>
      </c>
      <c r="P68" s="37">
        <f t="shared" si="12"/>
        <v>-13309</v>
      </c>
      <c r="Q68" s="37">
        <f t="shared" si="12"/>
        <v>183250</v>
      </c>
      <c r="R68" s="37">
        <f>R50+R66+R67+R49</f>
        <v>173159</v>
      </c>
      <c r="S68" s="242">
        <f t="shared" si="7"/>
        <v>0.9449331514324693</v>
      </c>
    </row>
    <row r="69" spans="3:17" ht="12.75">
      <c r="C69" s="71"/>
      <c r="D69" s="71"/>
      <c r="E69" s="71"/>
      <c r="F69" s="71"/>
      <c r="G69" s="71"/>
      <c r="H69" s="71"/>
      <c r="J69" s="71"/>
      <c r="K69" s="71"/>
      <c r="L69" s="71"/>
      <c r="M69" s="71"/>
      <c r="N69" s="71"/>
      <c r="O69" s="71"/>
      <c r="P69" s="71"/>
      <c r="Q69" s="71"/>
    </row>
    <row r="70" spans="3:18" ht="12.75">
      <c r="C70" s="38"/>
      <c r="D70" s="38"/>
      <c r="E70" s="38"/>
      <c r="F70" s="38"/>
      <c r="G70" s="38"/>
      <c r="H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3:17" ht="12.75">
      <c r="C71" s="106"/>
      <c r="D71" s="106"/>
      <c r="E71" s="106"/>
      <c r="F71" s="106"/>
      <c r="G71" s="106"/>
      <c r="H71" s="106"/>
      <c r="I71" s="244"/>
      <c r="J71" s="106"/>
      <c r="K71" s="106"/>
      <c r="L71" s="106"/>
      <c r="M71" s="106"/>
      <c r="N71" s="106"/>
      <c r="O71" s="106"/>
      <c r="P71" s="106"/>
      <c r="Q71" s="106"/>
    </row>
    <row r="72" spans="3:17" ht="12.75">
      <c r="C72" s="106"/>
      <c r="D72" s="106"/>
      <c r="E72" s="106"/>
      <c r="F72" s="106"/>
      <c r="G72" s="106"/>
      <c r="H72" s="106"/>
      <c r="I72" s="244"/>
      <c r="J72" s="106"/>
      <c r="K72" s="106"/>
      <c r="L72" s="106"/>
      <c r="M72" s="106"/>
      <c r="N72" s="106"/>
      <c r="O72" s="106"/>
      <c r="P72" s="106"/>
      <c r="Q72" s="106"/>
    </row>
    <row r="73" spans="3:17" ht="12.75">
      <c r="C73" s="106"/>
      <c r="D73" s="106"/>
      <c r="E73" s="106"/>
      <c r="F73" s="106"/>
      <c r="G73" s="106"/>
      <c r="H73" s="106"/>
      <c r="I73" s="244"/>
      <c r="J73" s="106"/>
      <c r="K73" s="106"/>
      <c r="L73" s="106"/>
      <c r="M73" s="106"/>
      <c r="N73" s="106"/>
      <c r="O73" s="106"/>
      <c r="P73" s="106"/>
      <c r="Q73" s="106"/>
    </row>
    <row r="74" spans="3:17" ht="12.75">
      <c r="C74" s="34"/>
      <c r="D74" s="34"/>
      <c r="E74" s="34"/>
      <c r="F74" s="34"/>
      <c r="G74" s="34"/>
      <c r="H74" s="34"/>
      <c r="I74" s="244"/>
      <c r="J74" s="34"/>
      <c r="K74" s="34"/>
      <c r="L74" s="34"/>
      <c r="M74" s="34"/>
      <c r="N74" s="34"/>
      <c r="O74" s="34"/>
      <c r="P74" s="34"/>
      <c r="Q74" s="34"/>
    </row>
    <row r="77" spans="3:17" ht="12.75">
      <c r="C77" s="34"/>
      <c r="D77" s="34"/>
      <c r="E77" s="34"/>
      <c r="F77" s="34"/>
      <c r="G77" s="34"/>
      <c r="H77" s="34"/>
      <c r="I77" s="244"/>
      <c r="J77" s="34"/>
      <c r="K77" s="34"/>
      <c r="L77" s="34"/>
      <c r="M77" s="34"/>
      <c r="N77" s="34"/>
      <c r="O77" s="34"/>
      <c r="P77" s="34"/>
      <c r="Q77" s="34"/>
    </row>
    <row r="78" spans="3:17" ht="12.75">
      <c r="C78" s="34"/>
      <c r="D78" s="34"/>
      <c r="E78" s="34"/>
      <c r="F78" s="34"/>
      <c r="G78" s="34"/>
      <c r="H78" s="34"/>
      <c r="I78" s="244"/>
      <c r="J78" s="34"/>
      <c r="K78" s="34"/>
      <c r="L78" s="34"/>
      <c r="M78" s="34"/>
      <c r="N78" s="34"/>
      <c r="O78" s="34"/>
      <c r="P78" s="34"/>
      <c r="Q78" s="34"/>
    </row>
    <row r="79" spans="3:17" ht="12.75">
      <c r="C79" s="34"/>
      <c r="D79" s="34"/>
      <c r="E79" s="34"/>
      <c r="F79" s="34"/>
      <c r="G79" s="34"/>
      <c r="H79" s="34"/>
      <c r="I79" s="244"/>
      <c r="J79" s="34"/>
      <c r="K79" s="34"/>
      <c r="L79" s="34"/>
      <c r="M79" s="34"/>
      <c r="N79" s="34"/>
      <c r="O79" s="34"/>
      <c r="P79" s="34"/>
      <c r="Q79" s="34"/>
    </row>
    <row r="80" spans="3:17" ht="12.75">
      <c r="C80" s="34"/>
      <c r="D80" s="34"/>
      <c r="E80" s="34"/>
      <c r="F80" s="34"/>
      <c r="G80" s="34"/>
      <c r="H80" s="34"/>
      <c r="I80" s="244"/>
      <c r="J80" s="34"/>
      <c r="K80" s="34"/>
      <c r="L80" s="34"/>
      <c r="M80" s="34"/>
      <c r="N80" s="34"/>
      <c r="O80" s="34"/>
      <c r="P80" s="34"/>
      <c r="Q80" s="34"/>
    </row>
    <row r="81" spans="3:17" ht="12.75">
      <c r="C81" s="34"/>
      <c r="D81" s="34"/>
      <c r="E81" s="34"/>
      <c r="F81" s="34"/>
      <c r="G81" s="34"/>
      <c r="H81" s="34"/>
      <c r="I81" s="244"/>
      <c r="J81" s="34"/>
      <c r="K81" s="34"/>
      <c r="L81" s="34"/>
      <c r="M81" s="34"/>
      <c r="N81" s="34"/>
      <c r="O81" s="34"/>
      <c r="P81" s="34"/>
      <c r="Q81" s="34"/>
    </row>
    <row r="82" spans="3:17" ht="12.75">
      <c r="C82" s="34"/>
      <c r="D82" s="34"/>
      <c r="E82" s="34"/>
      <c r="F82" s="34"/>
      <c r="G82" s="34"/>
      <c r="H82" s="34"/>
      <c r="I82" s="244"/>
      <c r="J82" s="34"/>
      <c r="K82" s="34"/>
      <c r="L82" s="34"/>
      <c r="M82" s="34"/>
      <c r="N82" s="34"/>
      <c r="O82" s="34"/>
      <c r="P82" s="34"/>
      <c r="Q82" s="34"/>
    </row>
    <row r="83" spans="3:17" ht="12.75">
      <c r="C83" s="34"/>
      <c r="D83" s="34"/>
      <c r="E83" s="34"/>
      <c r="F83" s="34"/>
      <c r="G83" s="34"/>
      <c r="H83" s="34"/>
      <c r="I83" s="244"/>
      <c r="J83" s="34"/>
      <c r="K83" s="34"/>
      <c r="L83" s="34"/>
      <c r="M83" s="34"/>
      <c r="N83" s="34"/>
      <c r="O83" s="34"/>
      <c r="P83" s="34"/>
      <c r="Q83" s="34"/>
    </row>
  </sheetData>
  <sheetProtection/>
  <printOptions horizontalCentered="1"/>
  <pageMargins left="0.35433070866141736" right="0.1968503937007874" top="1.535433070866142" bottom="0.11811023622047245" header="0.4724409448818898" footer="0.15748031496062992"/>
  <pageSetup fitToHeight="2" fitToWidth="1" horizontalDpi="600" verticalDpi="600" orientation="landscape" paperSize="9" r:id="rId1"/>
  <headerFooter alignWithMargins="0">
    <oddHeader>&amp;L
2.sz.melléklet&amp;C&amp;"Arial,Félkövér"&amp;12Nagykovácsi Polgármesteri Hivatal
2013. évi bevételei forrásonként&amp;R
adatok eFt-ban</oddHeader>
    <oddFooter>&amp;L&amp;8&amp;D&amp;R&amp;F</oddFooter>
  </headerFooter>
  <rowBreaks count="1" manualBreakCount="1">
    <brk id="5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109" bestFit="1" customWidth="1"/>
    <col min="9" max="16384" width="9.140625" style="1" customWidth="1"/>
  </cols>
  <sheetData>
    <row r="1" ht="13.5" thickBot="1"/>
    <row r="2" spans="1:8" s="135" customFormat="1" ht="39" thickBot="1">
      <c r="A2" s="132"/>
      <c r="B2" s="133"/>
      <c r="C2" s="62" t="s">
        <v>134</v>
      </c>
      <c r="D2" s="62" t="s">
        <v>135</v>
      </c>
      <c r="E2" s="62" t="s">
        <v>143</v>
      </c>
      <c r="F2" s="62" t="s">
        <v>141</v>
      </c>
      <c r="G2" s="62" t="s">
        <v>142</v>
      </c>
      <c r="H2" s="134" t="s">
        <v>25</v>
      </c>
    </row>
    <row r="3" spans="1:8" ht="31.5" customHeight="1" thickBot="1">
      <c r="A3" s="58" t="s">
        <v>11</v>
      </c>
      <c r="B3" s="53" t="s">
        <v>7</v>
      </c>
      <c r="C3" s="90" t="s">
        <v>85</v>
      </c>
      <c r="D3" s="90" t="s">
        <v>85</v>
      </c>
      <c r="E3" s="90" t="s">
        <v>85</v>
      </c>
      <c r="F3" s="90" t="s">
        <v>85</v>
      </c>
      <c r="G3" s="90" t="s">
        <v>85</v>
      </c>
      <c r="H3" s="108" t="s">
        <v>26</v>
      </c>
    </row>
    <row r="4" spans="1:8" ht="12.75">
      <c r="A4" s="4"/>
      <c r="B4" s="97" t="s">
        <v>18</v>
      </c>
      <c r="C4" s="104"/>
      <c r="D4" s="104"/>
      <c r="E4" s="104"/>
      <c r="F4" s="104"/>
      <c r="G4" s="104"/>
      <c r="H4" s="110"/>
    </row>
    <row r="5" spans="1:9" ht="12.75">
      <c r="A5" s="4">
        <v>1</v>
      </c>
      <c r="B5" s="98" t="s">
        <v>19</v>
      </c>
      <c r="C5" s="91">
        <v>173107</v>
      </c>
      <c r="D5" s="91">
        <v>0</v>
      </c>
      <c r="E5" s="91">
        <f>+C5+D5</f>
        <v>173107</v>
      </c>
      <c r="F5" s="91">
        <f aca="true" t="shared" si="0" ref="F5:F11">+G5-E5</f>
        <v>0</v>
      </c>
      <c r="G5" s="91">
        <v>173107</v>
      </c>
      <c r="H5" s="111">
        <f aca="true" t="shared" si="1" ref="H5:H14">+G5/E5</f>
        <v>1</v>
      </c>
      <c r="I5" s="118"/>
    </row>
    <row r="6" spans="1:9" ht="12.75">
      <c r="A6" s="4">
        <v>2</v>
      </c>
      <c r="B6" s="98" t="s">
        <v>123</v>
      </c>
      <c r="C6" s="92">
        <f>61200</f>
        <v>61200</v>
      </c>
      <c r="D6" s="92">
        <v>0</v>
      </c>
      <c r="E6" s="91">
        <f aca="true" t="shared" si="2" ref="E6:E11">+C6+D6</f>
        <v>61200</v>
      </c>
      <c r="F6" s="92">
        <f t="shared" si="0"/>
        <v>0</v>
      </c>
      <c r="G6" s="92">
        <f>61200</f>
        <v>61200</v>
      </c>
      <c r="H6" s="111">
        <f t="shared" si="1"/>
        <v>1</v>
      </c>
      <c r="I6" s="118"/>
    </row>
    <row r="7" spans="1:9" ht="12.75">
      <c r="A7" s="4">
        <v>4</v>
      </c>
      <c r="B7" s="6" t="s">
        <v>81</v>
      </c>
      <c r="C7" s="93">
        <f>31285</f>
        <v>31285</v>
      </c>
      <c r="D7" s="93">
        <v>0</v>
      </c>
      <c r="E7" s="91">
        <f t="shared" si="2"/>
        <v>31285</v>
      </c>
      <c r="F7" s="93">
        <f t="shared" si="0"/>
        <v>0</v>
      </c>
      <c r="G7" s="93">
        <f>31285</f>
        <v>31285</v>
      </c>
      <c r="H7" s="111">
        <f t="shared" si="1"/>
        <v>1</v>
      </c>
      <c r="I7" s="118"/>
    </row>
    <row r="8" spans="1:9" ht="12.75">
      <c r="A8" s="4">
        <v>5</v>
      </c>
      <c r="B8" s="5" t="s">
        <v>20</v>
      </c>
      <c r="C8" s="91">
        <f>8000</f>
        <v>8000</v>
      </c>
      <c r="D8" s="91">
        <v>4000</v>
      </c>
      <c r="E8" s="91">
        <f t="shared" si="2"/>
        <v>12000</v>
      </c>
      <c r="F8" s="91">
        <f t="shared" si="0"/>
        <v>0</v>
      </c>
      <c r="G8" s="91">
        <f>15000*0.8</f>
        <v>12000</v>
      </c>
      <c r="H8" s="111">
        <f t="shared" si="1"/>
        <v>1</v>
      </c>
      <c r="I8" s="118"/>
    </row>
    <row r="9" spans="1:9" ht="12.75">
      <c r="A9" s="4">
        <v>6</v>
      </c>
      <c r="B9" s="65" t="s">
        <v>136</v>
      </c>
      <c r="C9" s="91"/>
      <c r="D9" s="91">
        <v>10000</v>
      </c>
      <c r="E9" s="91">
        <f t="shared" si="2"/>
        <v>10000</v>
      </c>
      <c r="F9" s="91">
        <f t="shared" si="0"/>
        <v>0</v>
      </c>
      <c r="G9" s="91">
        <f>12500*0.8</f>
        <v>10000</v>
      </c>
      <c r="H9" s="111">
        <f t="shared" si="1"/>
        <v>1</v>
      </c>
      <c r="I9" s="118"/>
    </row>
    <row r="10" spans="1:9" ht="12.75">
      <c r="A10" s="4">
        <v>7</v>
      </c>
      <c r="B10" s="120" t="s">
        <v>137</v>
      </c>
      <c r="C10" s="91"/>
      <c r="D10" s="91">
        <v>12960</v>
      </c>
      <c r="E10" s="91">
        <f t="shared" si="2"/>
        <v>12960</v>
      </c>
      <c r="F10" s="91">
        <f t="shared" si="0"/>
        <v>0</v>
      </c>
      <c r="G10" s="91">
        <f>16200*0.8</f>
        <v>12960</v>
      </c>
      <c r="H10" s="111">
        <f t="shared" si="1"/>
        <v>1</v>
      </c>
      <c r="I10" s="118"/>
    </row>
    <row r="11" spans="1:9" s="11" customFormat="1" ht="12.75">
      <c r="A11" s="9">
        <v>8</v>
      </c>
      <c r="B11" s="126" t="s">
        <v>138</v>
      </c>
      <c r="C11" s="91">
        <f>173107*0.25+61200*0.25+31285*0.25+8000*0.25</f>
        <v>68398</v>
      </c>
      <c r="D11" s="91">
        <v>6740</v>
      </c>
      <c r="E11" s="91">
        <f t="shared" si="2"/>
        <v>75138</v>
      </c>
      <c r="F11" s="91">
        <f t="shared" si="0"/>
        <v>0</v>
      </c>
      <c r="G11" s="91">
        <f>173107*0.25+61200*0.25+31285*0.25+12000*0.25+16200*0.2+12500*0.2</f>
        <v>75138</v>
      </c>
      <c r="H11" s="127">
        <f t="shared" si="1"/>
        <v>1</v>
      </c>
      <c r="I11" s="107"/>
    </row>
    <row r="12" spans="1:10" ht="12.75">
      <c r="A12" s="55">
        <v>9</v>
      </c>
      <c r="B12" s="99" t="s">
        <v>82</v>
      </c>
      <c r="C12" s="12">
        <f>SUM(C5:C11)</f>
        <v>341990</v>
      </c>
      <c r="D12" s="12">
        <f>SUM(D5:D11)</f>
        <v>33700</v>
      </c>
      <c r="E12" s="12">
        <f>SUM(E5:E11)</f>
        <v>375690</v>
      </c>
      <c r="F12" s="12">
        <f>SUM(F5:F11)</f>
        <v>0</v>
      </c>
      <c r="G12" s="12">
        <f>SUM(G5:G11)</f>
        <v>375690</v>
      </c>
      <c r="H12" s="112">
        <f t="shared" si="1"/>
        <v>1</v>
      </c>
      <c r="I12" s="118"/>
      <c r="J12" s="118"/>
    </row>
    <row r="13" spans="1:9" s="11" customFormat="1" ht="12.75">
      <c r="A13" s="56">
        <v>10</v>
      </c>
      <c r="B13" s="121" t="s">
        <v>140</v>
      </c>
      <c r="C13" s="12"/>
      <c r="D13" s="12">
        <v>45778</v>
      </c>
      <c r="E13" s="12">
        <f>+C13+D13</f>
        <v>45778</v>
      </c>
      <c r="F13" s="12">
        <f aca="true" t="shared" si="3" ref="F13:F32">+G13-E13</f>
        <v>-0.39999999999417923</v>
      </c>
      <c r="G13" s="12">
        <f>57222*0.8</f>
        <v>45777.600000000006</v>
      </c>
      <c r="H13" s="113">
        <f t="shared" si="1"/>
        <v>0.9999912621783391</v>
      </c>
      <c r="I13" s="107"/>
    </row>
    <row r="14" spans="1:9" s="11" customFormat="1" ht="12.75">
      <c r="A14" s="122"/>
      <c r="B14" s="123" t="s">
        <v>139</v>
      </c>
      <c r="C14" s="63"/>
      <c r="D14" s="63">
        <v>11444.4</v>
      </c>
      <c r="E14" s="63">
        <f>+C14+D14</f>
        <v>11444.4</v>
      </c>
      <c r="F14" s="63">
        <f t="shared" si="3"/>
        <v>0</v>
      </c>
      <c r="G14" s="63">
        <f>57222*0.2</f>
        <v>11444.400000000001</v>
      </c>
      <c r="H14" s="113">
        <f t="shared" si="1"/>
        <v>1.0000000000000002</v>
      </c>
      <c r="I14" s="107"/>
    </row>
    <row r="15" spans="1:9" s="11" customFormat="1" ht="12.75">
      <c r="A15" s="9"/>
      <c r="B15" s="96" t="s">
        <v>21</v>
      </c>
      <c r="C15" s="63"/>
      <c r="D15" s="63">
        <v>0</v>
      </c>
      <c r="E15" s="63"/>
      <c r="F15" s="63">
        <f t="shared" si="3"/>
        <v>0</v>
      </c>
      <c r="G15" s="63"/>
      <c r="H15" s="113"/>
      <c r="I15" s="118"/>
    </row>
    <row r="16" spans="1:9" s="11" customFormat="1" ht="12.75">
      <c r="A16" s="9">
        <v>11</v>
      </c>
      <c r="B16" s="95" t="s">
        <v>1</v>
      </c>
      <c r="C16" s="10">
        <v>3000</v>
      </c>
      <c r="D16" s="10">
        <v>0</v>
      </c>
      <c r="E16" s="91">
        <f>+C16+D16</f>
        <v>3000</v>
      </c>
      <c r="F16" s="10">
        <f t="shared" si="3"/>
        <v>0</v>
      </c>
      <c r="G16" s="10">
        <v>3000</v>
      </c>
      <c r="H16" s="113">
        <f aca="true" t="shared" si="4" ref="H16:H24">+G16/E16</f>
        <v>1</v>
      </c>
      <c r="I16" s="118"/>
    </row>
    <row r="17" spans="1:9" s="11" customFormat="1" ht="12.75">
      <c r="A17" s="9">
        <v>12</v>
      </c>
      <c r="B17" s="124" t="s">
        <v>124</v>
      </c>
      <c r="C17" s="10">
        <v>80000</v>
      </c>
      <c r="D17" s="10">
        <v>0</v>
      </c>
      <c r="E17" s="91">
        <f>+C17+D17</f>
        <v>80000</v>
      </c>
      <c r="F17" s="10">
        <f t="shared" si="3"/>
        <v>0</v>
      </c>
      <c r="G17" s="10">
        <v>80000</v>
      </c>
      <c r="H17" s="113">
        <f t="shared" si="4"/>
        <v>1</v>
      </c>
      <c r="I17" s="107"/>
    </row>
    <row r="18" spans="1:9" s="11" customFormat="1" ht="12.75">
      <c r="A18" s="9">
        <v>13</v>
      </c>
      <c r="B18" s="100" t="s">
        <v>125</v>
      </c>
      <c r="C18" s="10">
        <v>65057</v>
      </c>
      <c r="D18" s="10">
        <v>0</v>
      </c>
      <c r="E18" s="91">
        <f>+C18+D18</f>
        <v>65057</v>
      </c>
      <c r="F18" s="10">
        <f t="shared" si="3"/>
        <v>0</v>
      </c>
      <c r="G18" s="10">
        <v>65057</v>
      </c>
      <c r="H18" s="113">
        <f t="shared" si="4"/>
        <v>1</v>
      </c>
      <c r="I18" s="107"/>
    </row>
    <row r="19" spans="1:9" ht="12.75">
      <c r="A19" s="9">
        <v>14</v>
      </c>
      <c r="B19" s="101" t="s">
        <v>145</v>
      </c>
      <c r="C19" s="10"/>
      <c r="D19" s="10"/>
      <c r="E19" s="10"/>
      <c r="F19" s="10">
        <v>10000</v>
      </c>
      <c r="G19" s="91">
        <f>+E19+F19</f>
        <v>10000</v>
      </c>
      <c r="H19" s="111"/>
      <c r="I19" s="118"/>
    </row>
    <row r="20" spans="1:9" ht="12.75">
      <c r="A20" s="9">
        <v>15</v>
      </c>
      <c r="B20" s="101" t="s">
        <v>144</v>
      </c>
      <c r="C20" s="10"/>
      <c r="D20" s="10"/>
      <c r="E20" s="10"/>
      <c r="F20" s="10">
        <v>15000</v>
      </c>
      <c r="G20" s="91">
        <f>+E20+F20</f>
        <v>15000</v>
      </c>
      <c r="H20" s="111"/>
      <c r="I20" s="118"/>
    </row>
    <row r="21" spans="1:9" s="11" customFormat="1" ht="12.75">
      <c r="A21" s="9">
        <v>16</v>
      </c>
      <c r="B21" s="100" t="s">
        <v>126</v>
      </c>
      <c r="C21" s="10">
        <v>103245</v>
      </c>
      <c r="D21" s="10">
        <v>0</v>
      </c>
      <c r="E21" s="91">
        <f>+C21+D21</f>
        <v>103245</v>
      </c>
      <c r="F21" s="10">
        <f t="shared" si="3"/>
        <v>0</v>
      </c>
      <c r="G21" s="10">
        <v>103245</v>
      </c>
      <c r="H21" s="113">
        <f t="shared" si="4"/>
        <v>1</v>
      </c>
      <c r="I21" s="107"/>
    </row>
    <row r="22" spans="1:9" s="11" customFormat="1" ht="12.75">
      <c r="A22" s="9">
        <v>17</v>
      </c>
      <c r="B22" s="125" t="s">
        <v>127</v>
      </c>
      <c r="C22" s="10">
        <v>1200</v>
      </c>
      <c r="D22" s="10">
        <v>0</v>
      </c>
      <c r="E22" s="91">
        <f>+C22+D22</f>
        <v>1200</v>
      </c>
      <c r="F22" s="10">
        <f t="shared" si="3"/>
        <v>0</v>
      </c>
      <c r="G22" s="10">
        <v>1200</v>
      </c>
      <c r="H22" s="113">
        <f t="shared" si="4"/>
        <v>1</v>
      </c>
      <c r="I22" s="107"/>
    </row>
    <row r="23" spans="1:9" ht="12.75">
      <c r="A23" s="9">
        <v>18</v>
      </c>
      <c r="B23" s="102" t="s">
        <v>146</v>
      </c>
      <c r="C23" s="10"/>
      <c r="D23" s="10"/>
      <c r="E23" s="10"/>
      <c r="F23" s="10">
        <v>137060</v>
      </c>
      <c r="G23" s="91">
        <f>+E23+F23</f>
        <v>137060</v>
      </c>
      <c r="H23" s="111"/>
      <c r="I23" s="118"/>
    </row>
    <row r="24" spans="1:9" ht="18" customHeight="1" thickBot="1">
      <c r="A24" s="56">
        <v>19</v>
      </c>
      <c r="B24" s="103" t="s">
        <v>2</v>
      </c>
      <c r="C24" s="105">
        <f>SUM(C16:C22)</f>
        <v>252502</v>
      </c>
      <c r="D24" s="105">
        <v>0</v>
      </c>
      <c r="E24" s="105">
        <f>SUM(E16:E22)</f>
        <v>252502</v>
      </c>
      <c r="F24" s="105">
        <f>SUM(F16:F22)</f>
        <v>25000</v>
      </c>
      <c r="G24" s="105">
        <f>SUM(G16:G23)</f>
        <v>414562</v>
      </c>
      <c r="H24" s="114">
        <f t="shared" si="4"/>
        <v>1.6418166984815963</v>
      </c>
      <c r="I24" s="118"/>
    </row>
    <row r="25" spans="1:9" ht="22.5" customHeight="1" hidden="1">
      <c r="A25" s="4"/>
      <c r="B25" s="68" t="s">
        <v>22</v>
      </c>
      <c r="C25" s="63"/>
      <c r="D25" s="63">
        <f aca="true" t="shared" si="5" ref="D25:D31">+E25-C25</f>
        <v>0</v>
      </c>
      <c r="E25" s="63"/>
      <c r="F25" s="63">
        <f t="shared" si="3"/>
        <v>0</v>
      </c>
      <c r="G25" s="63"/>
      <c r="H25" s="115" t="e">
        <f aca="true" t="shared" si="6" ref="H25:H31">+E25/C25</f>
        <v>#DIV/0!</v>
      </c>
      <c r="I25" s="118"/>
    </row>
    <row r="26" spans="1:9" ht="13.5" hidden="1" thickBot="1">
      <c r="A26" s="4">
        <v>19</v>
      </c>
      <c r="B26" s="65" t="s">
        <v>78</v>
      </c>
      <c r="C26" s="63"/>
      <c r="D26" s="63">
        <f t="shared" si="5"/>
        <v>0</v>
      </c>
      <c r="E26" s="63"/>
      <c r="F26" s="63">
        <f t="shared" si="3"/>
        <v>0</v>
      </c>
      <c r="G26" s="63"/>
      <c r="H26" s="115" t="e">
        <f t="shared" si="6"/>
        <v>#DIV/0!</v>
      </c>
      <c r="I26" s="118"/>
    </row>
    <row r="27" spans="1:9" s="11" customFormat="1" ht="13.5" hidden="1" thickBot="1">
      <c r="A27" s="9">
        <v>20</v>
      </c>
      <c r="B27" s="67" t="s">
        <v>79</v>
      </c>
      <c r="C27" s="10"/>
      <c r="D27" s="10">
        <f t="shared" si="5"/>
        <v>0</v>
      </c>
      <c r="E27" s="10"/>
      <c r="F27" s="10">
        <f t="shared" si="3"/>
        <v>0</v>
      </c>
      <c r="G27" s="10"/>
      <c r="H27" s="113" t="e">
        <f t="shared" si="6"/>
        <v>#DIV/0!</v>
      </c>
      <c r="I27" s="118"/>
    </row>
    <row r="28" spans="1:9" s="11" customFormat="1" ht="13.5" hidden="1" thickBot="1">
      <c r="A28" s="9">
        <v>21</v>
      </c>
      <c r="B28" s="67" t="s">
        <v>77</v>
      </c>
      <c r="C28" s="10"/>
      <c r="D28" s="10">
        <f t="shared" si="5"/>
        <v>0</v>
      </c>
      <c r="E28" s="10"/>
      <c r="F28" s="10">
        <f t="shared" si="3"/>
        <v>0</v>
      </c>
      <c r="G28" s="10"/>
      <c r="H28" s="113" t="e">
        <f t="shared" si="6"/>
        <v>#DIV/0!</v>
      </c>
      <c r="I28" s="118"/>
    </row>
    <row r="29" spans="1:9" s="11" customFormat="1" ht="13.5" hidden="1" thickBot="1">
      <c r="A29" s="9">
        <v>22</v>
      </c>
      <c r="B29" s="67" t="s">
        <v>84</v>
      </c>
      <c r="C29" s="10"/>
      <c r="D29" s="10">
        <f t="shared" si="5"/>
        <v>0</v>
      </c>
      <c r="E29" s="10"/>
      <c r="F29" s="10">
        <f t="shared" si="3"/>
        <v>0</v>
      </c>
      <c r="G29" s="10"/>
      <c r="H29" s="113" t="e">
        <f t="shared" si="6"/>
        <v>#DIV/0!</v>
      </c>
      <c r="I29" s="118"/>
    </row>
    <row r="30" spans="1:9" ht="28.5" customHeight="1" hidden="1">
      <c r="A30" s="56">
        <v>23</v>
      </c>
      <c r="B30" s="66" t="s">
        <v>83</v>
      </c>
      <c r="C30" s="12">
        <f>SUM(C26:C29)</f>
        <v>0</v>
      </c>
      <c r="D30" s="12">
        <f t="shared" si="5"/>
        <v>0</v>
      </c>
      <c r="E30" s="12">
        <f>SUM(E26:E29)</f>
        <v>0</v>
      </c>
      <c r="F30" s="12">
        <f t="shared" si="3"/>
        <v>0</v>
      </c>
      <c r="G30" s="12">
        <f>SUM(G26:G29)</f>
        <v>0</v>
      </c>
      <c r="H30" s="112" t="e">
        <f t="shared" si="6"/>
        <v>#DIV/0!</v>
      </c>
      <c r="I30" s="118"/>
    </row>
    <row r="31" spans="1:9" s="11" customFormat="1" ht="24" customHeight="1" hidden="1" thickBot="1">
      <c r="A31" s="61">
        <v>24</v>
      </c>
      <c r="B31" s="69" t="s">
        <v>76</v>
      </c>
      <c r="C31" s="64"/>
      <c r="D31" s="64">
        <f t="shared" si="5"/>
        <v>0</v>
      </c>
      <c r="E31" s="64"/>
      <c r="F31" s="64">
        <f t="shared" si="3"/>
        <v>0</v>
      </c>
      <c r="G31" s="64"/>
      <c r="H31" s="116" t="e">
        <f t="shared" si="6"/>
        <v>#DIV/0!</v>
      </c>
      <c r="I31" s="118"/>
    </row>
    <row r="32" spans="1:9" ht="31.5" customHeight="1" thickBot="1">
      <c r="A32" s="2"/>
      <c r="B32" s="70" t="s">
        <v>86</v>
      </c>
      <c r="C32" s="94">
        <f>C12+C24+C13+C14</f>
        <v>594492</v>
      </c>
      <c r="D32" s="94">
        <f>D12+D24+D13+D14</f>
        <v>90922.4</v>
      </c>
      <c r="E32" s="94">
        <f>E12+E24+E13+E14</f>
        <v>685414.4</v>
      </c>
      <c r="F32" s="94">
        <f t="shared" si="3"/>
        <v>162059.59999999998</v>
      </c>
      <c r="G32" s="94">
        <f>G12+G24+G13+G14</f>
        <v>847474</v>
      </c>
      <c r="H32" s="117">
        <f>+G32/E32</f>
        <v>1.2364403198999028</v>
      </c>
      <c r="I32" s="118"/>
    </row>
    <row r="33" spans="3:7" ht="12.75">
      <c r="C33" s="54"/>
      <c r="D33" s="118"/>
      <c r="E33" s="118"/>
      <c r="F33" s="118"/>
      <c r="G33" s="118"/>
    </row>
    <row r="34" ht="12.75">
      <c r="C34" s="54"/>
    </row>
    <row r="35" ht="27" customHeight="1">
      <c r="C35" s="57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E50"/>
  <sheetViews>
    <sheetView zoomScalePageLayoutView="0" workbookViewId="0" topLeftCell="A31">
      <selection activeCell="V8" sqref="V8"/>
    </sheetView>
  </sheetViews>
  <sheetFormatPr defaultColWidth="8.8515625" defaultRowHeight="12.75"/>
  <cols>
    <col min="1" max="1" width="6.7109375" style="13" customWidth="1"/>
    <col min="2" max="2" width="48.00390625" style="13" customWidth="1"/>
    <col min="3" max="3" width="20.7109375" style="13" customWidth="1"/>
    <col min="4" max="8" width="20.7109375" style="13" hidden="1" customWidth="1"/>
    <col min="9" max="9" width="20.7109375" style="243" hidden="1" customWidth="1"/>
    <col min="10" max="16" width="20.7109375" style="13" hidden="1" customWidth="1"/>
    <col min="17" max="17" width="20.7109375" style="13" customWidth="1"/>
    <col min="18" max="19" width="14.421875" style="13" customWidth="1"/>
    <col min="20" max="16384" width="8.8515625" style="13" customWidth="1"/>
  </cols>
  <sheetData>
    <row r="1" spans="1:57" s="130" customFormat="1" ht="25.5">
      <c r="A1" s="128" t="s">
        <v>23</v>
      </c>
      <c r="B1" s="128" t="s">
        <v>24</v>
      </c>
      <c r="C1" s="205" t="s">
        <v>456</v>
      </c>
      <c r="D1" s="205" t="s">
        <v>188</v>
      </c>
      <c r="E1" s="205" t="s">
        <v>192</v>
      </c>
      <c r="F1" s="205" t="s">
        <v>211</v>
      </c>
      <c r="G1" s="205" t="s">
        <v>212</v>
      </c>
      <c r="H1" s="205" t="s">
        <v>215</v>
      </c>
      <c r="I1" s="246" t="s">
        <v>216</v>
      </c>
      <c r="J1" s="205" t="s">
        <v>204</v>
      </c>
      <c r="K1" s="205" t="s">
        <v>205</v>
      </c>
      <c r="L1" s="205" t="s">
        <v>220</v>
      </c>
      <c r="M1" s="205" t="s">
        <v>221</v>
      </c>
      <c r="N1" s="205" t="s">
        <v>230</v>
      </c>
      <c r="O1" s="205" t="s">
        <v>231</v>
      </c>
      <c r="P1" s="205" t="s">
        <v>232</v>
      </c>
      <c r="Q1" s="205" t="s">
        <v>451</v>
      </c>
      <c r="R1" s="205" t="s">
        <v>236</v>
      </c>
      <c r="S1" s="205" t="s">
        <v>238</v>
      </c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</row>
    <row r="2" spans="1:57" ht="12.75">
      <c r="A2" s="14"/>
      <c r="B2" s="25"/>
      <c r="C2" s="16"/>
      <c r="D2" s="16"/>
      <c r="E2" s="16"/>
      <c r="F2" s="16"/>
      <c r="G2" s="16"/>
      <c r="H2" s="16"/>
      <c r="I2" s="236"/>
      <c r="J2" s="16"/>
      <c r="K2" s="16"/>
      <c r="L2" s="16"/>
      <c r="M2" s="16"/>
      <c r="N2" s="16"/>
      <c r="O2" s="16"/>
      <c r="P2" s="16"/>
      <c r="Q2" s="16"/>
      <c r="R2" s="16"/>
      <c r="S2" s="16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  <c r="M3" s="17">
        <v>13</v>
      </c>
      <c r="N3" s="17">
        <v>14</v>
      </c>
      <c r="O3" s="17">
        <v>15</v>
      </c>
      <c r="P3" s="17">
        <v>16</v>
      </c>
      <c r="Q3" s="17">
        <v>4</v>
      </c>
      <c r="R3" s="17">
        <v>5</v>
      </c>
      <c r="S3" s="17">
        <v>6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19" ht="12.75">
      <c r="A4" s="42" t="s">
        <v>55</v>
      </c>
      <c r="B4" s="26" t="s">
        <v>56</v>
      </c>
      <c r="C4" s="43"/>
      <c r="D4" s="43"/>
      <c r="E4" s="43"/>
      <c r="F4" s="43"/>
      <c r="G4" s="43"/>
      <c r="H4" s="43"/>
      <c r="I4" s="247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2.75">
      <c r="A5" s="44" t="s">
        <v>29</v>
      </c>
      <c r="B5" s="27" t="s">
        <v>4</v>
      </c>
      <c r="C5" s="474">
        <f>SUM(C6:C8)</f>
        <v>85937</v>
      </c>
      <c r="D5" s="474">
        <f aca="true" t="shared" si="0" ref="D5:Q5">SUM(D6:D8)</f>
        <v>0</v>
      </c>
      <c r="E5" s="474">
        <f t="shared" si="0"/>
        <v>85937</v>
      </c>
      <c r="F5" s="474">
        <f t="shared" si="0"/>
        <v>649</v>
      </c>
      <c r="G5" s="474">
        <f t="shared" si="0"/>
        <v>86586</v>
      </c>
      <c r="H5" s="474">
        <f t="shared" si="0"/>
        <v>49376</v>
      </c>
      <c r="I5" s="474">
        <f t="shared" si="0"/>
        <v>2.1690561877682324</v>
      </c>
      <c r="J5" s="474"/>
      <c r="K5" s="474"/>
      <c r="L5" s="474"/>
      <c r="M5" s="474"/>
      <c r="N5" s="474"/>
      <c r="O5" s="474"/>
      <c r="P5" s="474"/>
      <c r="Q5" s="474">
        <f t="shared" si="0"/>
        <v>108420</v>
      </c>
      <c r="R5" s="474">
        <f>SUM(R6:R8)</f>
        <v>103782</v>
      </c>
      <c r="S5" s="248">
        <f aca="true" t="shared" si="1" ref="S5:S13">+R5/Q5</f>
        <v>0.9572219147758716</v>
      </c>
    </row>
    <row r="6" spans="1:19" ht="12.75">
      <c r="A6" s="44"/>
      <c r="B6" s="147" t="s">
        <v>57</v>
      </c>
      <c r="C6" s="475">
        <v>70289</v>
      </c>
      <c r="D6" s="475"/>
      <c r="E6" s="475">
        <f aca="true" t="shared" si="2" ref="E6:E41">+C6+D6</f>
        <v>70289</v>
      </c>
      <c r="F6" s="475"/>
      <c r="G6" s="475">
        <f aca="true" t="shared" si="3" ref="G6:G45">+E6+F6</f>
        <v>70289</v>
      </c>
      <c r="H6" s="475">
        <v>36053</v>
      </c>
      <c r="I6" s="476">
        <f aca="true" t="shared" si="4" ref="I6:I11">+H6/G6</f>
        <v>0.5129252087808903</v>
      </c>
      <c r="J6" s="475"/>
      <c r="K6" s="475"/>
      <c r="L6" s="475"/>
      <c r="M6" s="475"/>
      <c r="N6" s="475"/>
      <c r="O6" s="475"/>
      <c r="P6" s="475"/>
      <c r="Q6" s="475">
        <v>72766</v>
      </c>
      <c r="R6" s="475">
        <v>64470</v>
      </c>
      <c r="S6" s="249">
        <f t="shared" si="1"/>
        <v>0.8859907099469533</v>
      </c>
    </row>
    <row r="7" spans="1:19" ht="12.75">
      <c r="A7" s="44"/>
      <c r="B7" s="147" t="s">
        <v>58</v>
      </c>
      <c r="C7" s="475">
        <v>6753</v>
      </c>
      <c r="D7" s="475"/>
      <c r="E7" s="475">
        <f t="shared" si="2"/>
        <v>6753</v>
      </c>
      <c r="F7" s="475">
        <v>649</v>
      </c>
      <c r="G7" s="475">
        <f t="shared" si="3"/>
        <v>7402</v>
      </c>
      <c r="H7" s="475">
        <v>6982</v>
      </c>
      <c r="I7" s="476">
        <f t="shared" si="4"/>
        <v>0.9432585787624966</v>
      </c>
      <c r="J7" s="475"/>
      <c r="K7" s="475"/>
      <c r="L7" s="475"/>
      <c r="M7" s="475"/>
      <c r="N7" s="475"/>
      <c r="O7" s="475"/>
      <c r="P7" s="475"/>
      <c r="Q7" s="475">
        <v>26759</v>
      </c>
      <c r="R7" s="475">
        <v>30187</v>
      </c>
      <c r="S7" s="249">
        <f t="shared" si="1"/>
        <v>1.128106431480997</v>
      </c>
    </row>
    <row r="8" spans="1:21" ht="12.75">
      <c r="A8" s="44"/>
      <c r="B8" s="148" t="s">
        <v>59</v>
      </c>
      <c r="C8" s="475">
        <v>8895</v>
      </c>
      <c r="D8" s="475"/>
      <c r="E8" s="475">
        <f t="shared" si="2"/>
        <v>8895</v>
      </c>
      <c r="F8" s="475"/>
      <c r="G8" s="475">
        <f t="shared" si="3"/>
        <v>8895</v>
      </c>
      <c r="H8" s="475">
        <v>6341</v>
      </c>
      <c r="I8" s="476">
        <f t="shared" si="4"/>
        <v>0.7128724002248454</v>
      </c>
      <c r="J8" s="475"/>
      <c r="K8" s="475"/>
      <c r="L8" s="475"/>
      <c r="M8" s="475"/>
      <c r="N8" s="475"/>
      <c r="O8" s="475"/>
      <c r="P8" s="475"/>
      <c r="Q8" s="475">
        <v>8895</v>
      </c>
      <c r="R8" s="475">
        <v>9125</v>
      </c>
      <c r="S8" s="249">
        <f t="shared" si="1"/>
        <v>1.0258572231590781</v>
      </c>
      <c r="U8" s="38"/>
    </row>
    <row r="9" spans="1:19" ht="12.75">
      <c r="A9" s="14" t="s">
        <v>32</v>
      </c>
      <c r="B9" s="27" t="s">
        <v>174</v>
      </c>
      <c r="C9" s="474">
        <v>22845</v>
      </c>
      <c r="D9" s="474"/>
      <c r="E9" s="474">
        <f t="shared" si="2"/>
        <v>22845</v>
      </c>
      <c r="F9" s="474">
        <v>175</v>
      </c>
      <c r="G9" s="474">
        <f t="shared" si="3"/>
        <v>23020</v>
      </c>
      <c r="H9" s="474">
        <v>12857</v>
      </c>
      <c r="I9" s="477">
        <f t="shared" si="4"/>
        <v>0.5585143353605561</v>
      </c>
      <c r="J9" s="474"/>
      <c r="K9" s="474"/>
      <c r="L9" s="474"/>
      <c r="M9" s="474"/>
      <c r="N9" s="474"/>
      <c r="O9" s="474"/>
      <c r="P9" s="474"/>
      <c r="Q9" s="474">
        <v>24359</v>
      </c>
      <c r="R9" s="474">
        <v>26436</v>
      </c>
      <c r="S9" s="248">
        <f t="shared" si="1"/>
        <v>1.0852662260355515</v>
      </c>
    </row>
    <row r="10" spans="1:19" ht="12.75">
      <c r="A10" s="44" t="s">
        <v>35</v>
      </c>
      <c r="B10" s="149" t="s">
        <v>60</v>
      </c>
      <c r="C10" s="474">
        <f>C11+C12+C13+C14+C15+C16</f>
        <v>53290</v>
      </c>
      <c r="D10" s="474">
        <f aca="true" t="shared" si="5" ref="D10:R10">D11+D12+D13+D14+D15+D16</f>
        <v>-22893</v>
      </c>
      <c r="E10" s="474">
        <f t="shared" si="5"/>
        <v>30397</v>
      </c>
      <c r="F10" s="474">
        <f t="shared" si="5"/>
        <v>0</v>
      </c>
      <c r="G10" s="474">
        <f t="shared" si="5"/>
        <v>30397</v>
      </c>
      <c r="H10" s="474">
        <f t="shared" si="5"/>
        <v>28409</v>
      </c>
      <c r="I10" s="474" t="e">
        <f t="shared" si="5"/>
        <v>#DIV/0!</v>
      </c>
      <c r="J10" s="474"/>
      <c r="K10" s="474"/>
      <c r="L10" s="474"/>
      <c r="M10" s="474"/>
      <c r="N10" s="474"/>
      <c r="O10" s="474"/>
      <c r="P10" s="474"/>
      <c r="Q10" s="474">
        <f t="shared" si="5"/>
        <v>42631</v>
      </c>
      <c r="R10" s="474">
        <f t="shared" si="5"/>
        <v>42630</v>
      </c>
      <c r="S10" s="248">
        <f t="shared" si="1"/>
        <v>0.9999765428913232</v>
      </c>
    </row>
    <row r="11" spans="1:19" ht="12.75">
      <c r="A11" s="44" t="s">
        <v>168</v>
      </c>
      <c r="B11" s="148" t="s">
        <v>121</v>
      </c>
      <c r="C11" s="475">
        <v>3467</v>
      </c>
      <c r="D11" s="475"/>
      <c r="E11" s="475">
        <f t="shared" si="2"/>
        <v>3467</v>
      </c>
      <c r="F11" s="475"/>
      <c r="G11" s="475">
        <f t="shared" si="3"/>
        <v>3467</v>
      </c>
      <c r="H11" s="475">
        <v>1532</v>
      </c>
      <c r="I11" s="476">
        <f t="shared" si="4"/>
        <v>0.4418805884049611</v>
      </c>
      <c r="J11" s="475"/>
      <c r="K11" s="475"/>
      <c r="L11" s="475"/>
      <c r="M11" s="475"/>
      <c r="N11" s="475"/>
      <c r="O11" s="475"/>
      <c r="P11" s="475"/>
      <c r="Q11" s="475">
        <v>2589</v>
      </c>
      <c r="R11" s="475">
        <v>2589</v>
      </c>
      <c r="S11" s="249">
        <f t="shared" si="1"/>
        <v>1</v>
      </c>
    </row>
    <row r="12" spans="1:19" ht="12.75">
      <c r="A12" s="44" t="s">
        <v>169</v>
      </c>
      <c r="B12" s="148" t="s">
        <v>114</v>
      </c>
      <c r="C12" s="475">
        <v>30</v>
      </c>
      <c r="D12" s="475"/>
      <c r="E12" s="475">
        <f t="shared" si="2"/>
        <v>30</v>
      </c>
      <c r="F12" s="475"/>
      <c r="G12" s="475">
        <f t="shared" si="3"/>
        <v>30</v>
      </c>
      <c r="H12" s="475"/>
      <c r="I12" s="476"/>
      <c r="J12" s="475"/>
      <c r="K12" s="475"/>
      <c r="L12" s="475"/>
      <c r="M12" s="475"/>
      <c r="N12" s="475"/>
      <c r="O12" s="475"/>
      <c r="P12" s="475"/>
      <c r="Q12" s="475">
        <v>55</v>
      </c>
      <c r="R12" s="475">
        <v>55</v>
      </c>
      <c r="S12" s="249">
        <f t="shared" si="1"/>
        <v>1</v>
      </c>
    </row>
    <row r="13" spans="1:19" ht="12.75">
      <c r="A13" s="44" t="s">
        <v>170</v>
      </c>
      <c r="B13" s="148" t="s">
        <v>122</v>
      </c>
      <c r="C13" s="475">
        <v>1600</v>
      </c>
      <c r="D13" s="475">
        <v>-30000</v>
      </c>
      <c r="E13" s="475">
        <f t="shared" si="2"/>
        <v>-28400</v>
      </c>
      <c r="F13" s="475"/>
      <c r="G13" s="475">
        <f t="shared" si="3"/>
        <v>-28400</v>
      </c>
      <c r="H13" s="475"/>
      <c r="I13" s="476"/>
      <c r="J13" s="475"/>
      <c r="K13" s="475"/>
      <c r="L13" s="475"/>
      <c r="M13" s="475"/>
      <c r="N13" s="475"/>
      <c r="O13" s="475"/>
      <c r="P13" s="475"/>
      <c r="Q13" s="475">
        <v>3016</v>
      </c>
      <c r="R13" s="475">
        <v>3016</v>
      </c>
      <c r="S13" s="249">
        <f t="shared" si="1"/>
        <v>1</v>
      </c>
    </row>
    <row r="14" spans="1:19" ht="12.75">
      <c r="A14" s="44" t="s">
        <v>171</v>
      </c>
      <c r="B14" s="148" t="s">
        <v>115</v>
      </c>
      <c r="C14" s="475">
        <v>10566</v>
      </c>
      <c r="D14" s="475">
        <f>-106+941+638</f>
        <v>1473</v>
      </c>
      <c r="E14" s="475">
        <f t="shared" si="2"/>
        <v>12039</v>
      </c>
      <c r="F14" s="475"/>
      <c r="G14" s="475">
        <f t="shared" si="3"/>
        <v>12039</v>
      </c>
      <c r="H14" s="475">
        <v>4164</v>
      </c>
      <c r="I14" s="476">
        <f>+H14/G14</f>
        <v>0.34587590331422874</v>
      </c>
      <c r="J14" s="475"/>
      <c r="K14" s="475"/>
      <c r="L14" s="475"/>
      <c r="M14" s="475"/>
      <c r="N14" s="475"/>
      <c r="O14" s="475"/>
      <c r="P14" s="475"/>
      <c r="Q14" s="475">
        <v>6638</v>
      </c>
      <c r="R14" s="475">
        <v>6542</v>
      </c>
      <c r="S14" s="249">
        <f>+R14/Q14</f>
        <v>0.9855378125941548</v>
      </c>
    </row>
    <row r="15" spans="1:19" ht="12.75">
      <c r="A15" s="44" t="s">
        <v>172</v>
      </c>
      <c r="B15" s="148" t="s">
        <v>116</v>
      </c>
      <c r="C15" s="475">
        <v>0</v>
      </c>
      <c r="D15" s="475"/>
      <c r="E15" s="475">
        <f t="shared" si="2"/>
        <v>0</v>
      </c>
      <c r="F15" s="475"/>
      <c r="G15" s="475">
        <f t="shared" si="3"/>
        <v>0</v>
      </c>
      <c r="H15" s="475"/>
      <c r="I15" s="476" t="e">
        <f>+H15/G15</f>
        <v>#DIV/0!</v>
      </c>
      <c r="J15" s="475"/>
      <c r="K15" s="475"/>
      <c r="L15" s="475"/>
      <c r="M15" s="475"/>
      <c r="N15" s="475"/>
      <c r="O15" s="475"/>
      <c r="P15" s="475"/>
      <c r="Q15" s="475">
        <v>0</v>
      </c>
      <c r="R15" s="475">
        <v>95</v>
      </c>
      <c r="S15" s="249"/>
    </row>
    <row r="16" spans="1:19" ht="12.75">
      <c r="A16" s="44" t="s">
        <v>173</v>
      </c>
      <c r="B16" s="148" t="s">
        <v>117</v>
      </c>
      <c r="C16" s="142">
        <v>37627</v>
      </c>
      <c r="D16" s="142">
        <f>-394+3666+2362</f>
        <v>5634</v>
      </c>
      <c r="E16" s="142">
        <f t="shared" si="2"/>
        <v>43261</v>
      </c>
      <c r="F16" s="142"/>
      <c r="G16" s="142">
        <f t="shared" si="3"/>
        <v>43261</v>
      </c>
      <c r="H16" s="142">
        <f>28409-H11-H12-H13-H14-H15</f>
        <v>22713</v>
      </c>
      <c r="I16" s="249">
        <f>+H16/G16</f>
        <v>0.5250225376204896</v>
      </c>
      <c r="J16" s="142"/>
      <c r="K16" s="142"/>
      <c r="L16" s="142"/>
      <c r="M16" s="142"/>
      <c r="N16" s="142"/>
      <c r="O16" s="142"/>
      <c r="P16" s="142"/>
      <c r="Q16" s="142">
        <v>30333</v>
      </c>
      <c r="R16" s="142">
        <v>30333</v>
      </c>
      <c r="S16" s="249">
        <f>+R16/Q16</f>
        <v>1</v>
      </c>
    </row>
    <row r="17" spans="1:19" ht="12.75">
      <c r="A17" s="44" t="s">
        <v>37</v>
      </c>
      <c r="B17" s="149" t="s">
        <v>61</v>
      </c>
      <c r="C17" s="141">
        <v>8970</v>
      </c>
      <c r="D17" s="141">
        <v>3047</v>
      </c>
      <c r="E17" s="141">
        <f t="shared" si="2"/>
        <v>12017</v>
      </c>
      <c r="F17" s="141">
        <v>2637</v>
      </c>
      <c r="G17" s="141">
        <f t="shared" si="3"/>
        <v>14654</v>
      </c>
      <c r="H17" s="141">
        <v>6181</v>
      </c>
      <c r="I17" s="248">
        <f>+H17/G17</f>
        <v>0.42179609662890677</v>
      </c>
      <c r="J17" s="141"/>
      <c r="K17" s="141"/>
      <c r="L17" s="141"/>
      <c r="M17" s="141"/>
      <c r="N17" s="141"/>
      <c r="O17" s="141"/>
      <c r="P17" s="141"/>
      <c r="Q17" s="141">
        <v>5637</v>
      </c>
      <c r="R17" s="141">
        <v>4636</v>
      </c>
      <c r="S17" s="248">
        <f>+R17/Q17</f>
        <v>0.8224232747915557</v>
      </c>
    </row>
    <row r="18" spans="1:19" ht="12.75">
      <c r="A18" s="44" t="s">
        <v>39</v>
      </c>
      <c r="B18" s="149" t="s">
        <v>62</v>
      </c>
      <c r="C18" s="141">
        <v>0</v>
      </c>
      <c r="D18" s="141">
        <v>0</v>
      </c>
      <c r="E18" s="141">
        <f t="shared" si="2"/>
        <v>0</v>
      </c>
      <c r="F18" s="141">
        <v>0</v>
      </c>
      <c r="G18" s="141">
        <f t="shared" si="3"/>
        <v>0</v>
      </c>
      <c r="H18" s="141">
        <v>0</v>
      </c>
      <c r="I18" s="248"/>
      <c r="J18" s="141"/>
      <c r="K18" s="141"/>
      <c r="L18" s="141"/>
      <c r="M18" s="141"/>
      <c r="N18" s="141"/>
      <c r="O18" s="141"/>
      <c r="P18" s="141"/>
      <c r="Q18" s="141">
        <f>+O18+P18</f>
        <v>0</v>
      </c>
      <c r="R18" s="141">
        <v>10</v>
      </c>
      <c r="S18" s="248"/>
    </row>
    <row r="19" spans="1:19" s="204" customFormat="1" ht="12.75">
      <c r="A19" s="206">
        <v>51</v>
      </c>
      <c r="B19" s="207" t="s">
        <v>154</v>
      </c>
      <c r="C19" s="138"/>
      <c r="D19" s="138"/>
      <c r="E19" s="138">
        <f t="shared" si="2"/>
        <v>0</v>
      </c>
      <c r="F19" s="138"/>
      <c r="G19" s="138">
        <f t="shared" si="3"/>
        <v>0</v>
      </c>
      <c r="H19" s="138"/>
      <c r="I19" s="250"/>
      <c r="J19" s="138"/>
      <c r="K19" s="138"/>
      <c r="L19" s="138"/>
      <c r="M19" s="138"/>
      <c r="N19" s="138"/>
      <c r="O19" s="138"/>
      <c r="P19" s="138"/>
      <c r="Q19" s="138">
        <f>+O19+P19</f>
        <v>0</v>
      </c>
      <c r="R19" s="138"/>
      <c r="S19" s="250"/>
    </row>
    <row r="20" spans="1:21" s="204" customFormat="1" ht="12.75">
      <c r="A20" s="206">
        <v>52</v>
      </c>
      <c r="B20" s="207" t="s">
        <v>182</v>
      </c>
      <c r="C20" s="138"/>
      <c r="D20" s="138"/>
      <c r="E20" s="138">
        <f t="shared" si="2"/>
        <v>0</v>
      </c>
      <c r="F20" s="138"/>
      <c r="G20" s="138">
        <f t="shared" si="3"/>
        <v>0</v>
      </c>
      <c r="H20" s="138"/>
      <c r="I20" s="250"/>
      <c r="J20" s="138"/>
      <c r="K20" s="138"/>
      <c r="L20" s="138"/>
      <c r="M20" s="138"/>
      <c r="N20" s="138"/>
      <c r="O20" s="138"/>
      <c r="P20" s="138"/>
      <c r="Q20" s="138">
        <f>+O20+P20</f>
        <v>0</v>
      </c>
      <c r="R20" s="138"/>
      <c r="S20" s="250"/>
      <c r="U20" s="473"/>
    </row>
    <row r="21" spans="1:20" s="204" customFormat="1" ht="12.75">
      <c r="A21" s="206">
        <v>53</v>
      </c>
      <c r="B21" s="207" t="s">
        <v>183</v>
      </c>
      <c r="C21" s="138"/>
      <c r="D21" s="138"/>
      <c r="E21" s="138">
        <f t="shared" si="2"/>
        <v>0</v>
      </c>
      <c r="F21" s="138"/>
      <c r="G21" s="138">
        <f t="shared" si="3"/>
        <v>0</v>
      </c>
      <c r="H21" s="138"/>
      <c r="I21" s="250"/>
      <c r="J21" s="138"/>
      <c r="K21" s="138"/>
      <c r="L21" s="138"/>
      <c r="M21" s="138"/>
      <c r="N21" s="138"/>
      <c r="O21" s="138"/>
      <c r="P21" s="138"/>
      <c r="Q21" s="138">
        <f>+O21+P21</f>
        <v>0</v>
      </c>
      <c r="R21" s="138"/>
      <c r="S21" s="250"/>
      <c r="T21" s="280"/>
    </row>
    <row r="22" spans="1:21" ht="12.75">
      <c r="A22" s="44" t="s">
        <v>42</v>
      </c>
      <c r="B22" s="27" t="s">
        <v>10</v>
      </c>
      <c r="C22" s="141">
        <f>+'[1]2.sz. Szakfeladat összesítő'!$AJ$301</f>
        <v>1000</v>
      </c>
      <c r="D22" s="141"/>
      <c r="E22" s="141">
        <f t="shared" si="2"/>
        <v>1000</v>
      </c>
      <c r="F22" s="141"/>
      <c r="G22" s="141">
        <f t="shared" si="3"/>
        <v>1000</v>
      </c>
      <c r="H22" s="141"/>
      <c r="I22" s="248">
        <f>+H22/G22</f>
        <v>0</v>
      </c>
      <c r="J22" s="141"/>
      <c r="K22" s="141"/>
      <c r="L22" s="141"/>
      <c r="M22" s="141"/>
      <c r="N22" s="141"/>
      <c r="O22" s="141"/>
      <c r="P22" s="141"/>
      <c r="Q22" s="141">
        <v>500</v>
      </c>
      <c r="R22" s="141"/>
      <c r="S22" s="248">
        <f>+R22/Q22</f>
        <v>0</v>
      </c>
      <c r="U22" s="38"/>
    </row>
    <row r="23" spans="1:19" ht="13.5" thickBot="1">
      <c r="A23" s="44" t="s">
        <v>43</v>
      </c>
      <c r="B23" s="25" t="s">
        <v>184</v>
      </c>
      <c r="C23" s="141">
        <f>+'[1]2.sz. Szakfeladat összesítő'!$AJ$302</f>
        <v>0</v>
      </c>
      <c r="D23" s="141">
        <f>+'[1]2.sz. Szakfeladat összesítő'!$AJ$302</f>
        <v>0</v>
      </c>
      <c r="E23" s="141">
        <f t="shared" si="2"/>
        <v>0</v>
      </c>
      <c r="F23" s="141">
        <f>+'[1]2.sz. Szakfeladat összesítő'!$AJ$302</f>
        <v>0</v>
      </c>
      <c r="G23" s="141">
        <f t="shared" si="3"/>
        <v>0</v>
      </c>
      <c r="H23" s="141">
        <f>+'[1]2.sz. Szakfeladat összesítő'!$AJ$302</f>
        <v>0</v>
      </c>
      <c r="I23" s="248"/>
      <c r="J23" s="141"/>
      <c r="K23" s="141"/>
      <c r="L23" s="141"/>
      <c r="M23" s="141"/>
      <c r="N23" s="141"/>
      <c r="O23" s="141"/>
      <c r="P23" s="141"/>
      <c r="Q23" s="141">
        <f>+O23+P23</f>
        <v>0</v>
      </c>
      <c r="R23" s="141">
        <f>+'[1]2.sz. Szakfeladat összesítő'!$AJ$302</f>
        <v>0</v>
      </c>
      <c r="S23" s="248"/>
    </row>
    <row r="24" spans="1:19" ht="13.5" thickBot="1">
      <c r="A24" s="45" t="s">
        <v>27</v>
      </c>
      <c r="B24" s="150" t="s">
        <v>89</v>
      </c>
      <c r="C24" s="202">
        <f>SUM(C5,C9,C10,C17,C18,C22:C23)</f>
        <v>172042</v>
      </c>
      <c r="D24" s="202">
        <f aca="true" t="shared" si="6" ref="D24:Q24">SUM(D5,D9,D10,D17,D18,D22:D23)</f>
        <v>-19846</v>
      </c>
      <c r="E24" s="202">
        <f t="shared" si="6"/>
        <v>152196</v>
      </c>
      <c r="F24" s="202">
        <f t="shared" si="6"/>
        <v>3461</v>
      </c>
      <c r="G24" s="202">
        <f t="shared" si="6"/>
        <v>155657</v>
      </c>
      <c r="H24" s="202">
        <f t="shared" si="6"/>
        <v>96823</v>
      </c>
      <c r="I24" s="202" t="e">
        <f t="shared" si="6"/>
        <v>#DIV/0!</v>
      </c>
      <c r="J24" s="202">
        <f t="shared" si="6"/>
        <v>0</v>
      </c>
      <c r="K24" s="202">
        <f t="shared" si="6"/>
        <v>0</v>
      </c>
      <c r="L24" s="202">
        <f t="shared" si="6"/>
        <v>0</v>
      </c>
      <c r="M24" s="202">
        <f t="shared" si="6"/>
        <v>0</v>
      </c>
      <c r="N24" s="202">
        <f t="shared" si="6"/>
        <v>0</v>
      </c>
      <c r="O24" s="202">
        <f t="shared" si="6"/>
        <v>0</v>
      </c>
      <c r="P24" s="202">
        <f t="shared" si="6"/>
        <v>0</v>
      </c>
      <c r="Q24" s="202">
        <f t="shared" si="6"/>
        <v>181547</v>
      </c>
      <c r="R24" s="202">
        <f>SUM(R5,R9,R10,R17,R18,R22:R23)</f>
        <v>177494</v>
      </c>
      <c r="S24" s="251">
        <f>+R24/Q24</f>
        <v>0.9776752025646251</v>
      </c>
    </row>
    <row r="25" spans="1:19" ht="12.75">
      <c r="A25" s="14"/>
      <c r="B25" s="19"/>
      <c r="C25" s="140"/>
      <c r="D25" s="140"/>
      <c r="E25" s="140">
        <f t="shared" si="2"/>
        <v>0</v>
      </c>
      <c r="F25" s="140"/>
      <c r="G25" s="140">
        <f t="shared" si="3"/>
        <v>0</v>
      </c>
      <c r="H25" s="140"/>
      <c r="I25" s="249"/>
      <c r="J25" s="140"/>
      <c r="K25" s="140">
        <f aca="true" t="shared" si="7" ref="K25:K45">+G25+J25</f>
        <v>0</v>
      </c>
      <c r="L25" s="140"/>
      <c r="M25" s="140">
        <f aca="true" t="shared" si="8" ref="M25:M45">+K25+L25</f>
        <v>0</v>
      </c>
      <c r="N25" s="140"/>
      <c r="O25" s="140">
        <f aca="true" t="shared" si="9" ref="O25:O45">+M25+N25</f>
        <v>0</v>
      </c>
      <c r="P25" s="140"/>
      <c r="Q25" s="140">
        <f>+O25+P25</f>
        <v>0</v>
      </c>
      <c r="R25" s="140"/>
      <c r="S25" s="249"/>
    </row>
    <row r="26" spans="1:19" ht="12.75">
      <c r="A26" s="44" t="s">
        <v>47</v>
      </c>
      <c r="B26" s="27" t="s">
        <v>63</v>
      </c>
      <c r="C26" s="143"/>
      <c r="D26" s="143"/>
      <c r="E26" s="143">
        <f t="shared" si="2"/>
        <v>0</v>
      </c>
      <c r="F26" s="143"/>
      <c r="G26" s="143">
        <f t="shared" si="3"/>
        <v>0</v>
      </c>
      <c r="H26" s="143"/>
      <c r="I26" s="252"/>
      <c r="J26" s="143"/>
      <c r="K26" s="143">
        <f t="shared" si="7"/>
        <v>0</v>
      </c>
      <c r="L26" s="143"/>
      <c r="M26" s="143">
        <f t="shared" si="8"/>
        <v>0</v>
      </c>
      <c r="N26" s="143"/>
      <c r="O26" s="143">
        <f t="shared" si="9"/>
        <v>0</v>
      </c>
      <c r="P26" s="143"/>
      <c r="Q26" s="143">
        <f>+O26+P26</f>
        <v>0</v>
      </c>
      <c r="R26" s="143"/>
      <c r="S26" s="252"/>
    </row>
    <row r="27" spans="1:19" ht="12.75">
      <c r="A27" s="44" t="s">
        <v>32</v>
      </c>
      <c r="B27" s="22" t="s">
        <v>64</v>
      </c>
      <c r="C27" s="138">
        <v>6203</v>
      </c>
      <c r="D27" s="138">
        <f>600+427</f>
        <v>1027</v>
      </c>
      <c r="E27" s="138">
        <f t="shared" si="2"/>
        <v>7230</v>
      </c>
      <c r="F27" s="138"/>
      <c r="G27" s="138">
        <f t="shared" si="3"/>
        <v>7230</v>
      </c>
      <c r="H27" s="138">
        <v>59</v>
      </c>
      <c r="I27" s="250">
        <f>+H27/G27</f>
        <v>0.008160442600276626</v>
      </c>
      <c r="J27" s="138"/>
      <c r="K27" s="138">
        <f t="shared" si="7"/>
        <v>7230</v>
      </c>
      <c r="L27" s="138">
        <f>286+168+59</f>
        <v>513</v>
      </c>
      <c r="M27" s="138">
        <f t="shared" si="8"/>
        <v>7743</v>
      </c>
      <c r="N27" s="138"/>
      <c r="O27" s="138">
        <f t="shared" si="9"/>
        <v>7743</v>
      </c>
      <c r="P27" s="138"/>
      <c r="Q27" s="138">
        <v>1703</v>
      </c>
      <c r="R27" s="138">
        <v>1666</v>
      </c>
      <c r="S27" s="250">
        <f>+R27/Q27</f>
        <v>0.9782736347621844</v>
      </c>
    </row>
    <row r="28" spans="1:19" ht="12.75">
      <c r="A28" s="44" t="s">
        <v>35</v>
      </c>
      <c r="B28" s="72" t="s">
        <v>5</v>
      </c>
      <c r="C28" s="138"/>
      <c r="D28" s="138"/>
      <c r="E28" s="138">
        <f t="shared" si="2"/>
        <v>0</v>
      </c>
      <c r="F28" s="138"/>
      <c r="G28" s="138">
        <f t="shared" si="3"/>
        <v>0</v>
      </c>
      <c r="H28" s="138"/>
      <c r="I28" s="250"/>
      <c r="J28" s="138"/>
      <c r="K28" s="138">
        <f t="shared" si="7"/>
        <v>0</v>
      </c>
      <c r="L28" s="138"/>
      <c r="M28" s="138">
        <f t="shared" si="8"/>
        <v>0</v>
      </c>
      <c r="N28" s="138"/>
      <c r="O28" s="138">
        <f t="shared" si="9"/>
        <v>0</v>
      </c>
      <c r="P28" s="138"/>
      <c r="Q28" s="138">
        <f>+O28+P28</f>
        <v>0</v>
      </c>
      <c r="R28" s="138"/>
      <c r="S28" s="250"/>
    </row>
    <row r="29" spans="1:19" ht="13.5" thickBot="1">
      <c r="A29" s="14"/>
      <c r="B29" s="277" t="s">
        <v>240</v>
      </c>
      <c r="C29" s="278"/>
      <c r="D29" s="278"/>
      <c r="E29" s="278"/>
      <c r="F29" s="278"/>
      <c r="G29" s="278"/>
      <c r="H29" s="278"/>
      <c r="I29" s="279"/>
      <c r="J29" s="278"/>
      <c r="K29" s="278"/>
      <c r="L29" s="278"/>
      <c r="M29" s="278"/>
      <c r="N29" s="278"/>
      <c r="O29" s="278"/>
      <c r="P29" s="278"/>
      <c r="Q29" s="278"/>
      <c r="R29" s="278"/>
      <c r="S29" s="279"/>
    </row>
    <row r="30" spans="1:19" ht="13.5" thickBot="1">
      <c r="A30" s="46" t="s">
        <v>47</v>
      </c>
      <c r="B30" s="84" t="s">
        <v>65</v>
      </c>
      <c r="C30" s="202">
        <f>SUM(C27:C28)</f>
        <v>6203</v>
      </c>
      <c r="D30" s="202">
        <f>SUM(D27:D28)</f>
        <v>1027</v>
      </c>
      <c r="E30" s="202">
        <f t="shared" si="2"/>
        <v>7230</v>
      </c>
      <c r="F30" s="202">
        <f>SUM(F27:F28)</f>
        <v>0</v>
      </c>
      <c r="G30" s="202">
        <f t="shared" si="3"/>
        <v>7230</v>
      </c>
      <c r="H30" s="202">
        <f>SUM(H27:H28)</f>
        <v>59</v>
      </c>
      <c r="I30" s="251">
        <f>+H30/G30</f>
        <v>0.008160442600276626</v>
      </c>
      <c r="J30" s="202">
        <f>SUM(J27:J28)</f>
        <v>0</v>
      </c>
      <c r="K30" s="202">
        <f t="shared" si="7"/>
        <v>7230</v>
      </c>
      <c r="L30" s="202">
        <f>SUM(L27:L28)</f>
        <v>513</v>
      </c>
      <c r="M30" s="202">
        <f t="shared" si="8"/>
        <v>7743</v>
      </c>
      <c r="N30" s="202">
        <f>SUM(N27:N28)</f>
        <v>0</v>
      </c>
      <c r="O30" s="202">
        <f t="shared" si="9"/>
        <v>7743</v>
      </c>
      <c r="P30" s="202">
        <f>SUM(P27:P28)</f>
        <v>0</v>
      </c>
      <c r="Q30" s="202">
        <v>1703</v>
      </c>
      <c r="R30" s="202">
        <f>SUM(R27:R29)</f>
        <v>1666</v>
      </c>
      <c r="S30" s="251">
        <f>+R30/Q30</f>
        <v>0.9782736347621844</v>
      </c>
    </row>
    <row r="31" spans="1:19" ht="12.75">
      <c r="A31" s="44" t="s">
        <v>53</v>
      </c>
      <c r="B31" s="27" t="s">
        <v>66</v>
      </c>
      <c r="C31" s="143"/>
      <c r="D31" s="143"/>
      <c r="E31" s="143">
        <f t="shared" si="2"/>
        <v>0</v>
      </c>
      <c r="F31" s="143"/>
      <c r="G31" s="143">
        <f t="shared" si="3"/>
        <v>0</v>
      </c>
      <c r="H31" s="143"/>
      <c r="I31" s="252"/>
      <c r="J31" s="143"/>
      <c r="K31" s="143">
        <f t="shared" si="7"/>
        <v>0</v>
      </c>
      <c r="L31" s="143"/>
      <c r="M31" s="143">
        <f t="shared" si="8"/>
        <v>0</v>
      </c>
      <c r="N31" s="143"/>
      <c r="O31" s="143">
        <f t="shared" si="9"/>
        <v>0</v>
      </c>
      <c r="P31" s="143"/>
      <c r="Q31" s="143">
        <f aca="true" t="shared" si="10" ref="Q31:Q41">+O31+P31</f>
        <v>0</v>
      </c>
      <c r="R31" s="143"/>
      <c r="S31" s="252"/>
    </row>
    <row r="32" spans="1:19" ht="12.75">
      <c r="A32" s="44" t="s">
        <v>29</v>
      </c>
      <c r="B32" s="151" t="s">
        <v>6</v>
      </c>
      <c r="C32" s="141">
        <f>SUM(C33:C38)</f>
        <v>0</v>
      </c>
      <c r="D32" s="141">
        <f>SUM(D33:D38)</f>
        <v>0</v>
      </c>
      <c r="E32" s="141">
        <f t="shared" si="2"/>
        <v>0</v>
      </c>
      <c r="F32" s="141">
        <f>SUM(F33:F38)</f>
        <v>0</v>
      </c>
      <c r="G32" s="141">
        <f t="shared" si="3"/>
        <v>0</v>
      </c>
      <c r="H32" s="141">
        <f>SUM(H33:H38)</f>
        <v>0</v>
      </c>
      <c r="I32" s="248"/>
      <c r="J32" s="141">
        <f>SUM(J33:J38)</f>
        <v>0</v>
      </c>
      <c r="K32" s="141">
        <f t="shared" si="7"/>
        <v>0</v>
      </c>
      <c r="L32" s="141">
        <f>SUM(L33:L38)</f>
        <v>0</v>
      </c>
      <c r="M32" s="141">
        <f t="shared" si="8"/>
        <v>0</v>
      </c>
      <c r="N32" s="141">
        <f>SUM(N33:N38)</f>
        <v>0</v>
      </c>
      <c r="O32" s="141">
        <f t="shared" si="9"/>
        <v>0</v>
      </c>
      <c r="P32" s="141">
        <f>SUM(P33:P38)</f>
        <v>0</v>
      </c>
      <c r="Q32" s="141">
        <f t="shared" si="10"/>
        <v>0</v>
      </c>
      <c r="R32" s="141">
        <f>SUM(R33:R38)</f>
        <v>0</v>
      </c>
      <c r="S32" s="248"/>
    </row>
    <row r="33" spans="1:19" ht="12.75">
      <c r="A33" s="47"/>
      <c r="B33" s="152" t="s">
        <v>67</v>
      </c>
      <c r="C33" s="144"/>
      <c r="D33" s="144"/>
      <c r="E33" s="144">
        <f t="shared" si="2"/>
        <v>0</v>
      </c>
      <c r="F33" s="144"/>
      <c r="G33" s="144">
        <f t="shared" si="3"/>
        <v>0</v>
      </c>
      <c r="H33" s="144"/>
      <c r="I33" s="253"/>
      <c r="J33" s="144"/>
      <c r="K33" s="144">
        <f t="shared" si="7"/>
        <v>0</v>
      </c>
      <c r="L33" s="144"/>
      <c r="M33" s="144">
        <f t="shared" si="8"/>
        <v>0</v>
      </c>
      <c r="N33" s="144"/>
      <c r="O33" s="144">
        <f t="shared" si="9"/>
        <v>0</v>
      </c>
      <c r="P33" s="144"/>
      <c r="Q33" s="144">
        <f t="shared" si="10"/>
        <v>0</v>
      </c>
      <c r="R33" s="144"/>
      <c r="S33" s="253"/>
    </row>
    <row r="34" spans="1:19" ht="12.75">
      <c r="A34" s="47"/>
      <c r="B34" s="152" t="s">
        <v>68</v>
      </c>
      <c r="C34" s="145"/>
      <c r="D34" s="145"/>
      <c r="E34" s="145">
        <f t="shared" si="2"/>
        <v>0</v>
      </c>
      <c r="F34" s="145"/>
      <c r="G34" s="145">
        <f t="shared" si="3"/>
        <v>0</v>
      </c>
      <c r="H34" s="145"/>
      <c r="I34" s="254"/>
      <c r="J34" s="145"/>
      <c r="K34" s="145">
        <f t="shared" si="7"/>
        <v>0</v>
      </c>
      <c r="L34" s="145"/>
      <c r="M34" s="145">
        <f t="shared" si="8"/>
        <v>0</v>
      </c>
      <c r="N34" s="145"/>
      <c r="O34" s="145">
        <f t="shared" si="9"/>
        <v>0</v>
      </c>
      <c r="P34" s="145"/>
      <c r="Q34" s="145">
        <f t="shared" si="10"/>
        <v>0</v>
      </c>
      <c r="R34" s="145"/>
      <c r="S34" s="254"/>
    </row>
    <row r="35" spans="1:19" ht="12.75">
      <c r="A35" s="47"/>
      <c r="B35" s="152" t="s">
        <v>0</v>
      </c>
      <c r="C35" s="145"/>
      <c r="D35" s="145"/>
      <c r="E35" s="145">
        <f t="shared" si="2"/>
        <v>0</v>
      </c>
      <c r="F35" s="145"/>
      <c r="G35" s="145">
        <f t="shared" si="3"/>
        <v>0</v>
      </c>
      <c r="H35" s="145"/>
      <c r="I35" s="254"/>
      <c r="J35" s="145"/>
      <c r="K35" s="145">
        <f t="shared" si="7"/>
        <v>0</v>
      </c>
      <c r="L35" s="145"/>
      <c r="M35" s="145">
        <f t="shared" si="8"/>
        <v>0</v>
      </c>
      <c r="N35" s="145"/>
      <c r="O35" s="145">
        <f t="shared" si="9"/>
        <v>0</v>
      </c>
      <c r="P35" s="145"/>
      <c r="Q35" s="145">
        <f t="shared" si="10"/>
        <v>0</v>
      </c>
      <c r="R35" s="145"/>
      <c r="S35" s="254"/>
    </row>
    <row r="36" spans="1:19" ht="12.75">
      <c r="A36" s="44"/>
      <c r="B36" s="153" t="s">
        <v>69</v>
      </c>
      <c r="C36" s="143"/>
      <c r="D36" s="143"/>
      <c r="E36" s="143">
        <f t="shared" si="2"/>
        <v>0</v>
      </c>
      <c r="F36" s="143"/>
      <c r="G36" s="143">
        <f t="shared" si="3"/>
        <v>0</v>
      </c>
      <c r="H36" s="143"/>
      <c r="I36" s="252"/>
      <c r="J36" s="143"/>
      <c r="K36" s="143">
        <f t="shared" si="7"/>
        <v>0</v>
      </c>
      <c r="L36" s="143"/>
      <c r="M36" s="143">
        <f t="shared" si="8"/>
        <v>0</v>
      </c>
      <c r="N36" s="143"/>
      <c r="O36" s="143">
        <f t="shared" si="9"/>
        <v>0</v>
      </c>
      <c r="P36" s="143"/>
      <c r="Q36" s="143">
        <f t="shared" si="10"/>
        <v>0</v>
      </c>
      <c r="R36" s="143"/>
      <c r="S36" s="252"/>
    </row>
    <row r="37" spans="1:19" ht="12.75">
      <c r="A37" s="47" t="s">
        <v>32</v>
      </c>
      <c r="B37" s="152" t="s">
        <v>12</v>
      </c>
      <c r="C37" s="145"/>
      <c r="D37" s="145"/>
      <c r="E37" s="145">
        <f t="shared" si="2"/>
        <v>0</v>
      </c>
      <c r="F37" s="145"/>
      <c r="G37" s="145">
        <f t="shared" si="3"/>
        <v>0</v>
      </c>
      <c r="H37" s="145"/>
      <c r="I37" s="254"/>
      <c r="J37" s="145"/>
      <c r="K37" s="145">
        <f t="shared" si="7"/>
        <v>0</v>
      </c>
      <c r="L37" s="145"/>
      <c r="M37" s="145">
        <f t="shared" si="8"/>
        <v>0</v>
      </c>
      <c r="N37" s="145"/>
      <c r="O37" s="145">
        <f t="shared" si="9"/>
        <v>0</v>
      </c>
      <c r="P37" s="145"/>
      <c r="Q37" s="145">
        <f t="shared" si="10"/>
        <v>0</v>
      </c>
      <c r="R37" s="145"/>
      <c r="S37" s="254"/>
    </row>
    <row r="38" spans="1:19" ht="13.5" thickBot="1">
      <c r="A38" s="47"/>
      <c r="B38" s="152" t="s">
        <v>80</v>
      </c>
      <c r="C38" s="145"/>
      <c r="D38" s="145"/>
      <c r="E38" s="145">
        <f t="shared" si="2"/>
        <v>0</v>
      </c>
      <c r="F38" s="145"/>
      <c r="G38" s="145">
        <f t="shared" si="3"/>
        <v>0</v>
      </c>
      <c r="H38" s="145"/>
      <c r="I38" s="254"/>
      <c r="J38" s="145"/>
      <c r="K38" s="145">
        <f t="shared" si="7"/>
        <v>0</v>
      </c>
      <c r="L38" s="145"/>
      <c r="M38" s="145">
        <f t="shared" si="8"/>
        <v>0</v>
      </c>
      <c r="N38" s="145"/>
      <c r="O38" s="145">
        <f t="shared" si="9"/>
        <v>0</v>
      </c>
      <c r="P38" s="145"/>
      <c r="Q38" s="145">
        <f t="shared" si="10"/>
        <v>0</v>
      </c>
      <c r="R38" s="145"/>
      <c r="S38" s="254"/>
    </row>
    <row r="39" spans="1:19" ht="13.5" thickBot="1">
      <c r="A39" s="46" t="s">
        <v>53</v>
      </c>
      <c r="B39" s="84" t="s">
        <v>70</v>
      </c>
      <c r="C39" s="202">
        <f>C32</f>
        <v>0</v>
      </c>
      <c r="D39" s="202">
        <f>D32</f>
        <v>0</v>
      </c>
      <c r="E39" s="202">
        <f t="shared" si="2"/>
        <v>0</v>
      </c>
      <c r="F39" s="202">
        <f>F32</f>
        <v>0</v>
      </c>
      <c r="G39" s="202">
        <f t="shared" si="3"/>
        <v>0</v>
      </c>
      <c r="H39" s="202">
        <f>H32</f>
        <v>0</v>
      </c>
      <c r="I39" s="251"/>
      <c r="J39" s="202">
        <f>J32</f>
        <v>0</v>
      </c>
      <c r="K39" s="202">
        <f t="shared" si="7"/>
        <v>0</v>
      </c>
      <c r="L39" s="202">
        <f>L32</f>
        <v>0</v>
      </c>
      <c r="M39" s="202">
        <f t="shared" si="8"/>
        <v>0</v>
      </c>
      <c r="N39" s="202">
        <f>N32</f>
        <v>0</v>
      </c>
      <c r="O39" s="202">
        <f t="shared" si="9"/>
        <v>0</v>
      </c>
      <c r="P39" s="202">
        <f>P32</f>
        <v>0</v>
      </c>
      <c r="Q39" s="202">
        <f t="shared" si="10"/>
        <v>0</v>
      </c>
      <c r="R39" s="202">
        <f>R32</f>
        <v>0</v>
      </c>
      <c r="S39" s="251"/>
    </row>
    <row r="40" spans="1:19" ht="13.5" thickBot="1">
      <c r="A40" s="48" t="s">
        <v>54</v>
      </c>
      <c r="B40" s="154" t="s">
        <v>71</v>
      </c>
      <c r="C40" s="203"/>
      <c r="D40" s="203"/>
      <c r="E40" s="203">
        <f t="shared" si="2"/>
        <v>0</v>
      </c>
      <c r="F40" s="203"/>
      <c r="G40" s="203">
        <f t="shared" si="3"/>
        <v>0</v>
      </c>
      <c r="H40" s="203"/>
      <c r="I40" s="255"/>
      <c r="J40" s="203"/>
      <c r="K40" s="203">
        <f t="shared" si="7"/>
        <v>0</v>
      </c>
      <c r="L40" s="203"/>
      <c r="M40" s="203">
        <f t="shared" si="8"/>
        <v>0</v>
      </c>
      <c r="N40" s="203"/>
      <c r="O40" s="203">
        <f t="shared" si="9"/>
        <v>0</v>
      </c>
      <c r="P40" s="203"/>
      <c r="Q40" s="203">
        <f t="shared" si="10"/>
        <v>0</v>
      </c>
      <c r="R40" s="203"/>
      <c r="S40" s="255"/>
    </row>
    <row r="41" spans="1:19" ht="13.5" thickBot="1">
      <c r="A41" s="139" t="s">
        <v>54</v>
      </c>
      <c r="B41" s="84" t="s">
        <v>72</v>
      </c>
      <c r="C41" s="202"/>
      <c r="D41" s="202"/>
      <c r="E41" s="202">
        <f t="shared" si="2"/>
        <v>0</v>
      </c>
      <c r="F41" s="202"/>
      <c r="G41" s="202">
        <f t="shared" si="3"/>
        <v>0</v>
      </c>
      <c r="H41" s="202">
        <v>3913</v>
      </c>
      <c r="I41" s="251"/>
      <c r="J41" s="202"/>
      <c r="K41" s="202">
        <f t="shared" si="7"/>
        <v>0</v>
      </c>
      <c r="L41" s="202"/>
      <c r="M41" s="202">
        <f t="shared" si="8"/>
        <v>0</v>
      </c>
      <c r="N41" s="202"/>
      <c r="O41" s="202">
        <f t="shared" si="9"/>
        <v>0</v>
      </c>
      <c r="P41" s="202"/>
      <c r="Q41" s="202">
        <f t="shared" si="10"/>
        <v>0</v>
      </c>
      <c r="R41" s="202">
        <v>-5265</v>
      </c>
      <c r="S41" s="251"/>
    </row>
    <row r="42" spans="1:19" ht="18" customHeight="1" thickBot="1">
      <c r="A42" s="49"/>
      <c r="B42" s="155" t="s">
        <v>73</v>
      </c>
      <c r="C42" s="146">
        <f>C24+C30+C39+C40</f>
        <v>178245</v>
      </c>
      <c r="D42" s="146">
        <f aca="true" t="shared" si="11" ref="D42:Q42">D24+D30+D39+D40</f>
        <v>-18819</v>
      </c>
      <c r="E42" s="146">
        <f t="shared" si="11"/>
        <v>159426</v>
      </c>
      <c r="F42" s="146">
        <f t="shared" si="11"/>
        <v>3461</v>
      </c>
      <c r="G42" s="146">
        <f t="shared" si="11"/>
        <v>162887</v>
      </c>
      <c r="H42" s="146">
        <f t="shared" si="11"/>
        <v>96882</v>
      </c>
      <c r="I42" s="146" t="e">
        <f t="shared" si="11"/>
        <v>#DIV/0!</v>
      </c>
      <c r="J42" s="146">
        <f t="shared" si="11"/>
        <v>0</v>
      </c>
      <c r="K42" s="146">
        <f t="shared" si="11"/>
        <v>7230</v>
      </c>
      <c r="L42" s="146">
        <f t="shared" si="11"/>
        <v>513</v>
      </c>
      <c r="M42" s="146">
        <f t="shared" si="11"/>
        <v>7743</v>
      </c>
      <c r="N42" s="146">
        <f t="shared" si="11"/>
        <v>0</v>
      </c>
      <c r="O42" s="146">
        <f t="shared" si="11"/>
        <v>7743</v>
      </c>
      <c r="P42" s="146">
        <f t="shared" si="11"/>
        <v>0</v>
      </c>
      <c r="Q42" s="146">
        <f t="shared" si="11"/>
        <v>183250</v>
      </c>
      <c r="R42" s="146">
        <f>R24+R30+R39+R40+R41</f>
        <v>173895</v>
      </c>
      <c r="S42" s="256">
        <f>+R42/Q42</f>
        <v>0.9489495225102319</v>
      </c>
    </row>
    <row r="43" spans="3:19" ht="18.75" customHeight="1" thickBot="1">
      <c r="C43" s="106"/>
      <c r="D43" s="106"/>
      <c r="E43" s="106"/>
      <c r="F43" s="106"/>
      <c r="G43" s="106">
        <f t="shared" si="3"/>
        <v>0</v>
      </c>
      <c r="H43" s="106"/>
      <c r="I43" s="244"/>
      <c r="J43" s="106"/>
      <c r="K43" s="106">
        <f t="shared" si="7"/>
        <v>0</v>
      </c>
      <c r="L43" s="106"/>
      <c r="M43" s="106">
        <f t="shared" si="8"/>
        <v>0</v>
      </c>
      <c r="N43" s="106"/>
      <c r="O43" s="106">
        <f t="shared" si="9"/>
        <v>0</v>
      </c>
      <c r="P43" s="106"/>
      <c r="Q43" s="106">
        <f>SUM(Q27:Q30)</f>
        <v>3406</v>
      </c>
      <c r="R43" s="106"/>
      <c r="S43" s="244"/>
    </row>
    <row r="44" spans="2:19" ht="12.75">
      <c r="B44" s="201" t="s">
        <v>119</v>
      </c>
      <c r="C44" s="208">
        <v>28.5</v>
      </c>
      <c r="D44" s="208"/>
      <c r="E44" s="208">
        <v>28.5</v>
      </c>
      <c r="F44" s="208"/>
      <c r="G44" s="208">
        <f t="shared" si="3"/>
        <v>28.5</v>
      </c>
      <c r="H44" s="208"/>
      <c r="I44" s="273">
        <f>+H44/G44</f>
        <v>0</v>
      </c>
      <c r="J44" s="208"/>
      <c r="K44" s="208">
        <f t="shared" si="7"/>
        <v>28.5</v>
      </c>
      <c r="L44" s="208"/>
      <c r="M44" s="208">
        <f t="shared" si="8"/>
        <v>28.5</v>
      </c>
      <c r="N44" s="208"/>
      <c r="O44" s="208">
        <f t="shared" si="9"/>
        <v>28.5</v>
      </c>
      <c r="P44" s="208"/>
      <c r="Q44" s="208">
        <v>23</v>
      </c>
      <c r="R44" s="208">
        <v>23</v>
      </c>
      <c r="S44" s="273">
        <f>+R44/Q44</f>
        <v>1</v>
      </c>
    </row>
    <row r="45" spans="2:19" ht="13.5" thickBot="1">
      <c r="B45" s="89" t="s">
        <v>120</v>
      </c>
      <c r="C45" s="209">
        <v>29</v>
      </c>
      <c r="D45" s="209"/>
      <c r="E45" s="209">
        <v>29</v>
      </c>
      <c r="F45" s="209"/>
      <c r="G45" s="209">
        <f t="shared" si="3"/>
        <v>29</v>
      </c>
      <c r="H45" s="209"/>
      <c r="I45" s="274">
        <f>+H45/G45</f>
        <v>0</v>
      </c>
      <c r="J45" s="209"/>
      <c r="K45" s="209">
        <f t="shared" si="7"/>
        <v>29</v>
      </c>
      <c r="L45" s="209"/>
      <c r="M45" s="209">
        <f t="shared" si="8"/>
        <v>29</v>
      </c>
      <c r="N45" s="209"/>
      <c r="O45" s="209">
        <f t="shared" si="9"/>
        <v>29</v>
      </c>
      <c r="P45" s="209"/>
      <c r="Q45" s="209">
        <v>22</v>
      </c>
      <c r="R45" s="209">
        <v>22</v>
      </c>
      <c r="S45" s="274">
        <f>+R45/Q45</f>
        <v>1</v>
      </c>
    </row>
    <row r="46" spans="2:18" ht="12.75">
      <c r="B46" s="34"/>
      <c r="C46" s="50"/>
      <c r="D46" s="50"/>
      <c r="E46" s="50"/>
      <c r="F46" s="50"/>
      <c r="G46" s="50"/>
      <c r="H46" s="50"/>
      <c r="I46" s="257"/>
      <c r="J46" s="50"/>
      <c r="K46" s="50"/>
      <c r="L46" s="50"/>
      <c r="M46" s="50"/>
      <c r="N46" s="50"/>
      <c r="O46" s="50"/>
      <c r="P46" s="50"/>
      <c r="Q46" s="50"/>
      <c r="R46" s="34"/>
    </row>
    <row r="47" spans="2:17" ht="12.75">
      <c r="B47" s="51"/>
      <c r="C47" s="137"/>
      <c r="D47" s="137"/>
      <c r="E47" s="137"/>
      <c r="F47" s="137"/>
      <c r="G47" s="137"/>
      <c r="H47" s="137"/>
      <c r="I47" s="258"/>
      <c r="J47" s="137"/>
      <c r="K47" s="137"/>
      <c r="L47" s="137"/>
      <c r="M47" s="137"/>
      <c r="N47" s="137"/>
      <c r="O47" s="137"/>
      <c r="P47" s="137"/>
      <c r="Q47" s="137"/>
    </row>
    <row r="48" ht="12.75">
      <c r="B48" s="34"/>
    </row>
    <row r="49" ht="12.75">
      <c r="B49" s="34"/>
    </row>
    <row r="50" ht="12.75">
      <c r="B50" s="34"/>
    </row>
  </sheetData>
  <sheetProtection/>
  <printOptions horizontalCentered="1"/>
  <pageMargins left="0.6299212598425197" right="0.4724409448818898" top="0.96" bottom="0.56" header="0.5118110236220472" footer="0.27"/>
  <pageSetup fitToHeight="1" fitToWidth="1" horizontalDpi="600" verticalDpi="600" orientation="landscape" paperSize="9" scale="83" r:id="rId1"/>
  <headerFooter alignWithMargins="0">
    <oddHeader>&amp;L4/Bsz.melléklet&amp;C&amp;"Arial,Félkövér"&amp;12Nagykovácsi Polgármesteri Hivatal
2012.évi kiadásai kiemelt előirányzatonként&amp;Radatok eFt-ban</oddHeader>
    <oddFooter>&amp;L&amp;"Arial,Dőlt"&amp;8&amp;D&amp;C&amp;"Arial,Dőlt"&amp;8&amp;P&amp;R&amp;"Arial,Dőlt"&amp;8&amp;F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20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57421875" style="216" customWidth="1"/>
    <col min="2" max="2" width="61.7109375" style="216" customWidth="1"/>
    <col min="3" max="5" width="20.140625" style="216" hidden="1" customWidth="1"/>
    <col min="6" max="6" width="13.8515625" style="226" hidden="1" customWidth="1"/>
    <col min="7" max="8" width="20.140625" style="216" hidden="1" customWidth="1"/>
    <col min="9" max="9" width="17.140625" style="216" hidden="1" customWidth="1"/>
    <col min="10" max="10" width="19.421875" style="216" hidden="1" customWidth="1"/>
    <col min="11" max="13" width="20.140625" style="216" hidden="1" customWidth="1"/>
    <col min="14" max="14" width="20.140625" style="216" bestFit="1" customWidth="1"/>
    <col min="15" max="16" width="15.8515625" style="216" customWidth="1"/>
    <col min="17" max="16384" width="9.140625" style="216" customWidth="1"/>
  </cols>
  <sheetData>
    <row r="1" spans="1:16" ht="53.25" customHeight="1" thickBot="1">
      <c r="A1" s="213" t="s">
        <v>193</v>
      </c>
      <c r="B1" s="214" t="s">
        <v>7</v>
      </c>
      <c r="C1" s="59" t="s">
        <v>194</v>
      </c>
      <c r="D1" s="59" t="s">
        <v>195</v>
      </c>
      <c r="E1" s="59" t="s">
        <v>413</v>
      </c>
      <c r="F1" s="215" t="s">
        <v>196</v>
      </c>
      <c r="G1" s="59" t="s">
        <v>187</v>
      </c>
      <c r="H1" s="59" t="s">
        <v>197</v>
      </c>
      <c r="I1" s="233" t="s">
        <v>209</v>
      </c>
      <c r="J1" s="233" t="s">
        <v>210</v>
      </c>
      <c r="K1" s="59" t="s">
        <v>222</v>
      </c>
      <c r="L1" s="59" t="s">
        <v>223</v>
      </c>
      <c r="M1" s="59" t="s">
        <v>229</v>
      </c>
      <c r="N1" s="59" t="s">
        <v>239</v>
      </c>
      <c r="O1" s="59" t="s">
        <v>236</v>
      </c>
      <c r="P1" s="59" t="s">
        <v>238</v>
      </c>
    </row>
    <row r="2" spans="1:16" ht="12.75">
      <c r="A2" s="217"/>
      <c r="B2" s="218"/>
      <c r="C2" s="219"/>
      <c r="D2" s="219">
        <f>+C2*0.27</f>
        <v>0</v>
      </c>
      <c r="E2" s="219"/>
      <c r="F2" s="220">
        <v>4211001</v>
      </c>
      <c r="G2" s="219">
        <v>600</v>
      </c>
      <c r="H2" s="219">
        <f>+E2+G2</f>
        <v>600</v>
      </c>
      <c r="I2" s="219"/>
      <c r="J2" s="234">
        <f>+I2/H2</f>
        <v>0</v>
      </c>
      <c r="K2" s="219"/>
      <c r="L2" s="219">
        <f>+H2+K2</f>
        <v>600</v>
      </c>
      <c r="M2" s="219"/>
      <c r="N2" s="219"/>
      <c r="O2" s="219"/>
      <c r="P2" s="234"/>
    </row>
    <row r="3" spans="1:16" ht="12.75">
      <c r="A3" s="231"/>
      <c r="B3" s="232" t="s">
        <v>457</v>
      </c>
      <c r="C3" s="222"/>
      <c r="D3" s="222"/>
      <c r="E3" s="222"/>
      <c r="F3" s="223"/>
      <c r="G3" s="222">
        <v>427</v>
      </c>
      <c r="H3" s="219">
        <f>+E3+G3</f>
        <v>427</v>
      </c>
      <c r="I3" s="222"/>
      <c r="J3" s="234">
        <f>+I3/H3</f>
        <v>0</v>
      </c>
      <c r="K3" s="222"/>
      <c r="L3" s="222">
        <f>+H3+K3</f>
        <v>427</v>
      </c>
      <c r="M3" s="222"/>
      <c r="N3" s="219">
        <v>1190</v>
      </c>
      <c r="O3" s="222">
        <v>1179</v>
      </c>
      <c r="P3" s="234"/>
    </row>
    <row r="4" spans="1:16" ht="12.75">
      <c r="A4" s="231"/>
      <c r="B4" s="232" t="s">
        <v>458</v>
      </c>
      <c r="C4" s="222"/>
      <c r="D4" s="222"/>
      <c r="E4" s="222"/>
      <c r="F4" s="223"/>
      <c r="G4" s="222"/>
      <c r="H4" s="222"/>
      <c r="I4" s="222">
        <v>59</v>
      </c>
      <c r="J4" s="235"/>
      <c r="K4" s="222">
        <v>59</v>
      </c>
      <c r="L4" s="222">
        <f>+H4+K4</f>
        <v>59</v>
      </c>
      <c r="M4" s="222"/>
      <c r="N4" s="219">
        <v>313</v>
      </c>
      <c r="O4" s="222">
        <v>305</v>
      </c>
      <c r="P4" s="234"/>
    </row>
    <row r="5" spans="1:16" ht="12.75">
      <c r="A5" s="231"/>
      <c r="B5" s="232" t="s">
        <v>224</v>
      </c>
      <c r="C5" s="222"/>
      <c r="D5" s="222"/>
      <c r="E5" s="222"/>
      <c r="F5" s="223"/>
      <c r="G5" s="222"/>
      <c r="H5" s="222"/>
      <c r="I5" s="222"/>
      <c r="J5" s="235"/>
      <c r="K5" s="222">
        <v>168</v>
      </c>
      <c r="L5" s="222">
        <f>+H5+K5</f>
        <v>168</v>
      </c>
      <c r="M5" s="222"/>
      <c r="N5" s="219">
        <v>200</v>
      </c>
      <c r="O5" s="222">
        <v>182</v>
      </c>
      <c r="P5" s="234">
        <f>+O5/N5</f>
        <v>0.91</v>
      </c>
    </row>
    <row r="6" spans="1:16" ht="12.75">
      <c r="A6" s="231"/>
      <c r="B6" s="232"/>
      <c r="C6" s="222"/>
      <c r="D6" s="222"/>
      <c r="E6" s="222"/>
      <c r="F6" s="223"/>
      <c r="G6" s="222"/>
      <c r="H6" s="222"/>
      <c r="I6" s="222"/>
      <c r="J6" s="235"/>
      <c r="K6" s="222">
        <v>286</v>
      </c>
      <c r="L6" s="222">
        <f>+H6+K6</f>
        <v>286</v>
      </c>
      <c r="M6" s="222"/>
      <c r="N6" s="219"/>
      <c r="O6" s="222"/>
      <c r="P6" s="234"/>
    </row>
    <row r="7" spans="1:16" ht="13.5" thickBot="1">
      <c r="A7" s="224"/>
      <c r="B7" s="225" t="s">
        <v>198</v>
      </c>
      <c r="C7" s="229">
        <f>SUM(C2:C3)</f>
        <v>0</v>
      </c>
      <c r="D7" s="229">
        <f>SUM(D2:D3)</f>
        <v>0</v>
      </c>
      <c r="E7" s="229"/>
      <c r="F7" s="229">
        <f aca="true" t="shared" si="0" ref="F7:N7">SUM(F2:F6)</f>
        <v>4211001</v>
      </c>
      <c r="G7" s="229">
        <f t="shared" si="0"/>
        <v>1027</v>
      </c>
      <c r="H7" s="229">
        <f t="shared" si="0"/>
        <v>1027</v>
      </c>
      <c r="I7" s="229">
        <f t="shared" si="0"/>
        <v>59</v>
      </c>
      <c r="J7" s="229">
        <f t="shared" si="0"/>
        <v>0</v>
      </c>
      <c r="K7" s="229">
        <f t="shared" si="0"/>
        <v>513</v>
      </c>
      <c r="L7" s="229">
        <f t="shared" si="0"/>
        <v>1540</v>
      </c>
      <c r="M7" s="229">
        <f t="shared" si="0"/>
        <v>0</v>
      </c>
      <c r="N7" s="229">
        <f t="shared" si="0"/>
        <v>1703</v>
      </c>
      <c r="O7" s="229">
        <f>SUM(O2:O6)</f>
        <v>1666</v>
      </c>
      <c r="P7" s="276">
        <f>+O7/N7</f>
        <v>0.9782736347621844</v>
      </c>
    </row>
    <row r="8" spans="2:3" ht="15" hidden="1">
      <c r="B8" s="1" t="s">
        <v>199</v>
      </c>
      <c r="C8" s="57"/>
    </row>
    <row r="9" spans="2:14" ht="12.75" hidden="1">
      <c r="B9" s="227"/>
      <c r="C9" s="1"/>
      <c r="D9" s="228"/>
      <c r="E9" s="228"/>
      <c r="G9" s="228"/>
      <c r="H9" s="228"/>
      <c r="K9" s="228"/>
      <c r="L9" s="228"/>
      <c r="M9" s="228"/>
      <c r="N9" s="228"/>
    </row>
    <row r="10" spans="2:14" ht="12.75" hidden="1">
      <c r="B10" s="218" t="s">
        <v>200</v>
      </c>
      <c r="C10" s="219">
        <v>1500</v>
      </c>
      <c r="D10" s="219"/>
      <c r="E10" s="219"/>
      <c r="F10" s="220"/>
      <c r="G10" s="219"/>
      <c r="H10" s="219"/>
      <c r="K10" s="219"/>
      <c r="L10" s="219"/>
      <c r="M10" s="219"/>
      <c r="N10" s="219"/>
    </row>
    <row r="11" spans="2:14" ht="12.75" hidden="1">
      <c r="B11" s="218" t="s">
        <v>201</v>
      </c>
      <c r="C11" s="219">
        <v>2475</v>
      </c>
      <c r="D11" s="219">
        <f>+C11*0.27</f>
        <v>668.25</v>
      </c>
      <c r="E11" s="219">
        <f>+C11+D11</f>
        <v>3143.25</v>
      </c>
      <c r="F11" s="220"/>
      <c r="G11" s="219"/>
      <c r="H11" s="219"/>
      <c r="K11" s="219"/>
      <c r="L11" s="219"/>
      <c r="M11" s="219"/>
      <c r="N11" s="219"/>
    </row>
    <row r="12" spans="2:14" ht="12.75" hidden="1">
      <c r="B12" s="221" t="s">
        <v>202</v>
      </c>
      <c r="C12" s="219">
        <v>2120</v>
      </c>
      <c r="D12" s="219">
        <f>+C12*0.27</f>
        <v>572.4000000000001</v>
      </c>
      <c r="E12" s="219">
        <f>+C12+D12</f>
        <v>2692.4</v>
      </c>
      <c r="F12" s="220"/>
      <c r="G12" s="219"/>
      <c r="H12" s="219"/>
      <c r="K12" s="219"/>
      <c r="L12" s="219"/>
      <c r="M12" s="219"/>
      <c r="N12" s="219"/>
    </row>
    <row r="13" ht="12.75" hidden="1"/>
    <row r="14" spans="1:16" ht="12.75">
      <c r="A14" s="231"/>
      <c r="B14" s="232"/>
      <c r="C14" s="222"/>
      <c r="D14" s="222"/>
      <c r="E14" s="222"/>
      <c r="F14" s="223"/>
      <c r="G14" s="222"/>
      <c r="H14" s="222"/>
      <c r="I14" s="222"/>
      <c r="J14" s="235"/>
      <c r="K14" s="222">
        <v>286</v>
      </c>
      <c r="L14" s="222">
        <f>+H14+K14</f>
        <v>286</v>
      </c>
      <c r="M14" s="222"/>
      <c r="N14" s="219"/>
      <c r="O14" s="222"/>
      <c r="P14" s="234"/>
    </row>
    <row r="15" spans="1:16" ht="13.5" thickBot="1">
      <c r="A15" s="224"/>
      <c r="B15" s="225" t="s">
        <v>414</v>
      </c>
      <c r="C15" s="229">
        <f>SUM(C10:C11)</f>
        <v>3975</v>
      </c>
      <c r="D15" s="229">
        <f>SUM(D10:D11)</f>
        <v>668.25</v>
      </c>
      <c r="E15" s="229"/>
      <c r="F15" s="229">
        <f aca="true" t="shared" si="1" ref="F15:M15">SUM(F10:F14)</f>
        <v>0</v>
      </c>
      <c r="G15" s="229">
        <f t="shared" si="1"/>
        <v>0</v>
      </c>
      <c r="H15" s="229">
        <f t="shared" si="1"/>
        <v>0</v>
      </c>
      <c r="I15" s="229">
        <f t="shared" si="1"/>
        <v>0</v>
      </c>
      <c r="J15" s="229">
        <f t="shared" si="1"/>
        <v>0</v>
      </c>
      <c r="K15" s="229">
        <f t="shared" si="1"/>
        <v>286</v>
      </c>
      <c r="L15" s="229">
        <f t="shared" si="1"/>
        <v>286</v>
      </c>
      <c r="M15" s="229">
        <f t="shared" si="1"/>
        <v>0</v>
      </c>
      <c r="N15" s="229"/>
      <c r="O15" s="229"/>
      <c r="P15" s="276"/>
    </row>
    <row r="16" spans="1:16" ht="13.5" thickBot="1">
      <c r="A16" s="224"/>
      <c r="B16" s="225" t="s">
        <v>415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>
        <f>+N7+N15</f>
        <v>1703</v>
      </c>
      <c r="O16" s="229">
        <f>+O7+O15</f>
        <v>1666</v>
      </c>
      <c r="P16" s="276">
        <f>+O16/N16</f>
        <v>0.9782736347621844</v>
      </c>
    </row>
    <row r="20" ht="12.75">
      <c r="B20" s="216" t="s">
        <v>203</v>
      </c>
    </row>
  </sheetData>
  <sheetProtection/>
  <printOptions horizontalCentered="1"/>
  <pageMargins left="0.2362204724409449" right="0.2362204724409449" top="1.7322834645669292" bottom="0.984251968503937" header="0.7086614173228347" footer="0.5118110236220472"/>
  <pageSetup fitToHeight="1" fitToWidth="1" horizontalDpi="600" verticalDpi="600" orientation="landscape" paperSize="9" r:id="rId1"/>
  <headerFooter alignWithMargins="0">
    <oddHeader>&amp;L3.2.sz.melléklet&amp;C&amp;"Arial,Félkövér"Nagykovácsi Polgármesteri Hivatal
 2013. évi költségvetésének
felhalmozási kiadásai
&amp;Radatok eFt-ban</oddHeader>
    <oddFooter>&amp;L&amp;D&amp;R&amp;F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3">
      <selection activeCell="D33" sqref="D33"/>
    </sheetView>
  </sheetViews>
  <sheetFormatPr defaultColWidth="9.140625" defaultRowHeight="12.75"/>
  <cols>
    <col min="1" max="1" width="10.421875" style="281" customWidth="1"/>
    <col min="2" max="2" width="61.140625" style="281" customWidth="1"/>
    <col min="3" max="3" width="24.57421875" style="281" customWidth="1"/>
    <col min="4" max="4" width="23.421875" style="281" customWidth="1"/>
    <col min="5" max="7" width="11.00390625" style="281" customWidth="1"/>
    <col min="8" max="8" width="10.57421875" style="281" customWidth="1"/>
    <col min="9" max="10" width="10.28125" style="281" customWidth="1"/>
    <col min="11" max="11" width="10.7109375" style="281" customWidth="1"/>
    <col min="12" max="16384" width="9.140625" style="281" customWidth="1"/>
  </cols>
  <sheetData>
    <row r="1" spans="1:4" ht="12.75">
      <c r="A1" s="283"/>
      <c r="B1" s="284"/>
      <c r="C1" s="284"/>
      <c r="D1" s="404"/>
    </row>
    <row r="2" spans="1:4" ht="12.75">
      <c r="A2" s="405" t="s">
        <v>23</v>
      </c>
      <c r="B2" s="285" t="s">
        <v>7</v>
      </c>
      <c r="C2" s="285" t="s">
        <v>242</v>
      </c>
      <c r="D2" s="285" t="s">
        <v>243</v>
      </c>
    </row>
    <row r="3" spans="1:4" ht="13.5" thickBot="1">
      <c r="A3" s="406"/>
      <c r="B3" s="288"/>
      <c r="C3" s="288"/>
      <c r="D3" s="288"/>
    </row>
    <row r="4" spans="1:4" ht="19.5" customHeight="1">
      <c r="A4" s="407">
        <v>1</v>
      </c>
      <c r="B4" s="293" t="s">
        <v>416</v>
      </c>
      <c r="C4" s="297">
        <v>2818</v>
      </c>
      <c r="D4" s="297">
        <v>2157</v>
      </c>
    </row>
    <row r="5" spans="1:4" ht="13.5" thickBot="1">
      <c r="A5" s="407">
        <v>2</v>
      </c>
      <c r="B5" s="293" t="s">
        <v>417</v>
      </c>
      <c r="C5" s="297">
        <v>119</v>
      </c>
      <c r="D5" s="297">
        <v>44</v>
      </c>
    </row>
    <row r="6" spans="1:4" ht="13.5" thickBot="1">
      <c r="A6" s="408">
        <v>3</v>
      </c>
      <c r="B6" s="60" t="s">
        <v>418</v>
      </c>
      <c r="C6" s="409">
        <f>SUM(C4:C5)</f>
        <v>2937</v>
      </c>
      <c r="D6" s="409">
        <f>SUM(D4:D5)</f>
        <v>2201</v>
      </c>
    </row>
    <row r="7" spans="1:4" ht="5.25" customHeight="1" hidden="1" thickBot="1">
      <c r="A7" s="407">
        <v>4</v>
      </c>
      <c r="B7" s="293" t="s">
        <v>419</v>
      </c>
      <c r="C7" s="297">
        <v>0</v>
      </c>
      <c r="D7" s="297">
        <v>0</v>
      </c>
    </row>
    <row r="8" spans="1:4" ht="13.5" hidden="1" thickBot="1">
      <c r="A8" s="407">
        <v>5</v>
      </c>
      <c r="B8" s="293" t="s">
        <v>420</v>
      </c>
      <c r="C8" s="297">
        <v>0</v>
      </c>
      <c r="D8" s="297">
        <v>0</v>
      </c>
    </row>
    <row r="9" spans="1:4" ht="13.5" hidden="1" thickBot="1">
      <c r="A9" s="407">
        <v>6</v>
      </c>
      <c r="B9" s="293" t="s">
        <v>421</v>
      </c>
      <c r="C9" s="297">
        <v>12239</v>
      </c>
      <c r="D9" s="297">
        <v>12239</v>
      </c>
    </row>
    <row r="10" spans="1:4" ht="13.5" hidden="1" thickBot="1">
      <c r="A10" s="407">
        <v>7</v>
      </c>
      <c r="B10" s="293" t="s">
        <v>422</v>
      </c>
      <c r="C10" s="297">
        <v>20822</v>
      </c>
      <c r="D10" s="297">
        <v>20822</v>
      </c>
    </row>
    <row r="11" spans="1:4" ht="13.5" hidden="1" thickBot="1">
      <c r="A11" s="407">
        <v>8</v>
      </c>
      <c r="B11" s="293" t="s">
        <v>423</v>
      </c>
      <c r="C11" s="297">
        <v>1</v>
      </c>
      <c r="D11" s="297">
        <v>1</v>
      </c>
    </row>
    <row r="12" spans="1:4" ht="13.5" hidden="1" thickBot="1">
      <c r="A12" s="407">
        <v>9</v>
      </c>
      <c r="B12" s="293" t="s">
        <v>424</v>
      </c>
      <c r="C12" s="297">
        <v>220</v>
      </c>
      <c r="D12" s="297">
        <v>220</v>
      </c>
    </row>
    <row r="13" spans="1:5" ht="12" customHeight="1" thickBot="1">
      <c r="A13" s="410">
        <v>4</v>
      </c>
      <c r="B13" s="411" t="s">
        <v>425</v>
      </c>
      <c r="C13" s="409">
        <v>9804</v>
      </c>
      <c r="D13" s="409">
        <v>3402</v>
      </c>
      <c r="E13" s="282"/>
    </row>
    <row r="14" spans="1:4" ht="12.75">
      <c r="A14" s="407">
        <v>5</v>
      </c>
      <c r="B14" s="293" t="s">
        <v>426</v>
      </c>
      <c r="C14" s="297"/>
      <c r="D14" s="297"/>
    </row>
    <row r="15" spans="1:4" ht="13.5" thickBot="1">
      <c r="A15" s="407">
        <v>6</v>
      </c>
      <c r="B15" s="293" t="s">
        <v>427</v>
      </c>
      <c r="C15" s="297"/>
      <c r="D15" s="297"/>
    </row>
    <row r="16" spans="1:4" ht="15" customHeight="1" thickBot="1">
      <c r="A16" s="410">
        <v>7</v>
      </c>
      <c r="B16" s="411" t="s">
        <v>428</v>
      </c>
      <c r="C16" s="412">
        <f>C6+C13-C14</f>
        <v>12741</v>
      </c>
      <c r="D16" s="412">
        <f>D6+D13-D14</f>
        <v>5603</v>
      </c>
    </row>
    <row r="17" spans="1:4" ht="1.5" customHeight="1">
      <c r="A17" s="407">
        <v>8</v>
      </c>
      <c r="B17" s="293" t="s">
        <v>429</v>
      </c>
      <c r="C17" s="297"/>
      <c r="D17" s="297"/>
    </row>
    <row r="18" spans="1:4" ht="12.75" hidden="1">
      <c r="A18" s="407">
        <v>15</v>
      </c>
      <c r="B18" s="293" t="s">
        <v>430</v>
      </c>
      <c r="C18" s="297"/>
      <c r="D18" s="297"/>
    </row>
    <row r="19" spans="1:4" ht="12.75" hidden="1">
      <c r="A19" s="407">
        <v>16</v>
      </c>
      <c r="B19" s="293" t="s">
        <v>431</v>
      </c>
      <c r="C19" s="297"/>
      <c r="D19" s="297"/>
    </row>
    <row r="20" spans="1:4" ht="12.75">
      <c r="A20" s="407">
        <v>9</v>
      </c>
      <c r="B20" s="293" t="s">
        <v>432</v>
      </c>
      <c r="C20" s="297"/>
      <c r="D20" s="297">
        <v>9829</v>
      </c>
    </row>
    <row r="21" spans="1:4" ht="12" customHeight="1">
      <c r="A21" s="407">
        <v>10</v>
      </c>
      <c r="B21" s="293" t="s">
        <v>433</v>
      </c>
      <c r="C21" s="297"/>
      <c r="D21" s="297"/>
    </row>
    <row r="22" spans="1:4" ht="12.75" hidden="1">
      <c r="A22" s="407">
        <v>19</v>
      </c>
      <c r="B22" s="413" t="s">
        <v>434</v>
      </c>
      <c r="C22" s="414">
        <f>SUM(C16:C21)</f>
        <v>12741</v>
      </c>
      <c r="D22" s="414">
        <f>SUM(D16:D21)</f>
        <v>15432</v>
      </c>
    </row>
    <row r="23" spans="1:4" ht="12.75">
      <c r="A23" s="407">
        <v>11</v>
      </c>
      <c r="B23" s="293" t="s">
        <v>435</v>
      </c>
      <c r="C23" s="297"/>
      <c r="D23" s="297"/>
    </row>
    <row r="24" spans="1:4" ht="13.5" thickBot="1">
      <c r="A24" s="407">
        <v>12</v>
      </c>
      <c r="B24" s="293" t="s">
        <v>436</v>
      </c>
      <c r="C24" s="297"/>
      <c r="D24" s="297"/>
    </row>
    <row r="25" spans="1:4" ht="15" customHeight="1" thickBot="1">
      <c r="A25" s="415">
        <v>13</v>
      </c>
      <c r="B25" s="416" t="s">
        <v>437</v>
      </c>
      <c r="C25" s="417">
        <f>C22</f>
        <v>12741</v>
      </c>
      <c r="D25" s="417">
        <f>D22</f>
        <v>15432</v>
      </c>
    </row>
    <row r="26" spans="1:4" ht="12.75">
      <c r="A26" s="407">
        <v>14</v>
      </c>
      <c r="B26" s="293" t="s">
        <v>438</v>
      </c>
      <c r="C26" s="293"/>
      <c r="D26" s="293"/>
    </row>
    <row r="27" spans="1:4" ht="12.75">
      <c r="A27" s="407">
        <v>15</v>
      </c>
      <c r="B27" s="293" t="s">
        <v>439</v>
      </c>
      <c r="C27" s="418">
        <v>9832</v>
      </c>
      <c r="D27" s="418">
        <v>8323</v>
      </c>
    </row>
    <row r="28" spans="1:4" ht="13.5" thickBot="1">
      <c r="A28" s="419">
        <v>16</v>
      </c>
      <c r="B28" s="420" t="s">
        <v>440</v>
      </c>
      <c r="C28" s="421">
        <v>2909</v>
      </c>
      <c r="D28" s="421">
        <f>+D25-D27</f>
        <v>7109</v>
      </c>
    </row>
    <row r="29" spans="1:4" ht="13.5" hidden="1" thickBot="1">
      <c r="A29" s="422">
        <v>26</v>
      </c>
      <c r="B29" s="423" t="s">
        <v>441</v>
      </c>
      <c r="C29" s="424">
        <f>C25</f>
        <v>12741</v>
      </c>
      <c r="D29" s="424">
        <f>D25</f>
        <v>15432</v>
      </c>
    </row>
  </sheetData>
  <sheetProtection/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7.sz.melléklet&amp;C&amp;"Arial,Félkövér"Nagykovácsi Polgármesteri Hivatal
2013. évi egyszerűsített pénzmaradvány kimutatás&amp;R
adatok eFt-ban</oddHeader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7109375" style="0" customWidth="1"/>
    <col min="2" max="2" width="67.421875" style="0" bestFit="1" customWidth="1"/>
    <col min="3" max="3" width="26.140625" style="52" customWidth="1"/>
    <col min="4" max="4" width="26.57421875" style="0" customWidth="1"/>
    <col min="5" max="5" width="11.140625" style="0" bestFit="1" customWidth="1"/>
  </cols>
  <sheetData>
    <row r="1" spans="1:4" ht="50.25" customHeight="1" thickBot="1">
      <c r="A1" s="425" t="s">
        <v>23</v>
      </c>
      <c r="B1" s="426" t="s">
        <v>7</v>
      </c>
      <c r="C1" s="427" t="s">
        <v>442</v>
      </c>
      <c r="D1" s="428" t="s">
        <v>443</v>
      </c>
    </row>
    <row r="2" spans="1:4" ht="12.75">
      <c r="A2" s="429" t="s">
        <v>29</v>
      </c>
      <c r="B2" s="430" t="s">
        <v>444</v>
      </c>
      <c r="C2" s="438">
        <v>15432</v>
      </c>
      <c r="D2" s="437"/>
    </row>
    <row r="3" spans="1:4" ht="12.75">
      <c r="A3" s="429"/>
      <c r="B3" s="432" t="s">
        <v>448</v>
      </c>
      <c r="C3" s="439"/>
      <c r="D3" s="442">
        <v>6838</v>
      </c>
    </row>
    <row r="4" spans="1:4" ht="12.75">
      <c r="A4" s="429"/>
      <c r="B4" s="432" t="s">
        <v>449</v>
      </c>
      <c r="C4" s="439"/>
      <c r="D4" s="442">
        <v>1165</v>
      </c>
    </row>
    <row r="5" spans="1:4" ht="12.75">
      <c r="A5" s="429"/>
      <c r="B5" s="432" t="s">
        <v>459</v>
      </c>
      <c r="C5" s="439"/>
      <c r="D5" s="442">
        <v>320</v>
      </c>
    </row>
    <row r="6" spans="1:4" ht="12.75">
      <c r="A6" s="431" t="s">
        <v>32</v>
      </c>
      <c r="B6" s="430" t="s">
        <v>445</v>
      </c>
      <c r="C6" s="439"/>
      <c r="D6" s="440"/>
    </row>
    <row r="7" spans="1:4" ht="12.75">
      <c r="A7" s="431" t="s">
        <v>35</v>
      </c>
      <c r="B7" s="430" t="s">
        <v>446</v>
      </c>
      <c r="C7" s="438"/>
      <c r="D7" s="441">
        <v>7109</v>
      </c>
    </row>
    <row r="8" spans="1:5" ht="28.5" customHeight="1" thickBot="1">
      <c r="A8" s="433" t="s">
        <v>37</v>
      </c>
      <c r="B8" s="434" t="s">
        <v>447</v>
      </c>
      <c r="C8" s="435">
        <f>SUM(C2:C7)</f>
        <v>15432</v>
      </c>
      <c r="D8" s="436">
        <f>SUM(D2:D7)</f>
        <v>15432</v>
      </c>
      <c r="E8" s="52"/>
    </row>
    <row r="10" ht="12.75">
      <c r="B10" s="7"/>
    </row>
  </sheetData>
  <sheetProtection/>
  <printOptions/>
  <pageMargins left="0.64" right="0.47" top="1.9" bottom="1" header="0.5" footer="0.5"/>
  <pageSetup horizontalDpi="600" verticalDpi="600" orientation="landscape" paperSize="9" r:id="rId1"/>
  <headerFooter alignWithMargins="0">
    <oddHeader>&amp;L
8/B.sz.melléklet&amp;C&amp;"Arial,Félkövér"Nagykovácsi Polgármesteri Hivatal
2012.évi 
pénzmaradvány felosztása&amp;R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D44"/>
  <sheetViews>
    <sheetView zoomScalePageLayoutView="0" workbookViewId="0" topLeftCell="A30">
      <selection activeCell="F35" sqref="F35"/>
    </sheetView>
  </sheetViews>
  <sheetFormatPr defaultColWidth="9.140625" defaultRowHeight="12.75"/>
  <cols>
    <col min="1" max="1" width="44.7109375" style="281" customWidth="1"/>
    <col min="2" max="2" width="18.57421875" style="282" customWidth="1"/>
    <col min="3" max="3" width="18.28125" style="282" customWidth="1"/>
    <col min="4" max="4" width="13.8515625" style="281" bestFit="1" customWidth="1"/>
    <col min="5" max="16384" width="9.140625" style="281" customWidth="1"/>
  </cols>
  <sheetData>
    <row r="1" ht="13.5" thickBot="1"/>
    <row r="2" spans="1:4" ht="12.75">
      <c r="A2" s="283"/>
      <c r="B2" s="489" t="s">
        <v>241</v>
      </c>
      <c r="C2" s="490"/>
      <c r="D2" s="284"/>
    </row>
    <row r="3" spans="1:4" ht="13.5" thickBot="1">
      <c r="A3" s="285" t="s">
        <v>7</v>
      </c>
      <c r="B3" s="491"/>
      <c r="C3" s="492"/>
      <c r="D3" s="285" t="s">
        <v>25</v>
      </c>
    </row>
    <row r="4" spans="1:4" ht="15" customHeight="1" thickBot="1">
      <c r="A4" s="286"/>
      <c r="B4" s="287" t="s">
        <v>242</v>
      </c>
      <c r="C4" s="287" t="s">
        <v>243</v>
      </c>
      <c r="D4" s="288" t="s">
        <v>237</v>
      </c>
    </row>
    <row r="5" spans="1:4" ht="12.75">
      <c r="A5" s="289"/>
      <c r="B5" s="290"/>
      <c r="C5" s="290"/>
      <c r="D5" s="285"/>
    </row>
    <row r="6" spans="1:4" ht="12.75">
      <c r="A6" s="291" t="s">
        <v>244</v>
      </c>
      <c r="B6" s="292"/>
      <c r="C6" s="292"/>
      <c r="D6" s="293"/>
    </row>
    <row r="7" spans="1:4" ht="12.75">
      <c r="A7" s="293"/>
      <c r="B7" s="292"/>
      <c r="C7" s="292"/>
      <c r="D7" s="293"/>
    </row>
    <row r="8" spans="1:4" ht="12.75">
      <c r="A8" s="294" t="s">
        <v>245</v>
      </c>
      <c r="B8" s="295">
        <f>SUM(B10:B13)</f>
        <v>4034</v>
      </c>
      <c r="C8" s="295">
        <f>SUM(C10:C13)</f>
        <v>3402</v>
      </c>
      <c r="D8" s="296"/>
    </row>
    <row r="9" spans="1:4" ht="12.75">
      <c r="A9" s="293"/>
      <c r="B9" s="297"/>
      <c r="C9" s="297"/>
      <c r="D9" s="298"/>
    </row>
    <row r="10" spans="1:4" ht="12.75">
      <c r="A10" s="293" t="s">
        <v>246</v>
      </c>
      <c r="B10" s="297">
        <v>691</v>
      </c>
      <c r="C10" s="297">
        <v>428</v>
      </c>
      <c r="D10" s="298"/>
    </row>
    <row r="11" spans="1:4" ht="12.75">
      <c r="A11" s="293" t="s">
        <v>247</v>
      </c>
      <c r="B11" s="297">
        <v>2093</v>
      </c>
      <c r="C11" s="297">
        <v>2974</v>
      </c>
      <c r="D11" s="298"/>
    </row>
    <row r="12" spans="1:4" ht="12.75">
      <c r="A12" s="293" t="s">
        <v>248</v>
      </c>
      <c r="B12" s="297">
        <v>1250</v>
      </c>
      <c r="C12" s="297">
        <v>0</v>
      </c>
      <c r="D12" s="298"/>
    </row>
    <row r="13" spans="1:4" ht="12.75">
      <c r="A13" s="293" t="s">
        <v>249</v>
      </c>
      <c r="B13" s="297"/>
      <c r="C13" s="297"/>
      <c r="D13" s="298"/>
    </row>
    <row r="14" spans="1:4" ht="12.75">
      <c r="A14" s="293"/>
      <c r="B14" s="297"/>
      <c r="C14" s="297"/>
      <c r="D14" s="298"/>
    </row>
    <row r="15" spans="1:4" ht="12.75">
      <c r="A15" s="294" t="s">
        <v>250</v>
      </c>
      <c r="B15" s="295">
        <f>SUM(B17:B21)</f>
        <v>12949</v>
      </c>
      <c r="C15" s="295">
        <f>SUM(C17:C21)</f>
        <v>7332</v>
      </c>
      <c r="D15" s="296"/>
    </row>
    <row r="16" spans="1:4" ht="12.75">
      <c r="A16" s="293"/>
      <c r="B16" s="297"/>
      <c r="C16" s="297"/>
      <c r="D16" s="298"/>
    </row>
    <row r="17" spans="1:4" ht="12.75">
      <c r="A17" s="293" t="s">
        <v>251</v>
      </c>
      <c r="B17" s="297"/>
      <c r="C17" s="297"/>
      <c r="D17" s="298"/>
    </row>
    <row r="18" spans="1:4" ht="12.75">
      <c r="A18" s="293" t="s">
        <v>252</v>
      </c>
      <c r="B18" s="297">
        <v>180</v>
      </c>
      <c r="C18" s="297">
        <v>564</v>
      </c>
      <c r="D18" s="298"/>
    </row>
    <row r="19" spans="1:4" ht="12.75">
      <c r="A19" s="293" t="s">
        <v>253</v>
      </c>
      <c r="B19" s="297"/>
      <c r="C19" s="297"/>
      <c r="D19" s="298"/>
    </row>
    <row r="20" spans="1:4" ht="12.75">
      <c r="A20" s="293" t="s">
        <v>254</v>
      </c>
      <c r="B20" s="297">
        <v>2937</v>
      </c>
      <c r="C20" s="297">
        <v>2201</v>
      </c>
      <c r="D20" s="298"/>
    </row>
    <row r="21" spans="1:4" ht="12.75">
      <c r="A21" s="293" t="s">
        <v>255</v>
      </c>
      <c r="B21" s="297">
        <v>9832</v>
      </c>
      <c r="C21" s="297">
        <v>4567</v>
      </c>
      <c r="D21" s="298"/>
    </row>
    <row r="22" spans="1:4" ht="13.5" thickBot="1">
      <c r="A22" s="299"/>
      <c r="B22" s="300"/>
      <c r="C22" s="300"/>
      <c r="D22" s="301"/>
    </row>
    <row r="23" spans="1:4" ht="14.25" thickBot="1" thickTop="1">
      <c r="A23" s="302" t="s">
        <v>256</v>
      </c>
      <c r="B23" s="303">
        <f>B8+B15</f>
        <v>16983</v>
      </c>
      <c r="C23" s="303">
        <f>C8+C15</f>
        <v>10734</v>
      </c>
      <c r="D23" s="304"/>
    </row>
    <row r="24" spans="1:4" ht="13.5" thickTop="1">
      <c r="A24" s="293"/>
      <c r="B24" s="297"/>
      <c r="C24" s="297"/>
      <c r="D24" s="293"/>
    </row>
    <row r="25" spans="1:4" ht="12.75">
      <c r="A25" s="291" t="s">
        <v>257</v>
      </c>
      <c r="B25" s="297"/>
      <c r="C25" s="297"/>
      <c r="D25" s="293"/>
    </row>
    <row r="26" spans="1:4" ht="12.75">
      <c r="A26" s="293"/>
      <c r="B26" s="297"/>
      <c r="C26" s="297"/>
      <c r="D26" s="293"/>
    </row>
    <row r="27" spans="1:4" ht="12.75">
      <c r="A27" s="294" t="s">
        <v>258</v>
      </c>
      <c r="B27" s="305">
        <f>SUM(B29:B31)</f>
        <v>2922</v>
      </c>
      <c r="C27" s="305">
        <f>SUM(C29:C31)</f>
        <v>3647</v>
      </c>
      <c r="D27" s="296"/>
    </row>
    <row r="28" spans="1:4" ht="12.75">
      <c r="A28" s="293"/>
      <c r="B28" s="306"/>
      <c r="C28" s="306"/>
      <c r="D28" s="298"/>
    </row>
    <row r="29" spans="1:4" ht="12.75">
      <c r="A29" s="293" t="s">
        <v>259</v>
      </c>
      <c r="B29" s="307"/>
      <c r="C29" s="307"/>
      <c r="D29" s="298"/>
    </row>
    <row r="30" spans="1:4" ht="12.75">
      <c r="A30" s="293" t="s">
        <v>260</v>
      </c>
      <c r="B30" s="307">
        <v>2922</v>
      </c>
      <c r="C30" s="307">
        <v>3647</v>
      </c>
      <c r="D30" s="298"/>
    </row>
    <row r="31" spans="1:4" ht="12.75">
      <c r="A31" s="293" t="s">
        <v>261</v>
      </c>
      <c r="B31" s="306"/>
      <c r="C31" s="306"/>
      <c r="D31" s="298"/>
    </row>
    <row r="32" spans="1:4" ht="12.75">
      <c r="A32" s="293"/>
      <c r="B32" s="297"/>
      <c r="C32" s="297"/>
      <c r="D32" s="298"/>
    </row>
    <row r="33" spans="1:4" ht="12.75">
      <c r="A33" s="294" t="s">
        <v>262</v>
      </c>
      <c r="B33" s="308">
        <f>SUM(B35:B36)</f>
        <v>12741</v>
      </c>
      <c r="C33" s="308">
        <f>SUM(C35:C36)</f>
        <v>5603</v>
      </c>
      <c r="D33" s="296"/>
    </row>
    <row r="34" spans="1:4" ht="12.75">
      <c r="A34" s="293"/>
      <c r="B34" s="297"/>
      <c r="C34" s="297"/>
      <c r="D34" s="298"/>
    </row>
    <row r="35" spans="1:4" ht="12.75">
      <c r="A35" s="293" t="s">
        <v>263</v>
      </c>
      <c r="B35" s="297">
        <v>12741</v>
      </c>
      <c r="C35" s="297">
        <v>5603</v>
      </c>
      <c r="D35" s="298"/>
    </row>
    <row r="36" spans="1:4" ht="12.75">
      <c r="A36" s="293" t="s">
        <v>264</v>
      </c>
      <c r="B36" s="297">
        <v>0</v>
      </c>
      <c r="C36" s="297">
        <v>0</v>
      </c>
      <c r="D36" s="298"/>
    </row>
    <row r="37" spans="1:4" ht="12.75">
      <c r="A37" s="293"/>
      <c r="B37" s="297"/>
      <c r="C37" s="297"/>
      <c r="D37" s="298"/>
    </row>
    <row r="38" spans="1:4" ht="12.75">
      <c r="A38" s="294" t="s">
        <v>265</v>
      </c>
      <c r="B38" s="295">
        <f>SUM(B40:B42)</f>
        <v>1320</v>
      </c>
      <c r="C38" s="295">
        <f>SUM(C40:C42)</f>
        <v>1484</v>
      </c>
      <c r="D38" s="296"/>
    </row>
    <row r="39" spans="1:4" ht="12.75">
      <c r="A39" s="293"/>
      <c r="B39" s="297"/>
      <c r="C39" s="297"/>
      <c r="D39" s="298"/>
    </row>
    <row r="40" spans="1:4" ht="12.75">
      <c r="A40" s="293" t="s">
        <v>266</v>
      </c>
      <c r="B40" s="297"/>
      <c r="C40" s="297"/>
      <c r="D40" s="298"/>
    </row>
    <row r="41" spans="1:4" ht="12.75">
      <c r="A41" s="293" t="s">
        <v>267</v>
      </c>
      <c r="B41" s="297">
        <v>1292</v>
      </c>
      <c r="C41" s="297">
        <v>319</v>
      </c>
      <c r="D41" s="298"/>
    </row>
    <row r="42" spans="1:4" ht="12.75">
      <c r="A42" s="293" t="s">
        <v>268</v>
      </c>
      <c r="B42" s="297">
        <v>28</v>
      </c>
      <c r="C42" s="297">
        <v>1165</v>
      </c>
      <c r="D42" s="298"/>
    </row>
    <row r="43" spans="1:4" ht="13.5" thickBot="1">
      <c r="A43" s="293"/>
      <c r="B43" s="297"/>
      <c r="C43" s="297"/>
      <c r="D43" s="298"/>
    </row>
    <row r="44" spans="1:4" ht="14.25" thickBot="1" thickTop="1">
      <c r="A44" s="302" t="s">
        <v>269</v>
      </c>
      <c r="B44" s="303">
        <f>B27+B33+B38</f>
        <v>16983</v>
      </c>
      <c r="C44" s="303">
        <f>C27+C33+C38</f>
        <v>10734</v>
      </c>
      <c r="D44" s="304"/>
    </row>
    <row r="45" ht="13.5" thickTop="1"/>
  </sheetData>
  <sheetProtection/>
  <mergeCells count="1">
    <mergeCell ref="B2:C3"/>
  </mergeCells>
  <printOptions/>
  <pageMargins left="0.5118110236220472" right="0.5511811023622047" top="1.3385826771653544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&amp;L 
6.sz.melléklet &amp;C&amp;"Arial,Félkövér"Nagykovácsi Polgármesteri Hivatal
2013. évi egyszerűsített mérleg&amp;R
adatok eFt-ban</oddHeader>
    <oddFooter>&amp;L&amp;D&amp;R&amp;F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67"/>
  <sheetViews>
    <sheetView tabSelected="1" zoomScalePageLayoutView="0" workbookViewId="0" topLeftCell="A1">
      <selection activeCell="A58" sqref="A58:IV61"/>
    </sheetView>
  </sheetViews>
  <sheetFormatPr defaultColWidth="9.140625" defaultRowHeight="12.75"/>
  <cols>
    <col min="1" max="1" width="7.8515625" style="216" customWidth="1"/>
    <col min="2" max="2" width="67.57421875" style="216" customWidth="1"/>
    <col min="3" max="3" width="16.57421875" style="216" customWidth="1"/>
    <col min="4" max="4" width="15.28125" style="216" customWidth="1"/>
    <col min="5" max="5" width="14.00390625" style="216" customWidth="1"/>
    <col min="6" max="6" width="9.421875" style="216" customWidth="1"/>
    <col min="7" max="16384" width="9.140625" style="216" customWidth="1"/>
  </cols>
  <sheetData>
    <row r="1" spans="1:6" ht="12.75">
      <c r="A1" s="309"/>
      <c r="B1" s="309"/>
      <c r="C1" s="309"/>
      <c r="D1" s="309"/>
      <c r="E1" s="309"/>
      <c r="F1" s="309"/>
    </row>
    <row r="2" spans="1:6" ht="13.5" thickBot="1">
      <c r="A2" s="310" t="s">
        <v>23</v>
      </c>
      <c r="B2" s="310" t="s">
        <v>7</v>
      </c>
      <c r="C2" s="311" t="s">
        <v>270</v>
      </c>
      <c r="D2" s="311" t="s">
        <v>271</v>
      </c>
      <c r="E2" s="312" t="s">
        <v>209</v>
      </c>
      <c r="F2" s="310" t="s">
        <v>25</v>
      </c>
    </row>
    <row r="3" spans="1:6" ht="13.5" thickBot="1">
      <c r="A3" s="313"/>
      <c r="B3" s="313"/>
      <c r="C3" s="493" t="s">
        <v>272</v>
      </c>
      <c r="D3" s="494"/>
      <c r="E3" s="314"/>
      <c r="F3" s="315" t="s">
        <v>237</v>
      </c>
    </row>
    <row r="4" spans="1:6" ht="12.75">
      <c r="A4" s="316">
        <v>1</v>
      </c>
      <c r="B4" s="317" t="s">
        <v>273</v>
      </c>
      <c r="C4" s="318">
        <v>85937</v>
      </c>
      <c r="D4" s="318">
        <v>108420</v>
      </c>
      <c r="E4" s="318">
        <v>103782</v>
      </c>
      <c r="F4" s="319">
        <f>E4/D4</f>
        <v>0.9572219147758716</v>
      </c>
    </row>
    <row r="5" spans="1:6" ht="12.75">
      <c r="A5" s="316">
        <v>2</v>
      </c>
      <c r="B5" s="320" t="s">
        <v>274</v>
      </c>
      <c r="C5" s="321">
        <v>22845</v>
      </c>
      <c r="D5" s="321">
        <v>24359</v>
      </c>
      <c r="E5" s="321">
        <v>26436</v>
      </c>
      <c r="F5" s="322">
        <f>E5/D5</f>
        <v>1.0852662260355515</v>
      </c>
    </row>
    <row r="6" spans="1:6" ht="12.75">
      <c r="A6" s="316">
        <v>3</v>
      </c>
      <c r="B6" s="320" t="s">
        <v>275</v>
      </c>
      <c r="C6" s="321">
        <v>53290</v>
      </c>
      <c r="D6" s="321">
        <v>42630</v>
      </c>
      <c r="E6" s="321">
        <v>42629</v>
      </c>
      <c r="F6" s="322">
        <f>E6/D6</f>
        <v>0.9999765423410744</v>
      </c>
    </row>
    <row r="7" spans="1:6" ht="12.75">
      <c r="A7" s="316">
        <v>4</v>
      </c>
      <c r="B7" s="320" t="s">
        <v>276</v>
      </c>
      <c r="C7" s="323"/>
      <c r="D7" s="323"/>
      <c r="E7" s="323"/>
      <c r="F7" s="324"/>
    </row>
    <row r="8" spans="1:6" ht="12.75">
      <c r="A8" s="316">
        <v>5</v>
      </c>
      <c r="B8" s="320" t="s">
        <v>277</v>
      </c>
      <c r="C8" s="323"/>
      <c r="D8" s="323"/>
      <c r="E8" s="323"/>
      <c r="F8" s="324"/>
    </row>
    <row r="9" spans="1:6" ht="12.75">
      <c r="A9" s="316">
        <v>6</v>
      </c>
      <c r="B9" s="320" t="s">
        <v>278</v>
      </c>
      <c r="C9" s="321">
        <v>8970</v>
      </c>
      <c r="D9" s="321">
        <v>5638</v>
      </c>
      <c r="E9" s="321">
        <v>4636</v>
      </c>
      <c r="F9" s="322">
        <f>E9/D9</f>
        <v>0.8222774033345158</v>
      </c>
    </row>
    <row r="10" spans="1:6" ht="12.75">
      <c r="A10" s="316">
        <v>7</v>
      </c>
      <c r="B10" s="320" t="s">
        <v>5</v>
      </c>
      <c r="C10" s="478"/>
      <c r="D10" s="478"/>
      <c r="E10" s="478"/>
      <c r="F10" s="479"/>
    </row>
    <row r="11" spans="1:6" ht="12.75">
      <c r="A11" s="316">
        <v>8</v>
      </c>
      <c r="B11" s="325" t="s">
        <v>118</v>
      </c>
      <c r="C11" s="480">
        <v>6203</v>
      </c>
      <c r="D11" s="478">
        <v>1703</v>
      </c>
      <c r="E11" s="478">
        <v>1666</v>
      </c>
      <c r="F11" s="479">
        <f>E11/D11</f>
        <v>0.9782736347621844</v>
      </c>
    </row>
    <row r="12" spans="1:6" ht="12.75">
      <c r="A12" s="316">
        <v>9</v>
      </c>
      <c r="B12" s="320" t="s">
        <v>279</v>
      </c>
      <c r="C12" s="480"/>
      <c r="D12" s="480"/>
      <c r="E12" s="480"/>
      <c r="F12" s="481"/>
    </row>
    <row r="13" spans="1:6" ht="12.75">
      <c r="A13" s="316">
        <v>10</v>
      </c>
      <c r="B13" s="320" t="s">
        <v>280</v>
      </c>
      <c r="C13" s="480"/>
      <c r="D13" s="480"/>
      <c r="E13" s="480">
        <v>10</v>
      </c>
      <c r="F13" s="481"/>
    </row>
    <row r="14" spans="1:6" ht="12.75">
      <c r="A14" s="328">
        <v>11</v>
      </c>
      <c r="B14" s="325" t="s">
        <v>281</v>
      </c>
      <c r="C14" s="480"/>
      <c r="D14" s="480"/>
      <c r="E14" s="480"/>
      <c r="F14" s="481"/>
    </row>
    <row r="15" spans="1:6" ht="13.5" thickBot="1">
      <c r="A15" s="329">
        <v>12</v>
      </c>
      <c r="B15" s="330" t="s">
        <v>282</v>
      </c>
      <c r="C15" s="482"/>
      <c r="D15" s="482"/>
      <c r="E15" s="482"/>
      <c r="F15" s="483"/>
    </row>
    <row r="16" spans="1:6" ht="13.5" thickTop="1">
      <c r="A16" s="333">
        <v>13</v>
      </c>
      <c r="B16" s="334" t="s">
        <v>283</v>
      </c>
      <c r="C16" s="484">
        <f>SUM(C4:C15)</f>
        <v>177245</v>
      </c>
      <c r="D16" s="484">
        <f>SUM(D4:D15)</f>
        <v>182750</v>
      </c>
      <c r="E16" s="484">
        <f>SUM(E4:E15)</f>
        <v>179159</v>
      </c>
      <c r="F16" s="485">
        <f>E16/D16</f>
        <v>0.9803502051983584</v>
      </c>
    </row>
    <row r="17" spans="1:6" ht="12.75">
      <c r="A17" s="337">
        <v>14</v>
      </c>
      <c r="B17" s="320" t="s">
        <v>284</v>
      </c>
      <c r="C17" s="478"/>
      <c r="D17" s="478"/>
      <c r="E17" s="478"/>
      <c r="F17" s="481"/>
    </row>
    <row r="18" spans="1:6" ht="12.75">
      <c r="A18" s="338">
        <v>15</v>
      </c>
      <c r="B18" s="320" t="s">
        <v>285</v>
      </c>
      <c r="C18" s="480"/>
      <c r="D18" s="480"/>
      <c r="E18" s="480"/>
      <c r="F18" s="481"/>
    </row>
    <row r="19" spans="1:6" ht="12.75">
      <c r="A19" s="338">
        <v>16</v>
      </c>
      <c r="B19" s="325" t="s">
        <v>286</v>
      </c>
      <c r="C19" s="480"/>
      <c r="D19" s="480"/>
      <c r="E19" s="480"/>
      <c r="F19" s="481"/>
    </row>
    <row r="20" spans="1:6" ht="13.5" thickBot="1">
      <c r="A20" s="337">
        <v>17</v>
      </c>
      <c r="B20" s="320" t="s">
        <v>287</v>
      </c>
      <c r="C20" s="480"/>
      <c r="D20" s="480"/>
      <c r="E20" s="480"/>
      <c r="F20" s="483"/>
    </row>
    <row r="21" spans="1:6" ht="13.5" thickTop="1">
      <c r="A21" s="339">
        <v>18</v>
      </c>
      <c r="B21" s="340" t="s">
        <v>288</v>
      </c>
      <c r="C21" s="486">
        <f>SUM(C17:C20)</f>
        <v>0</v>
      </c>
      <c r="D21" s="486">
        <f>SUM(D17:D20)</f>
        <v>0</v>
      </c>
      <c r="E21" s="486">
        <f>SUM(E17:E20)</f>
        <v>0</v>
      </c>
      <c r="F21" s="485"/>
    </row>
    <row r="22" spans="1:6" ht="12.75">
      <c r="A22" s="333"/>
      <c r="B22" s="334"/>
      <c r="C22" s="487"/>
      <c r="D22" s="484"/>
      <c r="E22" s="487"/>
      <c r="F22" s="488"/>
    </row>
    <row r="23" spans="1:6" s="343" customFormat="1" ht="12.75">
      <c r="A23" s="341">
        <v>19</v>
      </c>
      <c r="B23" s="342" t="s">
        <v>289</v>
      </c>
      <c r="C23" s="487">
        <f>C16+C21</f>
        <v>177245</v>
      </c>
      <c r="D23" s="487">
        <f>D16+D21</f>
        <v>182750</v>
      </c>
      <c r="E23" s="487">
        <f>E16+E21</f>
        <v>179159</v>
      </c>
      <c r="F23" s="488">
        <f>E23/D23</f>
        <v>0.9803502051983584</v>
      </c>
    </row>
    <row r="24" spans="1:6" ht="12.75">
      <c r="A24" s="337"/>
      <c r="B24" s="320"/>
      <c r="C24" s="478"/>
      <c r="D24" s="478"/>
      <c r="E24" s="478"/>
      <c r="F24" s="479"/>
    </row>
    <row r="25" spans="1:6" ht="12.75">
      <c r="A25" s="337">
        <v>20</v>
      </c>
      <c r="B25" s="320" t="s">
        <v>290</v>
      </c>
      <c r="C25" s="478">
        <v>1000</v>
      </c>
      <c r="D25" s="478">
        <v>500</v>
      </c>
      <c r="E25" s="478"/>
      <c r="F25" s="479"/>
    </row>
    <row r="26" spans="1:6" ht="12.75">
      <c r="A26" s="337">
        <v>21</v>
      </c>
      <c r="B26" s="320" t="s">
        <v>291</v>
      </c>
      <c r="C26" s="478"/>
      <c r="D26" s="478"/>
      <c r="E26" s="478"/>
      <c r="F26" s="479"/>
    </row>
    <row r="27" spans="1:6" ht="13.5" thickBot="1">
      <c r="A27" s="337">
        <v>22</v>
      </c>
      <c r="B27" s="320" t="s">
        <v>292</v>
      </c>
      <c r="C27" s="478"/>
      <c r="D27" s="478"/>
      <c r="E27" s="478">
        <v>-5264</v>
      </c>
      <c r="F27" s="479"/>
    </row>
    <row r="28" spans="1:6" ht="13.5" thickBot="1">
      <c r="A28" s="344">
        <v>23</v>
      </c>
      <c r="B28" s="345" t="s">
        <v>293</v>
      </c>
      <c r="C28" s="346">
        <f>C23+C25+C27</f>
        <v>178245</v>
      </c>
      <c r="D28" s="346">
        <f>D23+D25+D27</f>
        <v>183250</v>
      </c>
      <c r="E28" s="346">
        <f>E23+E25+E27</f>
        <v>173895</v>
      </c>
      <c r="F28" s="347">
        <f>E28/D28</f>
        <v>0.9489495225102319</v>
      </c>
    </row>
    <row r="29" spans="1:6" ht="12.75">
      <c r="A29" s="309"/>
      <c r="B29" s="309"/>
      <c r="C29" s="309"/>
      <c r="D29" s="309"/>
      <c r="E29" s="309"/>
      <c r="F29" s="309"/>
    </row>
    <row r="30" spans="1:6" ht="13.5" thickBot="1">
      <c r="A30" s="310" t="s">
        <v>23</v>
      </c>
      <c r="B30" s="310" t="s">
        <v>7</v>
      </c>
      <c r="C30" s="311" t="s">
        <v>270</v>
      </c>
      <c r="D30" s="311" t="s">
        <v>271</v>
      </c>
      <c r="E30" s="312" t="s">
        <v>209</v>
      </c>
      <c r="F30" s="310" t="s">
        <v>25</v>
      </c>
    </row>
    <row r="31" spans="1:6" ht="13.5" thickBot="1">
      <c r="A31" s="313"/>
      <c r="B31" s="313" t="s">
        <v>294</v>
      </c>
      <c r="C31" s="493" t="s">
        <v>272</v>
      </c>
      <c r="D31" s="494"/>
      <c r="E31" s="314"/>
      <c r="F31" s="315" t="s">
        <v>237</v>
      </c>
    </row>
    <row r="32" spans="1:6" ht="12.75">
      <c r="A32" s="337">
        <v>24</v>
      </c>
      <c r="B32" s="320" t="s">
        <v>295</v>
      </c>
      <c r="C32" s="321">
        <v>3524</v>
      </c>
      <c r="D32" s="321">
        <v>4621</v>
      </c>
      <c r="E32" s="348">
        <v>4382</v>
      </c>
      <c r="F32" s="322">
        <f>E32/D32</f>
        <v>0.9482795931616533</v>
      </c>
    </row>
    <row r="33" spans="1:6" ht="12.75">
      <c r="A33" s="337">
        <v>25</v>
      </c>
      <c r="B33" s="320" t="s">
        <v>296</v>
      </c>
      <c r="C33" s="321"/>
      <c r="D33" s="321"/>
      <c r="E33" s="348"/>
      <c r="F33" s="322"/>
    </row>
    <row r="34" spans="1:6" ht="12.75">
      <c r="A34" s="337">
        <v>26</v>
      </c>
      <c r="B34" s="320" t="s">
        <v>297</v>
      </c>
      <c r="C34" s="323"/>
      <c r="D34" s="323"/>
      <c r="E34" s="349"/>
      <c r="F34" s="322"/>
    </row>
    <row r="35" spans="1:6" ht="12.75">
      <c r="A35" s="337">
        <v>27</v>
      </c>
      <c r="B35" s="320" t="s">
        <v>298</v>
      </c>
      <c r="C35" s="323"/>
      <c r="D35" s="323"/>
      <c r="E35" s="349"/>
      <c r="F35" s="322"/>
    </row>
    <row r="36" spans="1:7" ht="12.75">
      <c r="A36" s="337">
        <v>28</v>
      </c>
      <c r="B36" s="320" t="s">
        <v>299</v>
      </c>
      <c r="C36" s="323"/>
      <c r="D36" s="323"/>
      <c r="E36" s="349"/>
      <c r="F36" s="322"/>
      <c r="G36" s="350"/>
    </row>
    <row r="37" spans="1:6" ht="12.75">
      <c r="A37" s="337">
        <v>29</v>
      </c>
      <c r="B37" s="320" t="s">
        <v>300</v>
      </c>
      <c r="C37" s="323"/>
      <c r="D37" s="323">
        <v>40</v>
      </c>
      <c r="E37" s="349">
        <v>39</v>
      </c>
      <c r="F37" s="322"/>
    </row>
    <row r="38" spans="1:7" ht="12.75">
      <c r="A38" s="351">
        <v>30</v>
      </c>
      <c r="B38" s="352" t="s">
        <v>301</v>
      </c>
      <c r="C38" s="353"/>
      <c r="D38" s="353"/>
      <c r="E38" s="353">
        <v>10</v>
      </c>
      <c r="F38" s="322"/>
      <c r="G38" s="354"/>
    </row>
    <row r="39" spans="1:6" s="354" customFormat="1" ht="12.75">
      <c r="A39" s="355">
        <v>31</v>
      </c>
      <c r="B39" s="352" t="s">
        <v>302</v>
      </c>
      <c r="C39" s="353"/>
      <c r="D39" s="353">
        <v>3750</v>
      </c>
      <c r="E39" s="356">
        <v>2585</v>
      </c>
      <c r="F39" s="324"/>
    </row>
    <row r="40" spans="1:6" ht="12.75">
      <c r="A40" s="357">
        <v>32</v>
      </c>
      <c r="B40" s="325" t="s">
        <v>303</v>
      </c>
      <c r="C40" s="323">
        <v>174721</v>
      </c>
      <c r="D40" s="323">
        <v>174149</v>
      </c>
      <c r="E40" s="323">
        <v>164320</v>
      </c>
      <c r="F40" s="322">
        <f>E40/D40</f>
        <v>0.9435598252071502</v>
      </c>
    </row>
    <row r="41" spans="1:6" ht="12.75">
      <c r="A41" s="357">
        <v>33</v>
      </c>
      <c r="B41" s="325" t="s">
        <v>304</v>
      </c>
      <c r="C41" s="323"/>
      <c r="D41" s="323"/>
      <c r="E41" s="323"/>
      <c r="F41" s="324"/>
    </row>
    <row r="42" spans="1:6" ht="12.75">
      <c r="A42" s="357">
        <v>34</v>
      </c>
      <c r="B42" s="325" t="s">
        <v>305</v>
      </c>
      <c r="C42" s="326"/>
      <c r="D42" s="326"/>
      <c r="E42" s="326"/>
      <c r="F42" s="327"/>
    </row>
    <row r="43" spans="1:6" ht="13.5" thickBot="1">
      <c r="A43" s="329">
        <v>35</v>
      </c>
      <c r="B43" s="330" t="s">
        <v>306</v>
      </c>
      <c r="C43" s="331"/>
      <c r="D43" s="331">
        <v>690</v>
      </c>
      <c r="E43" s="331">
        <v>686</v>
      </c>
      <c r="F43" s="332"/>
    </row>
    <row r="44" spans="1:6" s="343" customFormat="1" ht="13.5" thickTop="1">
      <c r="A44" s="358">
        <v>36</v>
      </c>
      <c r="B44" s="334" t="s">
        <v>307</v>
      </c>
      <c r="C44" s="335">
        <f>C32+C33+C34+C35++C39+C40+C42+C36+C38+C43</f>
        <v>178245</v>
      </c>
      <c r="D44" s="335">
        <f>D32+D33+D34+D35++D39+D40+D42+D36+D38+D43+D37</f>
        <v>183250</v>
      </c>
      <c r="E44" s="335">
        <f>E32+E33+E34+E35++E39+E40+E42+E36+E38+E43+E37</f>
        <v>172022</v>
      </c>
      <c r="F44" s="336">
        <f>E44/D44</f>
        <v>0.9387285129604366</v>
      </c>
    </row>
    <row r="45" spans="1:6" ht="12.75">
      <c r="A45" s="337">
        <v>37</v>
      </c>
      <c r="B45" s="320" t="s">
        <v>308</v>
      </c>
      <c r="C45" s="359"/>
      <c r="D45" s="326"/>
      <c r="E45" s="326"/>
      <c r="F45" s="322"/>
    </row>
    <row r="46" spans="1:6" ht="12.75">
      <c r="A46" s="338">
        <v>38</v>
      </c>
      <c r="B46" s="320" t="s">
        <v>309</v>
      </c>
      <c r="C46" s="326"/>
      <c r="D46" s="326"/>
      <c r="E46" s="326"/>
      <c r="F46" s="322"/>
    </row>
    <row r="47" spans="1:6" ht="12.75">
      <c r="A47" s="338">
        <v>39</v>
      </c>
      <c r="B47" s="325" t="s">
        <v>310</v>
      </c>
      <c r="C47" s="326"/>
      <c r="D47" s="326"/>
      <c r="E47" s="326"/>
      <c r="F47" s="322"/>
    </row>
    <row r="48" spans="1:6" ht="13.5" thickBot="1">
      <c r="A48" s="329">
        <v>40</v>
      </c>
      <c r="B48" s="330" t="s">
        <v>311</v>
      </c>
      <c r="C48" s="331"/>
      <c r="D48" s="331"/>
      <c r="E48" s="331"/>
      <c r="F48" s="360"/>
    </row>
    <row r="49" spans="1:6" s="343" customFormat="1" ht="13.5" thickTop="1">
      <c r="A49" s="361">
        <v>41</v>
      </c>
      <c r="B49" s="334" t="s">
        <v>312</v>
      </c>
      <c r="C49" s="335">
        <f>SUM(C45:C48)</f>
        <v>0</v>
      </c>
      <c r="D49" s="335">
        <f>SUM(D45:D48)</f>
        <v>0</v>
      </c>
      <c r="E49" s="335">
        <f>SUM(E45:E48)</f>
        <v>0</v>
      </c>
      <c r="F49" s="336"/>
    </row>
    <row r="50" spans="1:6" s="343" customFormat="1" ht="12.75">
      <c r="A50" s="361"/>
      <c r="B50" s="334"/>
      <c r="C50" s="335"/>
      <c r="D50" s="335"/>
      <c r="E50" s="335"/>
      <c r="F50" s="336"/>
    </row>
    <row r="51" spans="1:6" s="366" customFormat="1" ht="12.75">
      <c r="A51" s="362">
        <v>42</v>
      </c>
      <c r="B51" s="363" t="s">
        <v>313</v>
      </c>
      <c r="C51" s="364">
        <f>C44+C49</f>
        <v>178245</v>
      </c>
      <c r="D51" s="364">
        <f>D44+D49</f>
        <v>183250</v>
      </c>
      <c r="E51" s="364">
        <f>E44+E49</f>
        <v>172022</v>
      </c>
      <c r="F51" s="365">
        <f>E51/D51</f>
        <v>0.9387285129604366</v>
      </c>
    </row>
    <row r="52" spans="1:6" s="366" customFormat="1" ht="12.75">
      <c r="A52" s="362"/>
      <c r="B52" s="363"/>
      <c r="C52" s="364"/>
      <c r="D52" s="364"/>
      <c r="E52" s="364"/>
      <c r="F52" s="365"/>
    </row>
    <row r="53" spans="1:6" ht="12.75">
      <c r="A53" s="337">
        <v>43</v>
      </c>
      <c r="B53" s="320" t="s">
        <v>314</v>
      </c>
      <c r="C53" s="321"/>
      <c r="D53" s="321"/>
      <c r="E53" s="321"/>
      <c r="F53" s="322"/>
    </row>
    <row r="54" spans="1:6" ht="12.75">
      <c r="A54" s="337">
        <v>44</v>
      </c>
      <c r="B54" s="320" t="s">
        <v>315</v>
      </c>
      <c r="C54" s="321"/>
      <c r="D54" s="321"/>
      <c r="E54" s="321"/>
      <c r="F54" s="322"/>
    </row>
    <row r="55" spans="1:6" ht="13.5" thickBot="1">
      <c r="A55" s="337">
        <v>45</v>
      </c>
      <c r="B55" s="320" t="s">
        <v>316</v>
      </c>
      <c r="C55" s="321"/>
      <c r="D55" s="321"/>
      <c r="E55" s="321">
        <v>1137</v>
      </c>
      <c r="F55" s="322"/>
    </row>
    <row r="56" spans="1:6" ht="15" customHeight="1" thickBot="1">
      <c r="A56" s="344">
        <v>46</v>
      </c>
      <c r="B56" s="345" t="s">
        <v>317</v>
      </c>
      <c r="C56" s="346">
        <f>C51+C53+C55</f>
        <v>178245</v>
      </c>
      <c r="D56" s="346">
        <f>D51+D53+D55</f>
        <v>183250</v>
      </c>
      <c r="E56" s="346">
        <f>E51+E53+E55</f>
        <v>173159</v>
      </c>
      <c r="F56" s="347">
        <f>E56/D56</f>
        <v>0.9449331514324693</v>
      </c>
    </row>
    <row r="58" spans="1:7" ht="12.75" hidden="1">
      <c r="A58" s="367">
        <v>47</v>
      </c>
      <c r="B58" s="368" t="s">
        <v>318</v>
      </c>
      <c r="C58" s="369">
        <f>C44+C53-C16-C25</f>
        <v>0</v>
      </c>
      <c r="D58" s="369">
        <f>D44+D53-D16-D25</f>
        <v>0</v>
      </c>
      <c r="E58" s="369">
        <f>E44+E53-E16-E25</f>
        <v>-7137</v>
      </c>
      <c r="F58" s="370"/>
      <c r="G58" s="228"/>
    </row>
    <row r="59" spans="1:7" ht="12.75" hidden="1">
      <c r="A59" s="371">
        <v>48</v>
      </c>
      <c r="B59" s="352" t="s">
        <v>319</v>
      </c>
      <c r="C59" s="321">
        <f>C49-C21</f>
        <v>0</v>
      </c>
      <c r="D59" s="321">
        <f>D49-D21</f>
        <v>0</v>
      </c>
      <c r="E59" s="321">
        <f>E49-E21</f>
        <v>0</v>
      </c>
      <c r="F59" s="372"/>
      <c r="G59" s="228"/>
    </row>
    <row r="60" spans="1:6" ht="12.75" hidden="1">
      <c r="A60" s="373">
        <v>49</v>
      </c>
      <c r="B60" s="374" t="s">
        <v>320</v>
      </c>
      <c r="C60" s="326"/>
      <c r="D60" s="326"/>
      <c r="E60" s="326">
        <f>+E54-E26</f>
        <v>0</v>
      </c>
      <c r="F60" s="375"/>
    </row>
    <row r="61" spans="1:6" ht="13.5" hidden="1" thickBot="1">
      <c r="A61" s="376">
        <v>32</v>
      </c>
      <c r="B61" s="377" t="s">
        <v>321</v>
      </c>
      <c r="C61" s="378"/>
      <c r="D61" s="378"/>
      <c r="E61" s="378">
        <f>+E55-E27</f>
        <v>6401</v>
      </c>
      <c r="F61" s="379"/>
    </row>
    <row r="63" ht="12.75">
      <c r="C63" s="228"/>
    </row>
    <row r="65" ht="12.75">
      <c r="E65" s="228"/>
    </row>
    <row r="67" ht="12.75">
      <c r="C67" s="7"/>
    </row>
  </sheetData>
  <sheetProtection/>
  <mergeCells count="2">
    <mergeCell ref="C3:D3"/>
    <mergeCell ref="C31:D31"/>
  </mergeCells>
  <printOptions/>
  <pageMargins left="0.5118110236220472" right="0.4724409448818898" top="1.3779527559055118" bottom="0.2755905511811024" header="0.5118110236220472" footer="0.15748031496062992"/>
  <pageSetup fitToHeight="1" fitToWidth="1" horizontalDpi="600" verticalDpi="600" orientation="portrait" paperSize="9" scale="72" r:id="rId1"/>
  <headerFooter alignWithMargins="0">
    <oddHeader>&amp;L
7.sz.melléklet&amp;C&amp;"Arial,Félkövér"Nagykovácsi Polgármesteri Hivatal
2013. évi egyszerűsített pénzforgalmi jelentés&amp;R
adatok eFt-ban
</oddHeader>
    <oddFooter>&amp;L&amp;D&amp;R&amp;F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2014-04-03T19:02:12Z</cp:lastPrinted>
  <dcterms:created xsi:type="dcterms:W3CDTF">2008-07-24T13:43:35Z</dcterms:created>
  <dcterms:modified xsi:type="dcterms:W3CDTF">2014-04-03T19:18:59Z</dcterms:modified>
  <cp:category/>
  <cp:version/>
  <cp:contentType/>
  <cp:contentStatus/>
</cp:coreProperties>
</file>