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3040" windowHeight="8520" activeTab="6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</sheets>
  <definedNames>
    <definedName name="_xlnm.Print_Area" localSheetId="0">'5'!$A$1:$K$44</definedName>
    <definedName name="_xlnm.Print_Area" localSheetId="1">'5A'!$A$1:$L$54</definedName>
    <definedName name="_xlnm.Print_Area" localSheetId="2">'5B'!$A$1:$K$20</definedName>
    <definedName name="_xlnm.Print_Area" localSheetId="3">'5C'!$A$2:$K$20</definedName>
    <definedName name="_xlnm.Print_Area" localSheetId="4">'5D'!$A$1:$J$18</definedName>
    <definedName name="_xlnm.Print_Area" localSheetId="6">'5F'!$A$1:$K$18</definedName>
  </definedNames>
  <calcPr fullCalcOnLoad="1"/>
</workbook>
</file>

<file path=xl/sharedStrings.xml><?xml version="1.0" encoding="utf-8"?>
<sst xmlns="http://schemas.openxmlformats.org/spreadsheetml/2006/main" count="275" uniqueCount="166">
  <si>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</si>
  <si>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</si>
  <si>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</si>
  <si>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</si>
  <si>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</si>
  <si>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</si>
  <si>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</si>
  <si>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</si>
  <si>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</si>
  <si>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</si>
  <si>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</si>
  <si>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</si>
  <si>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</si>
  <si>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</si>
  <si>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</si>
  <si>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</si>
  <si>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</si>
  <si>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</si>
  <si>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</si>
  <si>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</si>
  <si>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</si>
  <si>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</si>
  <si>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</si>
  <si>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</si>
  <si>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</si>
  <si>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</si>
  <si>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</si>
  <si>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</si>
  <si>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</si>
  <si>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</si>
  <si>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</si>
  <si>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Szociális bentlakásos intézmény-üzemeltetési támogatás</t>
  </si>
  <si>
    <t>III.</t>
  </si>
  <si>
    <t>IV.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</si>
  <si>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</si>
  <si>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</si>
  <si>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</si>
  <si>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</si>
  <si>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</si>
  <si>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 xml:space="preserve">   Önkormányzati hivatal működésének támogatása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</si>
  <si>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</si>
  <si>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</si>
  <si>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</si>
  <si>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</si>
  <si>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</si>
  <si>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>Társadalombiztosítás pénzügyi alapjaitól működési támogatás</t>
  </si>
  <si>
    <t>Társulástól és költségvetési szervétől működési célú támogatás</t>
  </si>
  <si>
    <t xml:space="preserve">           Közterület-hasznosítási Társulástól kapott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</si>
  <si>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</si>
  <si>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</si>
  <si>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</si>
  <si>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</si>
  <si>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</si>
  <si>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</si>
  <si>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</si>
  <si>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</si>
  <si>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</si>
  <si>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</si>
  <si>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</si>
  <si>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</si>
  <si>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</si>
  <si>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</si>
  <si>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</si>
  <si>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</si>
  <si>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</si>
  <si>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</si>
  <si>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</si>
  <si>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</si>
  <si>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</si>
  <si>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</si>
  <si>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</si>
  <si>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</si>
  <si>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</si>
  <si>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</si>
  <si>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</si>
  <si>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Fejezeti kezelésű előirányzattól felhalmozási célú támogatások</t>
  </si>
  <si>
    <t>FELHALMOZÁSI CÉLÚ TÁMOGATÁSOK ÁH-ON BELÜLRŐL</t>
  </si>
  <si>
    <t>Felhalmozási célú támogatások, kölcsönök  visszatérülése ÁH-on kívülről</t>
  </si>
  <si>
    <t>FELHALMOZÁSI CÉLÚ ÁTVETT PÉNZESZKÖZÖK ÖSSZESEN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</si>
  <si>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</si>
  <si>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</si>
  <si>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</si>
  <si>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</si>
  <si>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</si>
  <si>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</si>
  <si>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</si>
  <si>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</si>
  <si>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</si>
  <si>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</si>
  <si>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</si>
  <si>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</si>
  <si>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</si>
  <si>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</si>
  <si>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</si>
  <si>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</si>
  <si>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</si>
  <si>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</si>
  <si>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</si>
  <si>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</si>
  <si>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</si>
  <si>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</si>
  <si>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</si>
  <si>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</si>
  <si>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</si>
  <si>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</si>
  <si>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Helyi önkormányzattól működési támogatás</t>
  </si>
  <si>
    <t>3/4.</t>
  </si>
  <si>
    <t xml:space="preserve">     Nem lakáscélú helyiség értékesítése</t>
  </si>
  <si>
    <t xml:space="preserve">   Gyermekétkeztetésben résztvevő dolgozók bértámogatása</t>
  </si>
  <si>
    <t>Gazdasági szervezettel rendelkező kölstégvetési szervek</t>
  </si>
  <si>
    <t>Gazdasági szervezettel nem rendelkező költségvetési szervek</t>
  </si>
  <si>
    <t>Költségvetési maradvány</t>
  </si>
  <si>
    <t>Egyéb bírság (közigazgatási bírság)</t>
  </si>
  <si>
    <t xml:space="preserve">   Rászoruló gyermekek szünidei étkeztetésének támogatása</t>
  </si>
  <si>
    <t xml:space="preserve">   Család és gyermekjóléti szolgálat</t>
  </si>
  <si>
    <t xml:space="preserve">   Család és gyermekjóléti központ</t>
  </si>
  <si>
    <r>
      <t xml:space="preserve">   </t>
    </r>
    <r>
      <rPr>
        <sz val="9"/>
        <rFont val="Arial CE"/>
        <family val="0"/>
      </rPr>
      <t>Pszichiátriai betegek részére nyújtott közösségi alapellátás</t>
    </r>
  </si>
  <si>
    <t xml:space="preserve">   - Főváros Kormányhivataltól kapott támog.a közfogl.kiad-hoz</t>
  </si>
  <si>
    <t>HM tömb felújításra kapott támogatás törlesztése</t>
  </si>
  <si>
    <t>FINANSZÍROZÁSI BEVÉTELEK ÖSSZESEN (III.+IV.)</t>
  </si>
  <si>
    <t>Önkormányzat</t>
  </si>
  <si>
    <t xml:space="preserve">   Szociális bentlakásos int.ellátásokhoz kapcs.bértámogatás</t>
  </si>
  <si>
    <t xml:space="preserve">   Kieg.tám. az óvodapedag. min.-ből adódó többletkiadásokhoz</t>
  </si>
  <si>
    <t>ezer Ft-nam</t>
  </si>
  <si>
    <t>5.sz.melléklet</t>
  </si>
  <si>
    <t>5/a.sz.melléklet</t>
  </si>
  <si>
    <t>5/b.sz.melléklet</t>
  </si>
  <si>
    <t>5/c.sz. melléklet</t>
  </si>
  <si>
    <t>5/d.sz.melléklet</t>
  </si>
  <si>
    <t>5/e.sz.melléklet</t>
  </si>
  <si>
    <t>Belföldi értékpapír beváltása</t>
  </si>
  <si>
    <t>5/f.sz.melléklet</t>
  </si>
  <si>
    <t>Belváros- Lipótváros Önkormányzata 2018. évi államháztartáson belülről kapott működési célú támogatásainak részletezése</t>
  </si>
  <si>
    <t xml:space="preserve">   Felsőfokú végz.kisgyemeknevelők bérének támogatása</t>
  </si>
  <si>
    <t xml:space="preserve">   Középfokú végz. kisgyemeknevelők bérének támogatása</t>
  </si>
  <si>
    <t>Belváros-Lipótváros Önkormányzata 2018. évre tervezett közhatalmi bevételeinek részletezése</t>
  </si>
  <si>
    <t>Belváros-Lipótváros Önkormányzata 2018. évre tervezett működési bevételeinek részletezése</t>
  </si>
  <si>
    <t>Belváros-Lipótváros Önkormányzata 2018. évre tervezett államháztartáson kívülről átvett felhalmozási célú pénzeszközeinek részletezése</t>
  </si>
  <si>
    <t>Tér_köz pályázat Podmaniczky tér</t>
  </si>
  <si>
    <t>Belváros-Lipótváros Önkormányzata 2018. évre tervezett bevételei</t>
  </si>
  <si>
    <t xml:space="preserve">Belváros-  Lipótváros Önkormányzata 2018. évre </t>
  </si>
  <si>
    <t>Belváros- Lipótváros Önkormányzata 2018. évi államháztartáson belülről kapott felhalmozási célú támogatásainak részletezése</t>
  </si>
  <si>
    <t>Vörösmarty tér, Vigadó utca és a Harmincad utca megújítása</t>
  </si>
  <si>
    <t>Semmelweis utcai háziorvosi rendelő felújításához támogatás</t>
  </si>
  <si>
    <t>Sportközpont és Tanuszoda építés támogatása</t>
  </si>
  <si>
    <t>érvényes ei.</t>
  </si>
  <si>
    <t>mód.ei.</t>
  </si>
  <si>
    <t>előirányzat</t>
  </si>
  <si>
    <t>mód. ei.</t>
  </si>
  <si>
    <t>Egyéb támogatások</t>
  </si>
  <si>
    <t>1/5.</t>
  </si>
  <si>
    <t xml:space="preserve">   2018. évi bérkompenzáció</t>
  </si>
  <si>
    <t>Önkormányzatok működési támogatása ( 1/1.- 1/5.)</t>
  </si>
  <si>
    <t xml:space="preserve">   Szociális ágazati pótlék</t>
  </si>
  <si>
    <t xml:space="preserve">   2017.évi bérkompenzáció</t>
  </si>
  <si>
    <t xml:space="preserve">   Óvodai és iskolai szociális segítő tevékenység támogatása</t>
  </si>
  <si>
    <t xml:space="preserve">   Gyermekétkeztetésben üzemeltetési támogatása</t>
  </si>
  <si>
    <t>Pénzbeli gyermekvédelmi támogatás</t>
  </si>
  <si>
    <t>Jelzőrendszeres házi segítségnyújtás támogatása</t>
  </si>
  <si>
    <t>Önkormányzat felhalmozási célú költségvetési támogatása</t>
  </si>
  <si>
    <t xml:space="preserve">   Közművelődési érdekeltségnövelő támogatás</t>
  </si>
  <si>
    <t>Városház utca II.ütem beruházáshoz hozzájárulás Megállapodás alapján</t>
  </si>
  <si>
    <t>Az Arany János utca Sas utca és Bajcsy-Zsilinszky utca közötti szakaszának rekonstukciójához hozzájárulás Megállapodás alapján</t>
  </si>
  <si>
    <t xml:space="preserve">   Bölcsődei kiegészítő támogatás</t>
  </si>
  <si>
    <t xml:space="preserve">   - Országgyűlési választásokra kapott támogatás</t>
  </si>
  <si>
    <t xml:space="preserve">   - Időközi válsztásokra kapott támogatás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</si>
</sst>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#,##0.0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49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3" fontId="4" fillId="0" borderId="15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3" fontId="4" fillId="0" borderId="23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49" fontId="4" fillId="0" borderId="23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3" fontId="4" fillId="0" borderId="23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49" fontId="4" fillId="0" borderId="23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0" fontId="4" fillId="0" borderId="28" xfId="0" applyFont="1" applyBorder="1" applyAlignment="1">
      <alignment horizontal="left"/>
    </xf>
    <xf numFmtId="0" fontId="4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12" xfId="0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4" fillId="0" borderId="28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Border="1" applyAlignment="1">
      <alignment horizontal="right" vertical="center"/>
    </xf>
    <xf numFmtId="0" fontId="8" fillId="0" borderId="20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0" fillId="0" borderId="0" xfId="0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3" fillId="0" borderId="24" xfId="0" applyFont="1" applyBorder="1" applyAlignment="1">
      <alignment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/>
    </xf>
    <xf numFmtId="0" fontId="4" fillId="0" borderId="18" xfId="0" applyFont="1" applyBorder="1" applyAlignment="1">
      <alignment vertical="center" wrapText="1"/>
    </xf>
    <xf numFmtId="3" fontId="4" fillId="0" borderId="25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49" fontId="4" fillId="0" borderId="25" xfId="0" applyNumberFormat="1" applyFont="1" applyBorder="1" applyAlignment="1">
      <alignment horizontal="center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16" fontId="4" fillId="0" borderId="28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16" fontId="4" fillId="0" borderId="16" xfId="0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3" fontId="4" fillId="0" borderId="25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3" fontId="7" fillId="0" borderId="22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18" xfId="0" applyNumberFormat="1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3" fontId="3" fillId="0" borderId="26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horizontal="right"/>
    </xf>
    <xf numFmtId="0" fontId="3" fillId="0" borderId="19" xfId="0" applyFont="1" applyBorder="1" applyAlignment="1">
      <alignment/>
    </xf>
    <xf numFmtId="3" fontId="3" fillId="0" borderId="16" xfId="0" applyNumberFormat="1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" fontId="4" fillId="0" borderId="22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6" fontId="4" fillId="0" borderId="32" xfId="0" applyNumberFormat="1" applyFont="1" applyFill="1" applyBorder="1" applyAlignment="1">
      <alignment horizontal="left"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16" fontId="4" fillId="0" borderId="35" xfId="0" applyNumberFormat="1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3" fontId="4" fillId="0" borderId="35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0" fontId="4" fillId="0" borderId="28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3" fontId="0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0" fillId="0" borderId="0" xfId="0" applyNumberFormat="1" applyFont="1" applyAlignment="1">
      <alignment vertical="center"/>
    </xf>
    <xf numFmtId="0" fontId="3" fillId="0" borderId="25" xfId="0" applyFont="1" applyBorder="1" applyAlignment="1">
      <alignment/>
    </xf>
    <xf numFmtId="0" fontId="4" fillId="0" borderId="25" xfId="0" applyFont="1" applyBorder="1" applyAlignment="1">
      <alignment wrapText="1"/>
    </xf>
    <xf numFmtId="0" fontId="4" fillId="0" borderId="25" xfId="0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vertical="center"/>
    </xf>
    <xf numFmtId="3" fontId="4" fillId="0" borderId="28" xfId="0" applyNumberFormat="1" applyFont="1" applyFill="1" applyBorder="1" applyAlignment="1">
      <alignment vertical="center" wrapText="1"/>
    </xf>
    <xf numFmtId="3" fontId="4" fillId="0" borderId="32" xfId="0" applyNumberFormat="1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/>
    </xf>
    <xf numFmtId="3" fontId="4" fillId="0" borderId="25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12" fontId="3" fillId="0" borderId="18" xfId="0" applyNumberFormat="1" applyFont="1" applyBorder="1" applyAlignment="1">
      <alignment horizontal="center" vertical="center" wrapText="1"/>
    </xf>
    <xf numFmtId="12" fontId="3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3" fontId="4" fillId="0" borderId="25" xfId="0" applyNumberFormat="1" applyFont="1" applyFill="1" applyBorder="1" applyAlignment="1">
      <alignment horizontal="right" vertical="center"/>
    </xf>
    <xf numFmtId="12" fontId="3" fillId="0" borderId="17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9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37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A19">
      <selection activeCell="G34" sqref="G34"/>
    </sheetView>
  </sheetViews>
  <sheetFormatPr defaultColWidth="9.00390625" defaultRowHeight="12.75"/>
  <cols>
    <col min="1" max="1" width="3.25390625" style="166" customWidth="1"/>
    <col min="2" max="2" width="3.125" style="166" customWidth="1"/>
    <col min="3" max="3" width="48.75390625" style="166" customWidth="1"/>
    <col min="4" max="5" width="9.625" style="166" customWidth="1"/>
    <col min="6" max="7" width="9.625" style="170" customWidth="1"/>
    <col min="8" max="9" width="9.625" style="166" customWidth="1"/>
    <col min="10" max="10" width="10.375" style="29" customWidth="1"/>
    <col min="11" max="11" width="9.625" style="29" customWidth="1"/>
    <col min="12" max="16384" width="9.125" style="29" customWidth="1"/>
  </cols>
  <sheetData>
    <row r="1" spans="6:11" ht="18" customHeight="1">
      <c r="F1" s="342" t="s">
        <v>124</v>
      </c>
      <c r="G1" s="342"/>
      <c r="H1" s="342"/>
      <c r="I1" s="342"/>
      <c r="J1" s="342"/>
      <c r="K1" s="342"/>
    </row>
    <row r="2" spans="1:11" s="168" customFormat="1" ht="15.75">
      <c r="A2" s="332" t="s">
        <v>139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9" s="168" customFormat="1" ht="15.75">
      <c r="A3" s="167"/>
      <c r="B3" s="167"/>
      <c r="C3" s="167"/>
      <c r="D3" s="167"/>
      <c r="E3" s="167"/>
      <c r="F3" s="167"/>
      <c r="G3" s="167"/>
      <c r="H3" s="167"/>
      <c r="I3" s="167"/>
    </row>
    <row r="4" spans="2:11" ht="13.5" customHeight="1" thickBot="1">
      <c r="B4" s="169"/>
      <c r="H4" s="343" t="s">
        <v>0</v>
      </c>
      <c r="I4" s="343"/>
      <c r="J4" s="343"/>
      <c r="K4" s="343"/>
    </row>
    <row r="5" spans="1:11" s="171" customFormat="1" ht="80.25" customHeight="1" thickBot="1">
      <c r="A5" s="344" t="s">
        <v>1</v>
      </c>
      <c r="B5" s="345"/>
      <c r="C5" s="346"/>
      <c r="D5" s="353" t="s">
        <v>18</v>
      </c>
      <c r="E5" s="354"/>
      <c r="F5" s="353" t="s">
        <v>109</v>
      </c>
      <c r="G5" s="354"/>
      <c r="H5" s="353" t="s">
        <v>110</v>
      </c>
      <c r="I5" s="354"/>
      <c r="J5" s="333" t="s">
        <v>19</v>
      </c>
      <c r="K5" s="334"/>
    </row>
    <row r="6" spans="1:11" s="171" customFormat="1" ht="24.75" thickBot="1">
      <c r="A6" s="347"/>
      <c r="B6" s="348"/>
      <c r="C6" s="349"/>
      <c r="D6" s="250" t="s">
        <v>145</v>
      </c>
      <c r="E6" s="251" t="s">
        <v>146</v>
      </c>
      <c r="F6" s="250" t="s">
        <v>145</v>
      </c>
      <c r="G6" s="251" t="s">
        <v>146</v>
      </c>
      <c r="H6" s="250" t="s">
        <v>145</v>
      </c>
      <c r="I6" s="251" t="s">
        <v>146</v>
      </c>
      <c r="J6" s="250" t="s">
        <v>145</v>
      </c>
      <c r="K6" s="251" t="s">
        <v>146</v>
      </c>
    </row>
    <row r="7" spans="1:11" ht="13.5" thickBot="1">
      <c r="A7" s="340">
        <v>1</v>
      </c>
      <c r="B7" s="350"/>
      <c r="C7" s="350"/>
      <c r="D7" s="172">
        <v>2</v>
      </c>
      <c r="E7" s="172">
        <v>3</v>
      </c>
      <c r="F7" s="172">
        <v>4</v>
      </c>
      <c r="G7" s="172">
        <v>5</v>
      </c>
      <c r="H7" s="172">
        <v>6</v>
      </c>
      <c r="I7" s="172">
        <v>7</v>
      </c>
      <c r="J7" s="247">
        <v>8</v>
      </c>
      <c r="K7" s="248">
        <v>9</v>
      </c>
    </row>
    <row r="8" spans="1:11" ht="13.5" customHeight="1">
      <c r="A8" s="173"/>
      <c r="B8" s="174"/>
      <c r="C8" s="175" t="s">
        <v>23</v>
      </c>
      <c r="D8" s="176">
        <f>SUM(5A!E14)</f>
        <v>1611869</v>
      </c>
      <c r="E8" s="176">
        <f>SUM(5A!F14)</f>
        <v>1611869</v>
      </c>
      <c r="F8" s="176"/>
      <c r="G8" s="177"/>
      <c r="H8" s="177"/>
      <c r="I8" s="177"/>
      <c r="J8" s="151">
        <f aca="true" t="shared" si="0" ref="J8:K11">SUM(D8,F8,H8)</f>
        <v>1611869</v>
      </c>
      <c r="K8" s="151">
        <f t="shared" si="0"/>
        <v>1611869</v>
      </c>
    </row>
    <row r="9" spans="1:11" ht="13.5" customHeight="1">
      <c r="A9" s="173"/>
      <c r="B9" s="178"/>
      <c r="C9" s="179" t="s">
        <v>40</v>
      </c>
      <c r="D9" s="176">
        <f>SUM(5A!E19)</f>
        <v>302212</v>
      </c>
      <c r="E9" s="176">
        <f>SUM(5A!F19)</f>
        <v>302212</v>
      </c>
      <c r="F9" s="180"/>
      <c r="G9" s="180"/>
      <c r="H9" s="181"/>
      <c r="I9" s="181"/>
      <c r="J9" s="152">
        <f t="shared" si="0"/>
        <v>302212</v>
      </c>
      <c r="K9" s="152">
        <f t="shared" si="0"/>
        <v>302212</v>
      </c>
    </row>
    <row r="10" spans="1:11" ht="13.5" customHeight="1">
      <c r="A10" s="173"/>
      <c r="B10" s="178"/>
      <c r="C10" s="179" t="s">
        <v>102</v>
      </c>
      <c r="D10" s="176">
        <f>SUM(5A!E36)</f>
        <v>294830</v>
      </c>
      <c r="E10" s="176">
        <f>SUM(5A!F36)</f>
        <v>360843</v>
      </c>
      <c r="F10" s="180"/>
      <c r="G10" s="180"/>
      <c r="H10" s="181"/>
      <c r="I10" s="181"/>
      <c r="J10" s="152">
        <f t="shared" si="0"/>
        <v>294830</v>
      </c>
      <c r="K10" s="152">
        <f t="shared" si="0"/>
        <v>360843</v>
      </c>
    </row>
    <row r="11" spans="1:11" ht="13.5" customHeight="1">
      <c r="A11" s="173"/>
      <c r="B11" s="271"/>
      <c r="C11" s="182" t="s">
        <v>41</v>
      </c>
      <c r="D11" s="177">
        <f>SUM(5A!E37)</f>
        <v>10524</v>
      </c>
      <c r="E11" s="177">
        <f>SUM(5A!F37)</f>
        <v>10524</v>
      </c>
      <c r="F11" s="227"/>
      <c r="G11" s="227"/>
      <c r="H11" s="272"/>
      <c r="I11" s="272"/>
      <c r="J11" s="273">
        <f t="shared" si="0"/>
        <v>10524</v>
      </c>
      <c r="K11" s="152">
        <f t="shared" si="0"/>
        <v>10524</v>
      </c>
    </row>
    <row r="12" spans="1:11" ht="13.5" customHeight="1" thickBot="1">
      <c r="A12" s="173"/>
      <c r="B12" s="274"/>
      <c r="C12" s="275" t="s">
        <v>149</v>
      </c>
      <c r="D12" s="276">
        <f>SUM(5A!E40)</f>
        <v>8155</v>
      </c>
      <c r="E12" s="276">
        <f>SUM(5A!F40)</f>
        <v>11228</v>
      </c>
      <c r="F12" s="183"/>
      <c r="G12" s="183"/>
      <c r="H12" s="277"/>
      <c r="I12" s="277"/>
      <c r="J12" s="152">
        <f>SUM(D12,F12,H12)</f>
        <v>8155</v>
      </c>
      <c r="K12" s="152">
        <f>SUM(E12,G12,I12)</f>
        <v>11228</v>
      </c>
    </row>
    <row r="13" spans="1:11" ht="13.5" customHeight="1" thickBot="1">
      <c r="A13" s="173"/>
      <c r="B13" s="184" t="s">
        <v>2</v>
      </c>
      <c r="C13" s="185" t="s">
        <v>79</v>
      </c>
      <c r="D13" s="186">
        <f>SUM(D8:D12)</f>
        <v>2227590</v>
      </c>
      <c r="E13" s="186">
        <f>SUM(E8:E12)</f>
        <v>2296676</v>
      </c>
      <c r="F13" s="186">
        <f>SUM(F8:F11)</f>
        <v>0</v>
      </c>
      <c r="G13" s="186"/>
      <c r="H13" s="186">
        <f>SUM(H8:H11)</f>
        <v>0</v>
      </c>
      <c r="I13" s="186"/>
      <c r="J13" s="187">
        <f>SUM(J8:J12)</f>
        <v>2227590</v>
      </c>
      <c r="K13" s="187">
        <f>SUM(K8:K12)</f>
        <v>2296676</v>
      </c>
    </row>
    <row r="14" spans="1:11" ht="13.5" customHeight="1">
      <c r="A14" s="173"/>
      <c r="B14" s="188" t="s">
        <v>3</v>
      </c>
      <c r="C14" s="189" t="s">
        <v>43</v>
      </c>
      <c r="D14" s="190"/>
      <c r="E14" s="190"/>
      <c r="F14" s="190"/>
      <c r="G14" s="190"/>
      <c r="H14" s="190"/>
      <c r="I14" s="200"/>
      <c r="J14" s="191"/>
      <c r="K14" s="249"/>
    </row>
    <row r="15" spans="1:11" ht="13.5" thickBot="1">
      <c r="A15" s="173"/>
      <c r="B15" s="192" t="s">
        <v>4</v>
      </c>
      <c r="C15" s="193" t="s">
        <v>80</v>
      </c>
      <c r="D15" s="194">
        <f>SUM(5A!E53)</f>
        <v>326112</v>
      </c>
      <c r="E15" s="194">
        <f>SUM(5A!F53)</f>
        <v>416419</v>
      </c>
      <c r="F15" s="194">
        <f>SUM(5A!G53)</f>
        <v>1003707</v>
      </c>
      <c r="G15" s="194">
        <f>SUM(5A!H53)</f>
        <v>1008879</v>
      </c>
      <c r="H15" s="194">
        <f>SUM(5A!I53)</f>
        <v>1955</v>
      </c>
      <c r="I15" s="194">
        <f>SUM(5A!J53)</f>
        <v>1955</v>
      </c>
      <c r="J15" s="149">
        <f>SUM(D15,F15,H15)</f>
        <v>1331774</v>
      </c>
      <c r="K15" s="149">
        <f>SUM(E15,G15,I15)</f>
        <v>1427253</v>
      </c>
    </row>
    <row r="16" spans="1:11" ht="13.5" thickBot="1">
      <c r="A16" s="173"/>
      <c r="B16" s="195" t="s">
        <v>5</v>
      </c>
      <c r="C16" s="196" t="s">
        <v>81</v>
      </c>
      <c r="D16" s="197">
        <f aca="true" t="shared" si="1" ref="D16:K16">SUM(D13:D15)</f>
        <v>2553702</v>
      </c>
      <c r="E16" s="197">
        <f t="shared" si="1"/>
        <v>2713095</v>
      </c>
      <c r="F16" s="197">
        <f t="shared" si="1"/>
        <v>1003707</v>
      </c>
      <c r="G16" s="197">
        <f t="shared" si="1"/>
        <v>1008879</v>
      </c>
      <c r="H16" s="197">
        <f t="shared" si="1"/>
        <v>1955</v>
      </c>
      <c r="I16" s="197">
        <f t="shared" si="1"/>
        <v>1955</v>
      </c>
      <c r="J16" s="198">
        <f t="shared" si="1"/>
        <v>3559364</v>
      </c>
      <c r="K16" s="198">
        <f t="shared" si="1"/>
        <v>3723929</v>
      </c>
    </row>
    <row r="17" spans="1:11" ht="12.75">
      <c r="A17" s="173"/>
      <c r="B17" s="188" t="s">
        <v>2</v>
      </c>
      <c r="C17" s="199" t="s">
        <v>10</v>
      </c>
      <c r="D17" s="200">
        <f>SUM(5B!D12)</f>
        <v>5826667</v>
      </c>
      <c r="E17" s="200">
        <f>SUM(5B!E12)</f>
        <v>6345692</v>
      </c>
      <c r="F17" s="200"/>
      <c r="G17" s="200"/>
      <c r="H17" s="200"/>
      <c r="I17" s="200"/>
      <c r="J17" s="148">
        <f>SUM(D17,F17,H17)</f>
        <v>5826667</v>
      </c>
      <c r="K17" s="148">
        <f>SUM(E17,G17,I17)</f>
        <v>6345692</v>
      </c>
    </row>
    <row r="18" spans="1:11" ht="13.5" thickBot="1">
      <c r="A18" s="173"/>
      <c r="B18" s="192" t="s">
        <v>3</v>
      </c>
      <c r="C18" s="193" t="s">
        <v>82</v>
      </c>
      <c r="D18" s="201">
        <f>SUM(5B!D19)</f>
        <v>132391</v>
      </c>
      <c r="E18" s="201">
        <f>SUM(5B!E19)</f>
        <v>193415</v>
      </c>
      <c r="F18" s="201"/>
      <c r="G18" s="201"/>
      <c r="H18" s="201"/>
      <c r="I18" s="201"/>
      <c r="J18" s="149">
        <f>SUM(D18,F18,H18)</f>
        <v>132391</v>
      </c>
      <c r="K18" s="149">
        <f>SUM(E18,G18,I18)</f>
        <v>193415</v>
      </c>
    </row>
    <row r="19" spans="1:11" ht="13.5" customHeight="1" thickBot="1">
      <c r="A19" s="173"/>
      <c r="B19" s="195" t="s">
        <v>6</v>
      </c>
      <c r="C19" s="202" t="s">
        <v>35</v>
      </c>
      <c r="D19" s="197">
        <f>SUM(D17:D18)</f>
        <v>5959058</v>
      </c>
      <c r="E19" s="197">
        <f>SUM(E17:E18)</f>
        <v>6539107</v>
      </c>
      <c r="F19" s="197">
        <f>SUM(F17:F18)</f>
        <v>0</v>
      </c>
      <c r="G19" s="197"/>
      <c r="H19" s="197">
        <f>SUM(H17:H18)</f>
        <v>0</v>
      </c>
      <c r="I19" s="197"/>
      <c r="J19" s="198">
        <f>SUM(J17:J18)</f>
        <v>5959058</v>
      </c>
      <c r="K19" s="198">
        <f>SUM(K17:K18)</f>
        <v>6539107</v>
      </c>
    </row>
    <row r="20" spans="1:11" ht="13.5" customHeight="1" thickBot="1">
      <c r="A20" s="173"/>
      <c r="B20" s="195" t="s">
        <v>32</v>
      </c>
      <c r="C20" s="203" t="s">
        <v>83</v>
      </c>
      <c r="D20" s="197">
        <f>SUM(5C!D20)</f>
        <v>6603683</v>
      </c>
      <c r="E20" s="197">
        <f>SUM(5C!E20)</f>
        <v>6703683</v>
      </c>
      <c r="F20" s="197">
        <f>SUM(5C!F20)</f>
        <v>705191</v>
      </c>
      <c r="G20" s="197">
        <f>SUM(5C!G20)</f>
        <v>705191</v>
      </c>
      <c r="H20" s="197">
        <f>SUM(5C!H20)</f>
        <v>91850</v>
      </c>
      <c r="I20" s="197">
        <f>SUM(5C!I20)</f>
        <v>91850</v>
      </c>
      <c r="J20" s="137">
        <f aca="true" t="shared" si="2" ref="J20:K22">SUM(D20,F20,H20)</f>
        <v>7400724</v>
      </c>
      <c r="K20" s="137">
        <f t="shared" si="2"/>
        <v>7500724</v>
      </c>
    </row>
    <row r="21" spans="1:11" ht="26.25" customHeight="1">
      <c r="A21" s="173"/>
      <c r="B21" s="204" t="s">
        <v>2</v>
      </c>
      <c r="C21" s="205" t="s">
        <v>84</v>
      </c>
      <c r="D21" s="150">
        <f>360+122</f>
        <v>482</v>
      </c>
      <c r="E21" s="150">
        <f>360+122</f>
        <v>482</v>
      </c>
      <c r="F21" s="150"/>
      <c r="G21" s="150"/>
      <c r="H21" s="150"/>
      <c r="I21" s="150"/>
      <c r="J21" s="151">
        <f t="shared" si="2"/>
        <v>482</v>
      </c>
      <c r="K21" s="151">
        <f t="shared" si="2"/>
        <v>482</v>
      </c>
    </row>
    <row r="22" spans="1:11" ht="13.5" customHeight="1" thickBot="1">
      <c r="A22" s="173"/>
      <c r="B22" s="206" t="s">
        <v>3</v>
      </c>
      <c r="C22" s="207" t="s">
        <v>85</v>
      </c>
      <c r="D22" s="208"/>
      <c r="E22" s="208"/>
      <c r="F22" s="208"/>
      <c r="G22" s="140"/>
      <c r="H22" s="140"/>
      <c r="I22" s="140"/>
      <c r="J22" s="148">
        <f t="shared" si="2"/>
        <v>0</v>
      </c>
      <c r="K22" s="148">
        <f t="shared" si="2"/>
        <v>0</v>
      </c>
    </row>
    <row r="23" spans="1:11" ht="13.5" customHeight="1" thickBot="1">
      <c r="A23" s="173"/>
      <c r="B23" s="195" t="s">
        <v>33</v>
      </c>
      <c r="C23" s="203" t="s">
        <v>86</v>
      </c>
      <c r="D23" s="197">
        <f>SUM(D21:D22)</f>
        <v>482</v>
      </c>
      <c r="E23" s="197">
        <f>SUM(E21:E22)</f>
        <v>482</v>
      </c>
      <c r="F23" s="197">
        <f>SUM(F21:F22)</f>
        <v>0</v>
      </c>
      <c r="G23" s="197"/>
      <c r="H23" s="197">
        <f>SUM(H21:H22)</f>
        <v>0</v>
      </c>
      <c r="I23" s="197"/>
      <c r="J23" s="198">
        <f>SUM(J21:J22)</f>
        <v>482</v>
      </c>
      <c r="K23" s="198">
        <f>SUM(K21:K22)</f>
        <v>482</v>
      </c>
    </row>
    <row r="24" spans="1:11" s="168" customFormat="1" ht="13.5" customHeight="1" thickBot="1">
      <c r="A24" s="209" t="s">
        <v>5</v>
      </c>
      <c r="B24" s="333" t="s">
        <v>87</v>
      </c>
      <c r="C24" s="334"/>
      <c r="D24" s="197">
        <f aca="true" t="shared" si="3" ref="D24:K24">SUM(D16,D19,D20,D23)</f>
        <v>15116925</v>
      </c>
      <c r="E24" s="197">
        <f t="shared" si="3"/>
        <v>15956367</v>
      </c>
      <c r="F24" s="197">
        <f t="shared" si="3"/>
        <v>1708898</v>
      </c>
      <c r="G24" s="197">
        <f t="shared" si="3"/>
        <v>1714070</v>
      </c>
      <c r="H24" s="197">
        <f t="shared" si="3"/>
        <v>93805</v>
      </c>
      <c r="I24" s="197">
        <f t="shared" si="3"/>
        <v>93805</v>
      </c>
      <c r="J24" s="198">
        <f t="shared" si="3"/>
        <v>16919628</v>
      </c>
      <c r="K24" s="198">
        <f t="shared" si="3"/>
        <v>17764242</v>
      </c>
    </row>
    <row r="25" spans="1:11" s="168" customFormat="1" ht="13.5" customHeight="1" thickBot="1">
      <c r="A25" s="210"/>
      <c r="B25" s="195" t="s">
        <v>42</v>
      </c>
      <c r="C25" s="211" t="s">
        <v>37</v>
      </c>
      <c r="D25" s="197">
        <f>SUM(5D!C18)</f>
        <v>3458968</v>
      </c>
      <c r="E25" s="197">
        <f>SUM(5D!D18)</f>
        <v>3458968</v>
      </c>
      <c r="F25" s="197"/>
      <c r="G25" s="139"/>
      <c r="H25" s="139"/>
      <c r="I25" s="139"/>
      <c r="J25" s="137">
        <f aca="true" t="shared" si="4" ref="J25:K28">SUM(D25,F25,H25)</f>
        <v>3458968</v>
      </c>
      <c r="K25" s="137">
        <f t="shared" si="4"/>
        <v>3458968</v>
      </c>
    </row>
    <row r="26" spans="1:11" s="168" customFormat="1" ht="13.5" customHeight="1" thickBot="1">
      <c r="A26" s="210"/>
      <c r="B26" s="195" t="s">
        <v>88</v>
      </c>
      <c r="C26" s="211" t="s">
        <v>22</v>
      </c>
      <c r="D26" s="197">
        <f>SUM(5E!D17)</f>
        <v>1708676</v>
      </c>
      <c r="E26" s="197">
        <f>SUM(5E!E17)</f>
        <v>1995054</v>
      </c>
      <c r="F26" s="197"/>
      <c r="G26" s="197"/>
      <c r="H26" s="198"/>
      <c r="I26" s="198"/>
      <c r="J26" s="137">
        <f t="shared" si="4"/>
        <v>1708676</v>
      </c>
      <c r="K26" s="137">
        <f t="shared" si="4"/>
        <v>1995054</v>
      </c>
    </row>
    <row r="27" spans="1:11" ht="24" customHeight="1">
      <c r="A27" s="212"/>
      <c r="B27" s="213" t="s">
        <v>2</v>
      </c>
      <c r="C27" s="199" t="s">
        <v>89</v>
      </c>
      <c r="D27" s="200">
        <f>SUM(5F!D18)</f>
        <v>247638</v>
      </c>
      <c r="E27" s="200">
        <f>SUM(5F!E18)</f>
        <v>247638</v>
      </c>
      <c r="F27" s="200"/>
      <c r="G27" s="200"/>
      <c r="H27" s="200"/>
      <c r="I27" s="200"/>
      <c r="J27" s="137">
        <f t="shared" si="4"/>
        <v>247638</v>
      </c>
      <c r="K27" s="137">
        <f t="shared" si="4"/>
        <v>247638</v>
      </c>
    </row>
    <row r="28" spans="1:11" ht="13.5" customHeight="1" thickBot="1">
      <c r="A28" s="212"/>
      <c r="B28" s="214" t="s">
        <v>3</v>
      </c>
      <c r="C28" s="215" t="s">
        <v>90</v>
      </c>
      <c r="D28" s="216"/>
      <c r="E28" s="216"/>
      <c r="F28" s="216"/>
      <c r="G28" s="217"/>
      <c r="H28" s="217"/>
      <c r="I28" s="217"/>
      <c r="J28" s="149">
        <f t="shared" si="4"/>
        <v>0</v>
      </c>
      <c r="K28" s="149">
        <f t="shared" si="4"/>
        <v>0</v>
      </c>
    </row>
    <row r="29" spans="1:11" ht="13.5" customHeight="1" thickBot="1">
      <c r="A29" s="212"/>
      <c r="B29" s="218" t="s">
        <v>91</v>
      </c>
      <c r="C29" s="211" t="s">
        <v>92</v>
      </c>
      <c r="D29" s="198">
        <f>SUM(D27:D28)</f>
        <v>247638</v>
      </c>
      <c r="E29" s="198">
        <f>SUM(E27:E28)</f>
        <v>247638</v>
      </c>
      <c r="F29" s="198">
        <f>SUM(F27:F28)</f>
        <v>0</v>
      </c>
      <c r="G29" s="198"/>
      <c r="H29" s="198">
        <f>SUM(H27:H28)</f>
        <v>0</v>
      </c>
      <c r="I29" s="198"/>
      <c r="J29" s="198">
        <f>SUM(J27:J28)</f>
        <v>247638</v>
      </c>
      <c r="K29" s="198">
        <f>SUM(K27:K28)</f>
        <v>247638</v>
      </c>
    </row>
    <row r="30" spans="1:11" ht="13.5" customHeight="1" thickBot="1">
      <c r="A30" s="219" t="s">
        <v>6</v>
      </c>
      <c r="B30" s="351" t="s">
        <v>93</v>
      </c>
      <c r="C30" s="352"/>
      <c r="D30" s="198">
        <f>SUM(D25,D26,D29)</f>
        <v>5415282</v>
      </c>
      <c r="E30" s="198">
        <f>SUM(E25,E26,E29)</f>
        <v>5701660</v>
      </c>
      <c r="F30" s="198"/>
      <c r="G30" s="198"/>
      <c r="H30" s="198"/>
      <c r="I30" s="198"/>
      <c r="J30" s="198">
        <f>SUM(J25,J26,J29)</f>
        <v>5415282</v>
      </c>
      <c r="K30" s="198">
        <f>SUM(K25,K26,K29)</f>
        <v>5701660</v>
      </c>
    </row>
    <row r="31" spans="1:11" s="168" customFormat="1" ht="13.5" customHeight="1" thickBot="1">
      <c r="A31" s="333" t="s">
        <v>94</v>
      </c>
      <c r="B31" s="337"/>
      <c r="C31" s="334"/>
      <c r="D31" s="220">
        <f aca="true" t="shared" si="5" ref="D31:K31">SUM(D24,D30)</f>
        <v>20532207</v>
      </c>
      <c r="E31" s="220">
        <f t="shared" si="5"/>
        <v>21658027</v>
      </c>
      <c r="F31" s="220">
        <f t="shared" si="5"/>
        <v>1708898</v>
      </c>
      <c r="G31" s="220">
        <f t="shared" si="5"/>
        <v>1714070</v>
      </c>
      <c r="H31" s="220">
        <f t="shared" si="5"/>
        <v>93805</v>
      </c>
      <c r="I31" s="220">
        <f t="shared" si="5"/>
        <v>93805</v>
      </c>
      <c r="J31" s="198">
        <f t="shared" si="5"/>
        <v>22334910</v>
      </c>
      <c r="K31" s="198">
        <f t="shared" si="5"/>
        <v>23465902</v>
      </c>
    </row>
    <row r="32" spans="1:11" ht="12.75">
      <c r="A32" s="221"/>
      <c r="B32" s="222" t="s">
        <v>2</v>
      </c>
      <c r="C32" s="223" t="s">
        <v>111</v>
      </c>
      <c r="D32" s="224">
        <v>590678</v>
      </c>
      <c r="E32" s="224">
        <f>412972+177706</f>
        <v>590678</v>
      </c>
      <c r="F32" s="224">
        <v>135330</v>
      </c>
      <c r="G32" s="224">
        <v>135330</v>
      </c>
      <c r="H32" s="224">
        <v>42056</v>
      </c>
      <c r="I32" s="224">
        <v>42056</v>
      </c>
      <c r="J32" s="137">
        <f aca="true" t="shared" si="6" ref="J32:K34">SUM(F32,D32,H32)</f>
        <v>768064</v>
      </c>
      <c r="K32" s="137">
        <f t="shared" si="6"/>
        <v>768064</v>
      </c>
    </row>
    <row r="33" spans="1:11" ht="12.75">
      <c r="A33" s="212"/>
      <c r="B33" s="225" t="s">
        <v>3</v>
      </c>
      <c r="C33" s="226" t="s">
        <v>95</v>
      </c>
      <c r="D33" s="227"/>
      <c r="E33" s="227"/>
      <c r="F33" s="227">
        <v>3963228</v>
      </c>
      <c r="G33" s="227">
        <f>3960381+28250</f>
        <v>3988631</v>
      </c>
      <c r="H33" s="227">
        <v>1538851</v>
      </c>
      <c r="I33" s="227">
        <v>1585410</v>
      </c>
      <c r="J33" s="152">
        <f t="shared" si="6"/>
        <v>5502079</v>
      </c>
      <c r="K33" s="152">
        <f t="shared" si="6"/>
        <v>5574041</v>
      </c>
    </row>
    <row r="34" spans="1:11" ht="13.5" thickBot="1">
      <c r="A34" s="228"/>
      <c r="B34" s="229" t="s">
        <v>4</v>
      </c>
      <c r="C34" s="230" t="s">
        <v>130</v>
      </c>
      <c r="D34" s="183"/>
      <c r="E34" s="183"/>
      <c r="F34" s="183"/>
      <c r="G34" s="227"/>
      <c r="H34" s="227"/>
      <c r="I34" s="183"/>
      <c r="J34" s="148">
        <f t="shared" si="6"/>
        <v>0</v>
      </c>
      <c r="K34" s="148">
        <f t="shared" si="6"/>
        <v>0</v>
      </c>
    </row>
    <row r="35" spans="1:11" ht="13.5" thickBot="1">
      <c r="A35" s="231" t="s">
        <v>32</v>
      </c>
      <c r="B35" s="338" t="s">
        <v>96</v>
      </c>
      <c r="C35" s="338"/>
      <c r="D35" s="198">
        <f aca="true" t="shared" si="7" ref="D35:K35">SUM(D32:D34)</f>
        <v>590678</v>
      </c>
      <c r="E35" s="198">
        <f t="shared" si="7"/>
        <v>590678</v>
      </c>
      <c r="F35" s="198">
        <f t="shared" si="7"/>
        <v>4098558</v>
      </c>
      <c r="G35" s="198">
        <f t="shared" si="7"/>
        <v>4123961</v>
      </c>
      <c r="H35" s="198">
        <f t="shared" si="7"/>
        <v>1580907</v>
      </c>
      <c r="I35" s="198">
        <f t="shared" si="7"/>
        <v>1627466</v>
      </c>
      <c r="J35" s="198">
        <f t="shared" si="7"/>
        <v>6270143</v>
      </c>
      <c r="K35" s="198">
        <f t="shared" si="7"/>
        <v>6342105</v>
      </c>
    </row>
    <row r="36" spans="1:11" ht="12.75">
      <c r="A36" s="221"/>
      <c r="B36" s="222" t="s">
        <v>2</v>
      </c>
      <c r="C36" s="223" t="s">
        <v>111</v>
      </c>
      <c r="D36" s="224">
        <v>2606731</v>
      </c>
      <c r="E36" s="224">
        <v>2606731</v>
      </c>
      <c r="F36" s="224">
        <v>38070</v>
      </c>
      <c r="G36" s="224">
        <v>38070</v>
      </c>
      <c r="H36" s="224"/>
      <c r="I36" s="224"/>
      <c r="J36" s="137">
        <f aca="true" t="shared" si="8" ref="J36:K38">SUM(D36,F36,H36)</f>
        <v>2644801</v>
      </c>
      <c r="K36" s="137">
        <f t="shared" si="8"/>
        <v>2644801</v>
      </c>
    </row>
    <row r="37" spans="1:11" ht="12.75">
      <c r="A37" s="212"/>
      <c r="B37" s="225" t="s">
        <v>3</v>
      </c>
      <c r="C37" s="226" t="s">
        <v>95</v>
      </c>
      <c r="D37" s="227"/>
      <c r="E37" s="227"/>
      <c r="F37" s="227">
        <v>115418</v>
      </c>
      <c r="G37" s="227">
        <v>115418</v>
      </c>
      <c r="H37" s="227">
        <v>11624</v>
      </c>
      <c r="I37" s="227">
        <v>11624</v>
      </c>
      <c r="J37" s="152">
        <f t="shared" si="8"/>
        <v>127042</v>
      </c>
      <c r="K37" s="152">
        <f t="shared" si="8"/>
        <v>127042</v>
      </c>
    </row>
    <row r="38" spans="1:11" ht="13.5" thickBot="1">
      <c r="A38" s="232"/>
      <c r="B38" s="229" t="s">
        <v>4</v>
      </c>
      <c r="C38" s="230" t="s">
        <v>130</v>
      </c>
      <c r="D38" s="183">
        <f>8600000+8000000+5000000</f>
        <v>21600000</v>
      </c>
      <c r="E38" s="183">
        <f>8600000+8000000+5000000</f>
        <v>21600000</v>
      </c>
      <c r="F38" s="183"/>
      <c r="G38" s="227"/>
      <c r="H38" s="227"/>
      <c r="I38" s="183"/>
      <c r="J38" s="148">
        <f t="shared" si="8"/>
        <v>21600000</v>
      </c>
      <c r="K38" s="148">
        <f t="shared" si="8"/>
        <v>21600000</v>
      </c>
    </row>
    <row r="39" spans="1:11" ht="13.5" thickBot="1">
      <c r="A39" s="231" t="s">
        <v>33</v>
      </c>
      <c r="B39" s="338" t="s">
        <v>97</v>
      </c>
      <c r="C39" s="338"/>
      <c r="D39" s="198">
        <f aca="true" t="shared" si="9" ref="D39:K39">SUM(D36:D38)</f>
        <v>24206731</v>
      </c>
      <c r="E39" s="198">
        <f t="shared" si="9"/>
        <v>24206731</v>
      </c>
      <c r="F39" s="198">
        <f t="shared" si="9"/>
        <v>153488</v>
      </c>
      <c r="G39" s="198">
        <f t="shared" si="9"/>
        <v>153488</v>
      </c>
      <c r="H39" s="198">
        <f t="shared" si="9"/>
        <v>11624</v>
      </c>
      <c r="I39" s="198">
        <f t="shared" si="9"/>
        <v>11624</v>
      </c>
      <c r="J39" s="198">
        <f t="shared" si="9"/>
        <v>24371843</v>
      </c>
      <c r="K39" s="198">
        <f t="shared" si="9"/>
        <v>24371843</v>
      </c>
    </row>
    <row r="40" spans="1:11" ht="13.5" thickBot="1">
      <c r="A40" s="335" t="s">
        <v>119</v>
      </c>
      <c r="B40" s="336"/>
      <c r="C40" s="339"/>
      <c r="D40" s="198">
        <f aca="true" t="shared" si="10" ref="D40:K40">SUM(D39,D35)</f>
        <v>24797409</v>
      </c>
      <c r="E40" s="198">
        <f t="shared" si="10"/>
        <v>24797409</v>
      </c>
      <c r="F40" s="198">
        <f t="shared" si="10"/>
        <v>4252046</v>
      </c>
      <c r="G40" s="198">
        <f t="shared" si="10"/>
        <v>4277449</v>
      </c>
      <c r="H40" s="198">
        <f t="shared" si="10"/>
        <v>1592531</v>
      </c>
      <c r="I40" s="198">
        <f t="shared" si="10"/>
        <v>1639090</v>
      </c>
      <c r="J40" s="198">
        <f t="shared" si="10"/>
        <v>30641986</v>
      </c>
      <c r="K40" s="198">
        <f t="shared" si="10"/>
        <v>30713948</v>
      </c>
    </row>
    <row r="41" spans="1:11" s="233" customFormat="1" ht="13.5" thickBot="1">
      <c r="A41" s="335" t="s">
        <v>98</v>
      </c>
      <c r="B41" s="336"/>
      <c r="C41" s="339"/>
      <c r="D41" s="198">
        <f aca="true" t="shared" si="11" ref="D41:K41">SUM(D31,D35,D39)</f>
        <v>45329616</v>
      </c>
      <c r="E41" s="198">
        <f t="shared" si="11"/>
        <v>46455436</v>
      </c>
      <c r="F41" s="198">
        <f t="shared" si="11"/>
        <v>5960944</v>
      </c>
      <c r="G41" s="198">
        <f t="shared" si="11"/>
        <v>5991519</v>
      </c>
      <c r="H41" s="198">
        <f t="shared" si="11"/>
        <v>1686336</v>
      </c>
      <c r="I41" s="198">
        <f t="shared" si="11"/>
        <v>1732895</v>
      </c>
      <c r="J41" s="198">
        <f t="shared" si="11"/>
        <v>52976896</v>
      </c>
      <c r="K41" s="198">
        <f t="shared" si="11"/>
        <v>54179850</v>
      </c>
    </row>
    <row r="42" spans="1:11" ht="13.5" thickBot="1">
      <c r="A42" s="234"/>
      <c r="B42" s="340" t="s">
        <v>99</v>
      </c>
      <c r="C42" s="341"/>
      <c r="D42" s="235"/>
      <c r="E42" s="235"/>
      <c r="F42" s="235"/>
      <c r="G42" s="235"/>
      <c r="H42" s="235"/>
      <c r="I42" s="224"/>
      <c r="J42" s="137">
        <f>-SUM(J33,J37)</f>
        <v>-5629121</v>
      </c>
      <c r="K42" s="137">
        <f>-SUM(K33,K37)</f>
        <v>-5701083</v>
      </c>
    </row>
    <row r="43" spans="1:11" ht="13.5" thickBot="1">
      <c r="A43" s="234"/>
      <c r="B43" s="340" t="s">
        <v>101</v>
      </c>
      <c r="C43" s="341"/>
      <c r="D43" s="235"/>
      <c r="E43" s="235"/>
      <c r="F43" s="235"/>
      <c r="G43" s="235"/>
      <c r="H43" s="235"/>
      <c r="I43" s="224"/>
      <c r="J43" s="137">
        <v>-380000</v>
      </c>
      <c r="K43" s="137">
        <v>-380000</v>
      </c>
    </row>
    <row r="44" spans="1:11" s="233" customFormat="1" ht="13.5" thickBot="1">
      <c r="A44" s="335" t="s">
        <v>100</v>
      </c>
      <c r="B44" s="336"/>
      <c r="C44" s="336"/>
      <c r="D44" s="198">
        <f aca="true" t="shared" si="12" ref="D44:I44">SUM(D41:D42)</f>
        <v>45329616</v>
      </c>
      <c r="E44" s="198">
        <f t="shared" si="12"/>
        <v>46455436</v>
      </c>
      <c r="F44" s="198">
        <f t="shared" si="12"/>
        <v>5960944</v>
      </c>
      <c r="G44" s="198">
        <f t="shared" si="12"/>
        <v>5991519</v>
      </c>
      <c r="H44" s="198">
        <f t="shared" si="12"/>
        <v>1686336</v>
      </c>
      <c r="I44" s="198">
        <f t="shared" si="12"/>
        <v>1732895</v>
      </c>
      <c r="J44" s="198">
        <f>SUM(J41:J43)</f>
        <v>46967775</v>
      </c>
      <c r="K44" s="198">
        <f>SUM(K41:K43)</f>
        <v>48098767</v>
      </c>
    </row>
    <row r="45" spans="1:9" s="233" customFormat="1" ht="12.75">
      <c r="A45" s="236"/>
      <c r="B45" s="236"/>
      <c r="C45" s="236"/>
      <c r="D45" s="237"/>
      <c r="E45" s="237"/>
      <c r="F45" s="237"/>
      <c r="G45" s="237"/>
      <c r="H45" s="237"/>
      <c r="I45" s="237"/>
    </row>
    <row r="46" spans="2:10" ht="12.75">
      <c r="B46" s="169"/>
      <c r="J46" s="114"/>
    </row>
    <row r="47" spans="2:10" ht="12.75">
      <c r="B47" s="169"/>
      <c r="J47" s="114"/>
    </row>
    <row r="48" ht="12.75">
      <c r="B48" s="169"/>
    </row>
    <row r="49" spans="2:10" ht="12.75">
      <c r="B49" s="169"/>
      <c r="J49" s="114"/>
    </row>
    <row r="50" ht="12.75">
      <c r="B50" s="169"/>
    </row>
    <row r="51" spans="2:10" ht="12.75">
      <c r="B51" s="169"/>
      <c r="J51" s="114"/>
    </row>
    <row r="52" ht="12.75">
      <c r="B52" s="169"/>
    </row>
    <row r="53" ht="12.75">
      <c r="B53" s="169"/>
    </row>
    <row r="54" ht="12.75">
      <c r="B54" s="169"/>
    </row>
    <row r="55" ht="12.75">
      <c r="B55" s="169"/>
    </row>
    <row r="56" ht="12.75">
      <c r="B56" s="169"/>
    </row>
    <row r="57" ht="12.75">
      <c r="B57" s="169"/>
    </row>
    <row r="58" ht="12.75">
      <c r="B58" s="169"/>
    </row>
    <row r="59" ht="12.75">
      <c r="B59" s="169"/>
    </row>
    <row r="60" ht="12.75">
      <c r="B60" s="169"/>
    </row>
    <row r="61" ht="12.75">
      <c r="B61" s="169"/>
    </row>
    <row r="62" ht="12.75">
      <c r="B62" s="169"/>
    </row>
    <row r="63" ht="12.75">
      <c r="B63" s="169"/>
    </row>
    <row r="64" ht="12.75">
      <c r="B64" s="169"/>
    </row>
    <row r="65" ht="12.75">
      <c r="B65" s="169"/>
    </row>
    <row r="66" ht="12.75">
      <c r="B66" s="169"/>
    </row>
    <row r="67" ht="12.75">
      <c r="B67" s="169"/>
    </row>
    <row r="68" ht="12.75">
      <c r="B68" s="169"/>
    </row>
    <row r="69" ht="12.75">
      <c r="B69" s="169"/>
    </row>
    <row r="70" ht="12.75">
      <c r="B70" s="169"/>
    </row>
    <row r="71" ht="12.75">
      <c r="B71" s="169"/>
    </row>
    <row r="72" ht="12.75">
      <c r="B72" s="169"/>
    </row>
    <row r="73" ht="12.75">
      <c r="B73" s="169"/>
    </row>
    <row r="74" ht="12.75">
      <c r="B74" s="169"/>
    </row>
    <row r="75" ht="12.75">
      <c r="B75" s="169"/>
    </row>
    <row r="76" ht="12.75">
      <c r="B76" s="169"/>
    </row>
    <row r="77" ht="12.75">
      <c r="B77" s="169"/>
    </row>
    <row r="78" ht="12.75">
      <c r="B78" s="169"/>
    </row>
    <row r="79" ht="12.75">
      <c r="B79" s="169"/>
    </row>
    <row r="80" ht="12.75">
      <c r="B80" s="169"/>
    </row>
    <row r="81" ht="12.75">
      <c r="B81" s="169"/>
    </row>
    <row r="82" ht="12.75">
      <c r="B82" s="169"/>
    </row>
    <row r="83" ht="12.75">
      <c r="B83" s="169"/>
    </row>
    <row r="84" ht="12.75">
      <c r="B84" s="169"/>
    </row>
    <row r="85" ht="12.75">
      <c r="B85" s="169"/>
    </row>
    <row r="86" ht="12.75">
      <c r="B86" s="169"/>
    </row>
  </sheetData>
  <sheetProtection/>
  <mergeCells count="19">
    <mergeCell ref="F1:K1"/>
    <mergeCell ref="H4:K4"/>
    <mergeCell ref="A5:C6"/>
    <mergeCell ref="A7:C7"/>
    <mergeCell ref="B24:C24"/>
    <mergeCell ref="B30:C30"/>
    <mergeCell ref="D5:E5"/>
    <mergeCell ref="F5:G5"/>
    <mergeCell ref="H5:I5"/>
    <mergeCell ref="A2:K2"/>
    <mergeCell ref="J5:K5"/>
    <mergeCell ref="A44:C44"/>
    <mergeCell ref="A31:C31"/>
    <mergeCell ref="B35:C35"/>
    <mergeCell ref="B39:C39"/>
    <mergeCell ref="A41:C41"/>
    <mergeCell ref="B42:C42"/>
    <mergeCell ref="B43:C43"/>
    <mergeCell ref="A40:C40"/>
  </mergeCells>
  <printOptions/>
  <pageMargins left="0.07874015748031496" right="0.15748031496062992" top="1.062992125984252" bottom="0.2755905511811024" header="0.6299212598425197" footer="0.275590551181102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zoomScalePageLayoutView="0" workbookViewId="0" topLeftCell="A43">
      <selection activeCell="M1" sqref="M1:Z16384"/>
    </sheetView>
  </sheetViews>
  <sheetFormatPr defaultColWidth="9.00390625" defaultRowHeight="12.75"/>
  <cols>
    <col min="1" max="1" width="4.25390625" style="2" customWidth="1"/>
    <col min="2" max="2" width="49.375" style="2" customWidth="1"/>
    <col min="3" max="3" width="6.125" style="2" customWidth="1"/>
    <col min="4" max="4" width="6.875" style="2" customWidth="1"/>
    <col min="5" max="5" width="9.25390625" style="2" customWidth="1"/>
    <col min="6" max="6" width="9.25390625" style="29" customWidth="1"/>
    <col min="7" max="7" width="8.875" style="2" customWidth="1"/>
    <col min="8" max="8" width="9.00390625" style="2" customWidth="1"/>
    <col min="9" max="10" width="8.25390625" style="2" customWidth="1"/>
    <col min="11" max="12" width="9.25390625" style="3" customWidth="1"/>
    <col min="13" max="26" width="9.125" style="3" customWidth="1"/>
    <col min="27" max="16384" width="9.125" style="2" customWidth="1"/>
  </cols>
  <sheetData>
    <row r="1" spans="1:12" ht="12.75" customHeight="1">
      <c r="A1" s="136"/>
      <c r="B1" s="136"/>
      <c r="C1" s="136"/>
      <c r="D1" s="136"/>
      <c r="E1" s="136"/>
      <c r="F1" s="306"/>
      <c r="G1" s="362" t="s">
        <v>125</v>
      </c>
      <c r="H1" s="362"/>
      <c r="I1" s="362"/>
      <c r="J1" s="362"/>
      <c r="K1" s="362"/>
      <c r="L1" s="362"/>
    </row>
    <row r="2" spans="1:10" ht="12.75">
      <c r="A2" s="136"/>
      <c r="B2" s="136"/>
      <c r="C2" s="136"/>
      <c r="D2" s="136"/>
      <c r="E2" s="136"/>
      <c r="F2" s="306"/>
      <c r="G2" s="136"/>
      <c r="H2" s="136"/>
      <c r="I2" s="133"/>
      <c r="J2" s="133"/>
    </row>
    <row r="3" spans="1:12" ht="30.75" customHeight="1">
      <c r="A3" s="364" t="s">
        <v>132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</row>
    <row r="4" spans="1:10" ht="15" customHeight="1">
      <c r="A4" s="13"/>
      <c r="B4" s="13"/>
      <c r="C4" s="13"/>
      <c r="D4" s="13"/>
      <c r="E4" s="13"/>
      <c r="F4" s="307"/>
      <c r="G4" s="13"/>
      <c r="H4" s="13"/>
      <c r="I4" s="13"/>
      <c r="J4" s="13"/>
    </row>
    <row r="5" spans="1:10" ht="19.5" customHeight="1">
      <c r="A5" s="13"/>
      <c r="B5" s="13"/>
      <c r="C5" s="13"/>
      <c r="D5" s="13"/>
      <c r="E5" s="13"/>
      <c r="F5" s="307"/>
      <c r="G5" s="13"/>
      <c r="H5" s="13"/>
      <c r="I5" s="13"/>
      <c r="J5" s="13"/>
    </row>
    <row r="6" spans="1:12" ht="15" customHeight="1" thickBot="1">
      <c r="A6" s="16"/>
      <c r="B6" s="16"/>
      <c r="C6" s="16"/>
      <c r="D6" s="16"/>
      <c r="E6" s="16"/>
      <c r="F6" s="308"/>
      <c r="G6" s="16"/>
      <c r="H6" s="16"/>
      <c r="I6" s="363" t="s">
        <v>0</v>
      </c>
      <c r="J6" s="363"/>
      <c r="K6" s="363"/>
      <c r="L6" s="363"/>
    </row>
    <row r="7" spans="1:12" ht="15" customHeight="1" thickBot="1">
      <c r="A7" s="355" t="s">
        <v>1</v>
      </c>
      <c r="B7" s="356"/>
      <c r="C7" s="365" t="s">
        <v>120</v>
      </c>
      <c r="D7" s="366"/>
      <c r="E7" s="366"/>
      <c r="F7" s="367"/>
      <c r="G7" s="365" t="s">
        <v>109</v>
      </c>
      <c r="H7" s="367"/>
      <c r="I7" s="365" t="s">
        <v>110</v>
      </c>
      <c r="J7" s="367"/>
      <c r="K7" s="351" t="s">
        <v>19</v>
      </c>
      <c r="L7" s="352"/>
    </row>
    <row r="8" spans="1:12" ht="61.5" customHeight="1" thickBot="1">
      <c r="A8" s="357"/>
      <c r="B8" s="358"/>
      <c r="C8" s="344" t="s">
        <v>38</v>
      </c>
      <c r="D8" s="346"/>
      <c r="E8" s="353" t="s">
        <v>147</v>
      </c>
      <c r="F8" s="354"/>
      <c r="G8" s="368"/>
      <c r="H8" s="369"/>
      <c r="I8" s="368"/>
      <c r="J8" s="369"/>
      <c r="K8" s="370"/>
      <c r="L8" s="371"/>
    </row>
    <row r="9" spans="1:26" s="28" customFormat="1" ht="28.5" customHeight="1" thickBot="1">
      <c r="A9" s="359"/>
      <c r="B9" s="360"/>
      <c r="C9" s="347"/>
      <c r="D9" s="349"/>
      <c r="E9" s="254" t="s">
        <v>145</v>
      </c>
      <c r="F9" s="252" t="s">
        <v>146</v>
      </c>
      <c r="G9" s="254" t="s">
        <v>145</v>
      </c>
      <c r="H9" s="252" t="s">
        <v>146</v>
      </c>
      <c r="I9" s="254" t="s">
        <v>145</v>
      </c>
      <c r="J9" s="252" t="s">
        <v>146</v>
      </c>
      <c r="K9" s="254" t="s">
        <v>145</v>
      </c>
      <c r="L9" s="252" t="s">
        <v>146</v>
      </c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</row>
    <row r="10" spans="1:26" s="28" customFormat="1" ht="15" customHeight="1" thickBot="1">
      <c r="A10" s="361">
        <v>1</v>
      </c>
      <c r="B10" s="361"/>
      <c r="C10" s="255">
        <v>2</v>
      </c>
      <c r="D10" s="255">
        <v>3</v>
      </c>
      <c r="E10" s="256">
        <v>4</v>
      </c>
      <c r="F10" s="256">
        <v>5</v>
      </c>
      <c r="G10" s="256">
        <v>6</v>
      </c>
      <c r="H10" s="256">
        <v>7</v>
      </c>
      <c r="I10" s="256">
        <v>8</v>
      </c>
      <c r="J10" s="257">
        <v>9</v>
      </c>
      <c r="K10" s="257">
        <v>10</v>
      </c>
      <c r="L10" s="258">
        <v>11</v>
      </c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</row>
    <row r="11" spans="1:26" s="28" customFormat="1" ht="15" customHeight="1">
      <c r="A11" s="117"/>
      <c r="B11" s="115" t="s">
        <v>39</v>
      </c>
      <c r="C11" s="116">
        <v>70.23</v>
      </c>
      <c r="D11" s="116">
        <v>70.23</v>
      </c>
      <c r="E11" s="126">
        <v>321653</v>
      </c>
      <c r="F11" s="300">
        <v>321653</v>
      </c>
      <c r="G11" s="126"/>
      <c r="H11" s="253"/>
      <c r="I11" s="141"/>
      <c r="J11" s="141"/>
      <c r="K11" s="20">
        <f>SUM(E11,G11,I11)</f>
        <v>321653</v>
      </c>
      <c r="L11" s="20">
        <f>SUM(F11,H11,J11)</f>
        <v>321653</v>
      </c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</row>
    <row r="12" spans="1:26" s="28" customFormat="1" ht="15" customHeight="1">
      <c r="A12" s="153"/>
      <c r="B12" s="154" t="s">
        <v>104</v>
      </c>
      <c r="C12" s="155"/>
      <c r="D12" s="155"/>
      <c r="E12" s="156">
        <v>1289028</v>
      </c>
      <c r="F12" s="301">
        <v>1289028</v>
      </c>
      <c r="G12" s="156"/>
      <c r="H12" s="156"/>
      <c r="I12" s="157"/>
      <c r="J12" s="157"/>
      <c r="K12" s="138">
        <f>SUM(E12,G12,I12)</f>
        <v>1289028</v>
      </c>
      <c r="L12" s="138">
        <f>SUM(F12,H12,J12)</f>
        <v>1289028</v>
      </c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</row>
    <row r="13" spans="1:26" s="28" customFormat="1" ht="15" customHeight="1" thickBot="1">
      <c r="A13" s="294"/>
      <c r="B13" s="295" t="s">
        <v>154</v>
      </c>
      <c r="C13" s="296"/>
      <c r="D13" s="296"/>
      <c r="E13" s="297">
        <v>1188</v>
      </c>
      <c r="F13" s="302">
        <v>1188</v>
      </c>
      <c r="G13" s="297"/>
      <c r="H13" s="297"/>
      <c r="I13" s="298"/>
      <c r="J13" s="298"/>
      <c r="K13" s="299"/>
      <c r="L13" s="138">
        <f>SUM(F13,H13,J13)</f>
        <v>1188</v>
      </c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</row>
    <row r="14" spans="1:26" s="28" customFormat="1" ht="15" customHeight="1" thickBot="1">
      <c r="A14" s="41" t="s">
        <v>52</v>
      </c>
      <c r="B14" s="42" t="s">
        <v>23</v>
      </c>
      <c r="C14" s="43"/>
      <c r="D14" s="43"/>
      <c r="E14" s="245">
        <f>SUM(E11:E13)</f>
        <v>1611869</v>
      </c>
      <c r="F14" s="245">
        <f>SUM(F11:F13)</f>
        <v>1611869</v>
      </c>
      <c r="G14" s="44">
        <f>SUM(G11:G12)</f>
        <v>0</v>
      </c>
      <c r="H14" s="44"/>
      <c r="I14" s="44">
        <f>SUM(I11:I12)</f>
        <v>0</v>
      </c>
      <c r="J14" s="44"/>
      <c r="K14" s="144">
        <f>SUM(K11:K12)</f>
        <v>1610681</v>
      </c>
      <c r="L14" s="144">
        <f>SUM(L11:L13)</f>
        <v>1611869</v>
      </c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</row>
    <row r="15" spans="1:26" s="28" customFormat="1" ht="15" customHeight="1">
      <c r="A15" s="46"/>
      <c r="B15" s="47" t="s">
        <v>25</v>
      </c>
      <c r="C15" s="37">
        <v>41.5</v>
      </c>
      <c r="D15" s="37">
        <v>41.9</v>
      </c>
      <c r="E15" s="303">
        <f>120786+62603+1767</f>
        <v>185156</v>
      </c>
      <c r="F15" s="303">
        <f>120786+62603+1767</f>
        <v>185156</v>
      </c>
      <c r="G15" s="127"/>
      <c r="H15" s="127"/>
      <c r="I15" s="39"/>
      <c r="J15" s="39"/>
      <c r="K15" s="143">
        <f aca="true" t="shared" si="0" ref="K15:L18">SUM(E15,G15,I15)</f>
        <v>185156</v>
      </c>
      <c r="L15" s="143">
        <f t="shared" si="0"/>
        <v>185156</v>
      </c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</row>
    <row r="16" spans="1:26" s="28" customFormat="1" ht="15" customHeight="1">
      <c r="A16" s="48"/>
      <c r="B16" s="49" t="s">
        <v>26</v>
      </c>
      <c r="C16" s="50">
        <v>29.5</v>
      </c>
      <c r="D16" s="50">
        <v>29.5</v>
      </c>
      <c r="E16" s="242">
        <f>43365+21682</f>
        <v>65047</v>
      </c>
      <c r="F16" s="242">
        <f>43365+21682</f>
        <v>65047</v>
      </c>
      <c r="G16" s="129"/>
      <c r="H16" s="129"/>
      <c r="I16" s="52"/>
      <c r="J16" s="52"/>
      <c r="K16" s="53">
        <f t="shared" si="0"/>
        <v>65047</v>
      </c>
      <c r="L16" s="53">
        <f t="shared" si="0"/>
        <v>65047</v>
      </c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</row>
    <row r="17" spans="1:26" s="28" customFormat="1" ht="15" customHeight="1">
      <c r="A17" s="48"/>
      <c r="B17" s="118" t="s">
        <v>27</v>
      </c>
      <c r="C17" s="119">
        <v>463</v>
      </c>
      <c r="D17" s="119">
        <v>469</v>
      </c>
      <c r="E17" s="309">
        <f>24946+12881+518</f>
        <v>38345</v>
      </c>
      <c r="F17" s="309">
        <f>24946+12881+518</f>
        <v>38345</v>
      </c>
      <c r="G17" s="130"/>
      <c r="H17" s="130"/>
      <c r="I17" s="120"/>
      <c r="J17" s="120"/>
      <c r="K17" s="53">
        <f t="shared" si="0"/>
        <v>38345</v>
      </c>
      <c r="L17" s="53">
        <f t="shared" si="0"/>
        <v>38345</v>
      </c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</row>
    <row r="18" spans="1:26" s="28" customFormat="1" ht="15" customHeight="1" thickBot="1">
      <c r="A18" s="90"/>
      <c r="B18" s="118" t="s">
        <v>122</v>
      </c>
      <c r="C18" s="119">
        <f>15+5</f>
        <v>20</v>
      </c>
      <c r="D18" s="119">
        <v>19</v>
      </c>
      <c r="E18" s="309">
        <f>6015+7315+334</f>
        <v>13664</v>
      </c>
      <c r="F18" s="309">
        <f>6015+7315+334</f>
        <v>13664</v>
      </c>
      <c r="G18" s="130"/>
      <c r="H18" s="130"/>
      <c r="I18" s="120"/>
      <c r="J18" s="120"/>
      <c r="K18" s="53">
        <f t="shared" si="0"/>
        <v>13664</v>
      </c>
      <c r="L18" s="53">
        <f t="shared" si="0"/>
        <v>13664</v>
      </c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</row>
    <row r="19" spans="1:26" s="28" customFormat="1" ht="15" customHeight="1" thickBot="1">
      <c r="A19" s="41" t="s">
        <v>53</v>
      </c>
      <c r="B19" s="42" t="s">
        <v>40</v>
      </c>
      <c r="C19" s="43"/>
      <c r="D19" s="43"/>
      <c r="E19" s="44">
        <f>SUM(E15:E18)</f>
        <v>302212</v>
      </c>
      <c r="F19" s="245">
        <f>SUM(F15:F18)</f>
        <v>302212</v>
      </c>
      <c r="G19" s="44"/>
      <c r="H19" s="44"/>
      <c r="I19" s="44"/>
      <c r="J19" s="44"/>
      <c r="K19" s="144">
        <f>SUM(K15:K18)</f>
        <v>302212</v>
      </c>
      <c r="L19" s="144">
        <f>SUM(L15:L18)</f>
        <v>302212</v>
      </c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</row>
    <row r="20" spans="1:26" s="28" customFormat="1" ht="15" customHeight="1">
      <c r="A20" s="54"/>
      <c r="B20" s="55" t="s">
        <v>114</v>
      </c>
      <c r="C20" s="50"/>
      <c r="D20" s="50"/>
      <c r="E20" s="242">
        <v>7480</v>
      </c>
      <c r="F20" s="242">
        <v>7480</v>
      </c>
      <c r="G20" s="129"/>
      <c r="H20" s="127"/>
      <c r="I20" s="39"/>
      <c r="J20" s="39"/>
      <c r="K20" s="76">
        <f aca="true" t="shared" si="1" ref="K20:L35">SUM(E20,G20,I20)</f>
        <v>7480</v>
      </c>
      <c r="L20" s="76">
        <f t="shared" si="1"/>
        <v>7480</v>
      </c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</row>
    <row r="21" spans="1:26" s="28" customFormat="1" ht="15" customHeight="1">
      <c r="A21" s="54"/>
      <c r="B21" s="55" t="s">
        <v>115</v>
      </c>
      <c r="C21" s="50"/>
      <c r="D21" s="50"/>
      <c r="E21" s="242">
        <v>7260</v>
      </c>
      <c r="F21" s="242">
        <v>7260</v>
      </c>
      <c r="G21" s="129"/>
      <c r="H21" s="129"/>
      <c r="I21" s="52"/>
      <c r="J21" s="52"/>
      <c r="K21" s="76">
        <f t="shared" si="1"/>
        <v>7260</v>
      </c>
      <c r="L21" s="76">
        <f t="shared" si="1"/>
        <v>7260</v>
      </c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</row>
    <row r="22" spans="1:26" s="28" customFormat="1" ht="15" customHeight="1">
      <c r="A22" s="54"/>
      <c r="B22" s="56" t="s">
        <v>28</v>
      </c>
      <c r="C22" s="50">
        <v>400</v>
      </c>
      <c r="D22" s="50">
        <v>400</v>
      </c>
      <c r="E22" s="242">
        <v>22144</v>
      </c>
      <c r="F22" s="242">
        <v>22144</v>
      </c>
      <c r="G22" s="129"/>
      <c r="H22" s="129"/>
      <c r="I22" s="52"/>
      <c r="J22" s="120"/>
      <c r="K22" s="76">
        <f t="shared" si="1"/>
        <v>22144</v>
      </c>
      <c r="L22" s="76">
        <f t="shared" si="1"/>
        <v>22144</v>
      </c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</row>
    <row r="23" spans="1:26" s="28" customFormat="1" ht="15" customHeight="1">
      <c r="A23" s="57"/>
      <c r="B23" s="49" t="s">
        <v>29</v>
      </c>
      <c r="C23" s="50">
        <f>2+68</f>
        <v>70</v>
      </c>
      <c r="D23" s="50">
        <f>2+68</f>
        <v>70</v>
      </c>
      <c r="E23" s="242">
        <f>50+22440</f>
        <v>22490</v>
      </c>
      <c r="F23" s="242">
        <f>50+22440</f>
        <v>22490</v>
      </c>
      <c r="G23" s="129"/>
      <c r="H23" s="129"/>
      <c r="I23" s="52"/>
      <c r="J23" s="120"/>
      <c r="K23" s="76">
        <f t="shared" si="1"/>
        <v>22490</v>
      </c>
      <c r="L23" s="76">
        <f t="shared" si="1"/>
        <v>22490</v>
      </c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</row>
    <row r="24" spans="1:26" s="28" customFormat="1" ht="15" customHeight="1">
      <c r="A24" s="57"/>
      <c r="B24" s="49" t="s">
        <v>30</v>
      </c>
      <c r="C24" s="50">
        <v>320</v>
      </c>
      <c r="D24" s="50">
        <v>320</v>
      </c>
      <c r="E24" s="242">
        <v>34880</v>
      </c>
      <c r="F24" s="242">
        <v>34880</v>
      </c>
      <c r="G24" s="129"/>
      <c r="H24" s="129"/>
      <c r="I24" s="52"/>
      <c r="J24" s="120"/>
      <c r="K24" s="76">
        <f t="shared" si="1"/>
        <v>34880</v>
      </c>
      <c r="L24" s="76">
        <f t="shared" si="1"/>
        <v>34880</v>
      </c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</row>
    <row r="25" spans="1:26" s="28" customFormat="1" ht="15" customHeight="1">
      <c r="A25" s="57"/>
      <c r="B25" s="49" t="s">
        <v>133</v>
      </c>
      <c r="C25" s="50">
        <v>6.3</v>
      </c>
      <c r="D25" s="50">
        <v>5</v>
      </c>
      <c r="E25" s="242">
        <f>27840-5745</f>
        <v>22095</v>
      </c>
      <c r="F25" s="242">
        <f>27840-5745</f>
        <v>22095</v>
      </c>
      <c r="G25" s="129"/>
      <c r="H25" s="129"/>
      <c r="I25" s="52"/>
      <c r="J25" s="120"/>
      <c r="K25" s="76">
        <f t="shared" si="1"/>
        <v>22095</v>
      </c>
      <c r="L25" s="76">
        <f t="shared" si="1"/>
        <v>22095</v>
      </c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</row>
    <row r="26" spans="1:26" s="28" customFormat="1" ht="15" customHeight="1">
      <c r="A26" s="57"/>
      <c r="B26" s="49" t="s">
        <v>134</v>
      </c>
      <c r="C26" s="50">
        <v>14.5</v>
      </c>
      <c r="D26" s="50">
        <v>14.5</v>
      </c>
      <c r="E26" s="242">
        <v>43399</v>
      </c>
      <c r="F26" s="242">
        <v>43399</v>
      </c>
      <c r="G26" s="129"/>
      <c r="H26" s="129"/>
      <c r="I26" s="52"/>
      <c r="J26" s="120"/>
      <c r="K26" s="76">
        <f t="shared" si="1"/>
        <v>43399</v>
      </c>
      <c r="L26" s="76">
        <f t="shared" si="1"/>
        <v>43399</v>
      </c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</row>
    <row r="27" spans="1:26" s="28" customFormat="1" ht="15" customHeight="1">
      <c r="A27" s="57"/>
      <c r="B27" s="49" t="s">
        <v>163</v>
      </c>
      <c r="C27" s="50"/>
      <c r="D27" s="50"/>
      <c r="E27" s="242"/>
      <c r="F27" s="242">
        <v>48450</v>
      </c>
      <c r="G27" s="129"/>
      <c r="H27" s="129"/>
      <c r="I27" s="52"/>
      <c r="J27" s="120"/>
      <c r="K27" s="76"/>
      <c r="L27" s="76">
        <f t="shared" si="1"/>
        <v>48450</v>
      </c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</row>
    <row r="28" spans="1:26" s="28" customFormat="1" ht="15" customHeight="1">
      <c r="A28" s="57"/>
      <c r="B28" s="135" t="s">
        <v>121</v>
      </c>
      <c r="C28" s="50">
        <v>4</v>
      </c>
      <c r="D28" s="50">
        <v>4</v>
      </c>
      <c r="E28" s="242">
        <v>11392</v>
      </c>
      <c r="F28" s="242">
        <v>11392</v>
      </c>
      <c r="G28" s="129"/>
      <c r="H28" s="129"/>
      <c r="I28" s="52"/>
      <c r="J28" s="120"/>
      <c r="K28" s="76">
        <f t="shared" si="1"/>
        <v>11392</v>
      </c>
      <c r="L28" s="76">
        <f t="shared" si="1"/>
        <v>11392</v>
      </c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</row>
    <row r="29" spans="1:26" s="28" customFormat="1" ht="15" customHeight="1">
      <c r="A29" s="57"/>
      <c r="B29" s="40" t="s">
        <v>31</v>
      </c>
      <c r="C29" s="50"/>
      <c r="D29" s="50"/>
      <c r="E29" s="242">
        <f>9263-141</f>
        <v>9122</v>
      </c>
      <c r="F29" s="242">
        <f>9263-141</f>
        <v>9122</v>
      </c>
      <c r="G29" s="129"/>
      <c r="H29" s="129"/>
      <c r="I29" s="52"/>
      <c r="J29" s="120"/>
      <c r="K29" s="76">
        <f t="shared" si="1"/>
        <v>9122</v>
      </c>
      <c r="L29" s="76">
        <f t="shared" si="1"/>
        <v>9122</v>
      </c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</row>
    <row r="30" spans="1:26" s="28" customFormat="1" ht="15" customHeight="1">
      <c r="A30" s="158"/>
      <c r="B30" s="154" t="s">
        <v>108</v>
      </c>
      <c r="C30" s="155">
        <v>36.65</v>
      </c>
      <c r="D30" s="155">
        <v>34.08</v>
      </c>
      <c r="E30" s="243">
        <f>67735-2983</f>
        <v>64752</v>
      </c>
      <c r="F30" s="243">
        <f>67735-2983</f>
        <v>64752</v>
      </c>
      <c r="G30" s="156"/>
      <c r="H30" s="156"/>
      <c r="I30" s="157"/>
      <c r="J30" s="39"/>
      <c r="K30" s="19">
        <f t="shared" si="1"/>
        <v>64752</v>
      </c>
      <c r="L30" s="19">
        <f t="shared" si="1"/>
        <v>64752</v>
      </c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</row>
    <row r="31" spans="1:26" s="28" customFormat="1" ht="15" customHeight="1">
      <c r="A31" s="158"/>
      <c r="B31" s="154" t="s">
        <v>156</v>
      </c>
      <c r="C31" s="155"/>
      <c r="D31" s="155"/>
      <c r="E31" s="243">
        <v>2981</v>
      </c>
      <c r="F31" s="243">
        <v>2981</v>
      </c>
      <c r="G31" s="156"/>
      <c r="H31" s="156"/>
      <c r="I31" s="157"/>
      <c r="J31" s="52"/>
      <c r="K31" s="33"/>
      <c r="L31" s="33">
        <f t="shared" si="1"/>
        <v>2981</v>
      </c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</row>
    <row r="32" spans="1:26" s="28" customFormat="1" ht="15" customHeight="1">
      <c r="A32" s="57"/>
      <c r="B32" s="239" t="s">
        <v>116</v>
      </c>
      <c r="C32" s="50">
        <v>41</v>
      </c>
      <c r="D32" s="50">
        <v>41</v>
      </c>
      <c r="E32" s="244">
        <f>3400+6150</f>
        <v>9550</v>
      </c>
      <c r="F32" s="244">
        <f>3400+6150</f>
        <v>9550</v>
      </c>
      <c r="G32" s="240"/>
      <c r="H32" s="240"/>
      <c r="I32" s="52"/>
      <c r="J32" s="52"/>
      <c r="K32" s="33">
        <f t="shared" si="1"/>
        <v>9550</v>
      </c>
      <c r="L32" s="33">
        <f t="shared" si="1"/>
        <v>9550</v>
      </c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</row>
    <row r="33" spans="1:26" s="28" customFormat="1" ht="15" customHeight="1">
      <c r="A33" s="58"/>
      <c r="B33" s="270" t="s">
        <v>153</v>
      </c>
      <c r="C33" s="37"/>
      <c r="D33" s="37"/>
      <c r="E33" s="268">
        <f>13005+17686</f>
        <v>30691</v>
      </c>
      <c r="F33" s="268">
        <f>13005+17686+17563</f>
        <v>48254</v>
      </c>
      <c r="G33" s="269"/>
      <c r="H33" s="269"/>
      <c r="I33" s="39"/>
      <c r="J33" s="39"/>
      <c r="K33" s="19"/>
      <c r="L33" s="33">
        <f t="shared" si="1"/>
        <v>48254</v>
      </c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</row>
    <row r="34" spans="1:26" s="28" customFormat="1" ht="15" customHeight="1">
      <c r="A34" s="158"/>
      <c r="B34" s="154" t="s">
        <v>113</v>
      </c>
      <c r="C34" s="155">
        <v>317</v>
      </c>
      <c r="D34" s="155">
        <v>317</v>
      </c>
      <c r="E34" s="243">
        <f>90-2</f>
        <v>88</v>
      </c>
      <c r="F34" s="243">
        <f>90-2</f>
        <v>88</v>
      </c>
      <c r="G34" s="156"/>
      <c r="H34" s="156"/>
      <c r="I34" s="157"/>
      <c r="J34" s="157"/>
      <c r="K34" s="138">
        <f t="shared" si="1"/>
        <v>88</v>
      </c>
      <c r="L34" s="138">
        <f t="shared" si="1"/>
        <v>88</v>
      </c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</row>
    <row r="35" spans="1:26" s="28" customFormat="1" ht="15" customHeight="1" thickBot="1">
      <c r="A35" s="304"/>
      <c r="B35" s="295" t="s">
        <v>155</v>
      </c>
      <c r="C35" s="296"/>
      <c r="D35" s="296"/>
      <c r="E35" s="305">
        <v>6506</v>
      </c>
      <c r="F35" s="305">
        <v>6506</v>
      </c>
      <c r="G35" s="297"/>
      <c r="H35" s="297"/>
      <c r="I35" s="298"/>
      <c r="J35" s="298"/>
      <c r="K35" s="299"/>
      <c r="L35" s="299">
        <f t="shared" si="1"/>
        <v>6506</v>
      </c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</row>
    <row r="36" spans="1:26" s="28" customFormat="1" ht="15" customHeight="1" thickBot="1">
      <c r="A36" s="41" t="s">
        <v>54</v>
      </c>
      <c r="B36" s="134" t="s">
        <v>103</v>
      </c>
      <c r="C36" s="43"/>
      <c r="D36" s="43"/>
      <c r="E36" s="245">
        <f>SUM(E20:E35)</f>
        <v>294830</v>
      </c>
      <c r="F36" s="245">
        <f>SUM(F20:F35)</f>
        <v>360843</v>
      </c>
      <c r="G36" s="44">
        <f>SUM(G20:G34)</f>
        <v>0</v>
      </c>
      <c r="H36" s="44"/>
      <c r="I36" s="44">
        <f>SUM(I20:I34)</f>
        <v>0</v>
      </c>
      <c r="J36" s="44"/>
      <c r="K36" s="144">
        <f>SUM(K20:K34)</f>
        <v>254652</v>
      </c>
      <c r="L36" s="144">
        <f>SUM(L20:L35)</f>
        <v>360843</v>
      </c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</row>
    <row r="37" spans="1:26" s="28" customFormat="1" ht="15" customHeight="1" thickBot="1">
      <c r="A37" s="59" t="s">
        <v>55</v>
      </c>
      <c r="B37" s="60" t="s">
        <v>41</v>
      </c>
      <c r="C37" s="61"/>
      <c r="D37" s="61"/>
      <c r="E37" s="246">
        <v>10524</v>
      </c>
      <c r="F37" s="246">
        <v>10524</v>
      </c>
      <c r="G37" s="131"/>
      <c r="H37" s="253"/>
      <c r="I37" s="141"/>
      <c r="J37" s="39"/>
      <c r="K37" s="19">
        <f>SUM(E37,G37,I37)</f>
        <v>10524</v>
      </c>
      <c r="L37" s="19">
        <f>SUM(F37,H37,J37)</f>
        <v>10524</v>
      </c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</row>
    <row r="38" spans="1:26" s="28" customFormat="1" ht="15" customHeight="1" thickBot="1">
      <c r="A38" s="62"/>
      <c r="B38" s="63" t="s">
        <v>24</v>
      </c>
      <c r="C38" s="43"/>
      <c r="D38" s="43"/>
      <c r="E38" s="44">
        <f>SUM(E19,E36,E37)</f>
        <v>607566</v>
      </c>
      <c r="F38" s="245">
        <f>SUM(F19,F36,F37)</f>
        <v>673579</v>
      </c>
      <c r="G38" s="44"/>
      <c r="H38" s="44"/>
      <c r="I38" s="44"/>
      <c r="J38" s="44"/>
      <c r="K38" s="144">
        <f>SUM(K19,K36,K37)</f>
        <v>567388</v>
      </c>
      <c r="L38" s="144">
        <f>SUM(L19,L36,L37)</f>
        <v>673579</v>
      </c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</row>
    <row r="39" spans="1:26" s="28" customFormat="1" ht="15" customHeight="1" thickBot="1">
      <c r="A39" s="264"/>
      <c r="B39" s="265" t="s">
        <v>151</v>
      </c>
      <c r="C39" s="43"/>
      <c r="D39" s="43"/>
      <c r="E39" s="245">
        <f>5002+3153</f>
        <v>8155</v>
      </c>
      <c r="F39" s="245">
        <f>5002+3153+3073</f>
        <v>11228</v>
      </c>
      <c r="G39" s="44"/>
      <c r="H39" s="44"/>
      <c r="I39" s="44"/>
      <c r="J39" s="44"/>
      <c r="K39" s="144"/>
      <c r="L39" s="144">
        <f>SUM(F39)</f>
        <v>11228</v>
      </c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</row>
    <row r="40" spans="1:26" s="28" customFormat="1" ht="15" customHeight="1" thickBot="1">
      <c r="A40" s="266" t="s">
        <v>150</v>
      </c>
      <c r="B40" s="267" t="s">
        <v>149</v>
      </c>
      <c r="C40" s="43"/>
      <c r="D40" s="43"/>
      <c r="E40" s="245">
        <f>SUM(E39)</f>
        <v>8155</v>
      </c>
      <c r="F40" s="245">
        <f>SUM(F39)</f>
        <v>11228</v>
      </c>
      <c r="G40" s="44"/>
      <c r="H40" s="44"/>
      <c r="I40" s="44"/>
      <c r="J40" s="44"/>
      <c r="K40" s="144"/>
      <c r="L40" s="144">
        <f>SUM(L39)</f>
        <v>11228</v>
      </c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</row>
    <row r="41" spans="1:26" s="28" customFormat="1" ht="15" customHeight="1" thickBot="1">
      <c r="A41" s="41" t="s">
        <v>2</v>
      </c>
      <c r="B41" s="64" t="s">
        <v>152</v>
      </c>
      <c r="C41" s="43"/>
      <c r="D41" s="43"/>
      <c r="E41" s="44">
        <f aca="true" t="shared" si="2" ref="E41:L41">SUM(E14,E38,E40)</f>
        <v>2227590</v>
      </c>
      <c r="F41" s="245">
        <f t="shared" si="2"/>
        <v>2296676</v>
      </c>
      <c r="G41" s="44">
        <f t="shared" si="2"/>
        <v>0</v>
      </c>
      <c r="H41" s="44">
        <f t="shared" si="2"/>
        <v>0</v>
      </c>
      <c r="I41" s="44">
        <f t="shared" si="2"/>
        <v>0</v>
      </c>
      <c r="J41" s="44">
        <f t="shared" si="2"/>
        <v>0</v>
      </c>
      <c r="K41" s="44">
        <f t="shared" si="2"/>
        <v>2178069</v>
      </c>
      <c r="L41" s="144">
        <f t="shared" si="2"/>
        <v>2296676</v>
      </c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</row>
    <row r="42" spans="1:26" s="28" customFormat="1" ht="15" customHeight="1" thickBot="1">
      <c r="A42" s="35" t="s">
        <v>3</v>
      </c>
      <c r="B42" s="65" t="s">
        <v>43</v>
      </c>
      <c r="C42" s="35"/>
      <c r="D42" s="35"/>
      <c r="E42" s="44"/>
      <c r="F42" s="245"/>
      <c r="G42" s="128"/>
      <c r="H42" s="128"/>
      <c r="I42" s="45"/>
      <c r="J42" s="45"/>
      <c r="K42" s="32"/>
      <c r="L42" s="32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</row>
    <row r="43" spans="1:26" s="28" customFormat="1" ht="16.5" customHeight="1">
      <c r="A43" s="66" t="s">
        <v>48</v>
      </c>
      <c r="B43" s="67" t="s">
        <v>44</v>
      </c>
      <c r="C43" s="68"/>
      <c r="D43" s="68"/>
      <c r="E43" s="38"/>
      <c r="F43" s="303"/>
      <c r="G43" s="127"/>
      <c r="H43" s="127"/>
      <c r="I43" s="39"/>
      <c r="J43" s="39"/>
      <c r="K43" s="76"/>
      <c r="L43" s="76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</row>
    <row r="44" spans="1:26" s="28" customFormat="1" ht="15" customHeight="1">
      <c r="A44" s="69"/>
      <c r="B44" s="70" t="s">
        <v>117</v>
      </c>
      <c r="C44" s="71"/>
      <c r="D44" s="71"/>
      <c r="E44" s="51"/>
      <c r="F44" s="242"/>
      <c r="G44" s="129"/>
      <c r="H44" s="129"/>
      <c r="I44" s="53">
        <v>1955</v>
      </c>
      <c r="J44" s="53">
        <v>1955</v>
      </c>
      <c r="K44" s="33">
        <f aca="true" t="shared" si="3" ref="K44:L52">SUM(E44,G44,I44)</f>
        <v>1955</v>
      </c>
      <c r="L44" s="33">
        <f t="shared" si="3"/>
        <v>1955</v>
      </c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</row>
    <row r="45" spans="1:26" s="28" customFormat="1" ht="15" customHeight="1">
      <c r="A45" s="69"/>
      <c r="B45" s="70" t="s">
        <v>164</v>
      </c>
      <c r="C45" s="71"/>
      <c r="D45" s="71"/>
      <c r="E45" s="51"/>
      <c r="F45" s="242"/>
      <c r="G45" s="129"/>
      <c r="H45" s="129">
        <v>6886</v>
      </c>
      <c r="I45" s="53"/>
      <c r="J45" s="53"/>
      <c r="K45" s="33"/>
      <c r="L45" s="33">
        <f t="shared" si="3"/>
        <v>6886</v>
      </c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</row>
    <row r="46" spans="1:26" s="28" customFormat="1" ht="15" customHeight="1">
      <c r="A46" s="69"/>
      <c r="B46" s="70" t="s">
        <v>165</v>
      </c>
      <c r="C46" s="71"/>
      <c r="D46" s="71"/>
      <c r="E46" s="51"/>
      <c r="F46" s="242"/>
      <c r="G46" s="129"/>
      <c r="H46" s="129">
        <v>694</v>
      </c>
      <c r="I46" s="53"/>
      <c r="J46" s="53"/>
      <c r="K46" s="33"/>
      <c r="L46" s="33">
        <f t="shared" si="3"/>
        <v>694</v>
      </c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</row>
    <row r="47" spans="1:26" s="28" customFormat="1" ht="21.75" customHeight="1">
      <c r="A47" s="69" t="s">
        <v>49</v>
      </c>
      <c r="B47" s="70" t="s">
        <v>45</v>
      </c>
      <c r="C47" s="71"/>
      <c r="D47" s="71"/>
      <c r="E47" s="51"/>
      <c r="F47" s="242"/>
      <c r="G47" s="51">
        <f>978730+24977</f>
        <v>1003707</v>
      </c>
      <c r="H47" s="51">
        <f>978730+24977+7792-10200</f>
        <v>1001299</v>
      </c>
      <c r="I47" s="52"/>
      <c r="J47" s="52"/>
      <c r="K47" s="33">
        <f t="shared" si="3"/>
        <v>1003707</v>
      </c>
      <c r="L47" s="33">
        <f t="shared" si="3"/>
        <v>1001299</v>
      </c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</row>
    <row r="48" spans="1:26" s="28" customFormat="1" ht="15" customHeight="1">
      <c r="A48" s="69" t="s">
        <v>50</v>
      </c>
      <c r="B48" s="70" t="s">
        <v>105</v>
      </c>
      <c r="C48" s="71"/>
      <c r="D48" s="71"/>
      <c r="E48" s="51"/>
      <c r="F48" s="242"/>
      <c r="G48" s="51"/>
      <c r="H48" s="51"/>
      <c r="I48" s="52"/>
      <c r="J48" s="52"/>
      <c r="K48" s="33">
        <f t="shared" si="3"/>
        <v>0</v>
      </c>
      <c r="L48" s="33">
        <f t="shared" si="3"/>
        <v>0</v>
      </c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</row>
    <row r="49" spans="1:12" ht="27" customHeight="1">
      <c r="A49" s="69" t="s">
        <v>106</v>
      </c>
      <c r="B49" s="70" t="s">
        <v>46</v>
      </c>
      <c r="C49" s="72"/>
      <c r="D49" s="72"/>
      <c r="E49" s="73"/>
      <c r="F49" s="310"/>
      <c r="G49" s="31"/>
      <c r="H49" s="31"/>
      <c r="I49" s="33"/>
      <c r="J49" s="33"/>
      <c r="K49" s="33">
        <f t="shared" si="3"/>
        <v>0</v>
      </c>
      <c r="L49" s="33">
        <f t="shared" si="3"/>
        <v>0</v>
      </c>
    </row>
    <row r="50" spans="1:12" ht="15" customHeight="1">
      <c r="A50" s="314"/>
      <c r="B50" s="74" t="s">
        <v>47</v>
      </c>
      <c r="C50" s="75"/>
      <c r="D50" s="75"/>
      <c r="E50" s="311">
        <f>700000-500000+123852</f>
        <v>323852</v>
      </c>
      <c r="F50" s="311">
        <f>700000-500000+123852+90242</f>
        <v>414094</v>
      </c>
      <c r="G50" s="76"/>
      <c r="H50" s="76"/>
      <c r="I50" s="76"/>
      <c r="J50" s="76"/>
      <c r="K50" s="33">
        <f t="shared" si="3"/>
        <v>323852</v>
      </c>
      <c r="L50" s="33">
        <f t="shared" si="3"/>
        <v>414094</v>
      </c>
    </row>
    <row r="51" spans="1:12" ht="15" customHeight="1">
      <c r="A51" s="319"/>
      <c r="B51" s="67" t="s">
        <v>157</v>
      </c>
      <c r="C51" s="159"/>
      <c r="D51" s="159"/>
      <c r="E51" s="312">
        <v>38</v>
      </c>
      <c r="F51" s="312">
        <f>38+65</f>
        <v>103</v>
      </c>
      <c r="G51" s="19"/>
      <c r="H51" s="19"/>
      <c r="I51" s="19"/>
      <c r="J51" s="19"/>
      <c r="K51" s="138">
        <f t="shared" si="3"/>
        <v>38</v>
      </c>
      <c r="L51" s="138">
        <f t="shared" si="3"/>
        <v>103</v>
      </c>
    </row>
    <row r="52" spans="1:12" ht="15" customHeight="1" thickBot="1">
      <c r="A52" s="315"/>
      <c r="B52" s="316" t="s">
        <v>158</v>
      </c>
      <c r="C52" s="317"/>
      <c r="D52" s="317"/>
      <c r="E52" s="318">
        <v>2222</v>
      </c>
      <c r="F52" s="318">
        <v>2222</v>
      </c>
      <c r="G52" s="299"/>
      <c r="H52" s="299"/>
      <c r="I52" s="299"/>
      <c r="J52" s="299"/>
      <c r="K52" s="299"/>
      <c r="L52" s="138">
        <f t="shared" si="3"/>
        <v>2222</v>
      </c>
    </row>
    <row r="53" spans="1:12" ht="24.75" thickBot="1">
      <c r="A53" s="30" t="s">
        <v>4</v>
      </c>
      <c r="B53" s="24" t="s">
        <v>51</v>
      </c>
      <c r="C53" s="24"/>
      <c r="D53" s="24"/>
      <c r="E53" s="313">
        <f>SUM(E43:E52)</f>
        <v>326112</v>
      </c>
      <c r="F53" s="313">
        <f>SUM(F43:F52)</f>
        <v>416419</v>
      </c>
      <c r="G53" s="77">
        <f>SUM(G43:G51)</f>
        <v>1003707</v>
      </c>
      <c r="H53" s="77">
        <f>SUM(H43:H51)</f>
        <v>1008879</v>
      </c>
      <c r="I53" s="77">
        <f>SUM(I43:I51)</f>
        <v>1955</v>
      </c>
      <c r="J53" s="77">
        <f>SUM(J43:J51)</f>
        <v>1955</v>
      </c>
      <c r="K53" s="77">
        <f>SUM(K43:K51)</f>
        <v>1329552</v>
      </c>
      <c r="L53" s="77">
        <f>SUM(L43:L52)</f>
        <v>1427253</v>
      </c>
    </row>
    <row r="54" spans="1:12" ht="13.5" thickBot="1">
      <c r="A54" s="34" t="s">
        <v>5</v>
      </c>
      <c r="B54" s="78" t="s">
        <v>56</v>
      </c>
      <c r="C54" s="142"/>
      <c r="D54" s="142"/>
      <c r="E54" s="17">
        <f aca="true" t="shared" si="4" ref="E54:J54">SUM(E41,E42,E53)</f>
        <v>2553702</v>
      </c>
      <c r="F54" s="220">
        <f t="shared" si="4"/>
        <v>2713095</v>
      </c>
      <c r="G54" s="17">
        <f t="shared" si="4"/>
        <v>1003707</v>
      </c>
      <c r="H54" s="17">
        <f t="shared" si="4"/>
        <v>1008879</v>
      </c>
      <c r="I54" s="17">
        <f t="shared" si="4"/>
        <v>1955</v>
      </c>
      <c r="J54" s="17">
        <f t="shared" si="4"/>
        <v>1955</v>
      </c>
      <c r="K54" s="144">
        <f>SUM(E54,G54,I54)</f>
        <v>3559364</v>
      </c>
      <c r="L54" s="144">
        <f>SUM(F54,H54,J54)</f>
        <v>3723929</v>
      </c>
    </row>
  </sheetData>
  <sheetProtection/>
  <mergeCells count="11">
    <mergeCell ref="K7:L8"/>
    <mergeCell ref="C8:D9"/>
    <mergeCell ref="E8:F8"/>
    <mergeCell ref="A7:B9"/>
    <mergeCell ref="A10:B10"/>
    <mergeCell ref="G1:L1"/>
    <mergeCell ref="I6:L6"/>
    <mergeCell ref="A3:L3"/>
    <mergeCell ref="C7:F7"/>
    <mergeCell ref="G7:H8"/>
    <mergeCell ref="I7:J8"/>
  </mergeCells>
  <printOptions/>
  <pageMargins left="0.07874015748031496" right="0.15748031496062992" top="1.062992125984252" bottom="0.2755905511811024" header="0.6299212598425197" footer="0.275590551181102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3.625" style="11" customWidth="1"/>
    <col min="2" max="2" width="3.00390625" style="0" customWidth="1"/>
    <col min="3" max="3" width="33.00390625" style="0" customWidth="1"/>
    <col min="4" max="5" width="9.75390625" style="12" customWidth="1"/>
    <col min="6" max="11" width="9.75390625" style="0" customWidth="1"/>
  </cols>
  <sheetData>
    <row r="1" spans="1:10" ht="25.5" customHeight="1">
      <c r="A1" s="372"/>
      <c r="B1" s="372"/>
      <c r="C1" s="372"/>
      <c r="D1" s="4"/>
      <c r="E1" s="4"/>
      <c r="F1" s="374" t="s">
        <v>126</v>
      </c>
      <c r="G1" s="374"/>
      <c r="H1" s="375"/>
      <c r="I1" s="375"/>
      <c r="J1" s="375"/>
    </row>
    <row r="2" spans="1:9" ht="25.5" customHeight="1">
      <c r="A2" s="4"/>
      <c r="B2" s="4"/>
      <c r="C2" s="4"/>
      <c r="D2" s="4"/>
      <c r="E2" s="4"/>
      <c r="F2" s="21"/>
      <c r="G2" s="21"/>
      <c r="H2" s="21"/>
      <c r="I2" s="21"/>
    </row>
    <row r="3" spans="1:11" ht="33" customHeight="1">
      <c r="A3" s="386" t="s">
        <v>135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7" ht="25.5" customHeight="1">
      <c r="A4" s="4"/>
      <c r="B4" s="4"/>
      <c r="C4" s="4"/>
      <c r="D4" s="5"/>
      <c r="E4" s="5"/>
      <c r="F4" s="4"/>
      <c r="G4" s="4"/>
    </row>
    <row r="5" spans="1:9" ht="17.25" customHeight="1" thickBot="1">
      <c r="A5" s="4"/>
      <c r="B5" s="4"/>
      <c r="C5" s="4"/>
      <c r="D5" s="5"/>
      <c r="E5" s="5"/>
      <c r="F5" s="4"/>
      <c r="G5" s="4"/>
      <c r="H5" s="238"/>
      <c r="I5" s="286"/>
    </row>
    <row r="6" spans="1:11" ht="75" customHeight="1" thickBot="1">
      <c r="A6" s="355" t="s">
        <v>1</v>
      </c>
      <c r="B6" s="373"/>
      <c r="C6" s="356"/>
      <c r="D6" s="384" t="s">
        <v>18</v>
      </c>
      <c r="E6" s="385"/>
      <c r="F6" s="384" t="s">
        <v>109</v>
      </c>
      <c r="G6" s="385"/>
      <c r="H6" s="380" t="s">
        <v>110</v>
      </c>
      <c r="I6" s="381"/>
      <c r="J6" s="378" t="s">
        <v>19</v>
      </c>
      <c r="K6" s="379"/>
    </row>
    <row r="7" spans="1:12" ht="13.5" customHeight="1" thickBot="1">
      <c r="A7" s="394">
        <v>1</v>
      </c>
      <c r="B7" s="395"/>
      <c r="C7" s="396"/>
      <c r="D7" s="36">
        <v>2</v>
      </c>
      <c r="E7" s="36">
        <v>3</v>
      </c>
      <c r="F7" s="36">
        <v>4</v>
      </c>
      <c r="G7" s="36">
        <v>5</v>
      </c>
      <c r="H7" s="36">
        <v>6</v>
      </c>
      <c r="I7" s="36">
        <v>7</v>
      </c>
      <c r="J7" s="285">
        <v>8</v>
      </c>
      <c r="K7" s="287">
        <v>9</v>
      </c>
      <c r="L7" s="12"/>
    </row>
    <row r="8" spans="1:12" ht="12.75">
      <c r="A8" s="79"/>
      <c r="B8" s="397" t="s">
        <v>8</v>
      </c>
      <c r="C8" s="398"/>
      <c r="D8" s="80">
        <v>2500000</v>
      </c>
      <c r="E8" s="80">
        <f>2500000+116855</f>
        <v>2616855</v>
      </c>
      <c r="F8" s="80"/>
      <c r="G8" s="145"/>
      <c r="H8" s="145"/>
      <c r="I8" s="145"/>
      <c r="J8" s="145">
        <f aca="true" t="shared" si="0" ref="J8:K11">SUM(D8)</f>
        <v>2500000</v>
      </c>
      <c r="K8" s="145">
        <f t="shared" si="0"/>
        <v>2616855</v>
      </c>
      <c r="L8" s="12"/>
    </row>
    <row r="9" spans="1:12" ht="12.75">
      <c r="A9" s="82"/>
      <c r="B9" s="382" t="s">
        <v>9</v>
      </c>
      <c r="C9" s="383"/>
      <c r="D9" s="96">
        <f>1671206-2539</f>
        <v>1668667</v>
      </c>
      <c r="E9" s="96">
        <f>1671206-2539</f>
        <v>1668667</v>
      </c>
      <c r="F9" s="81"/>
      <c r="G9" s="81"/>
      <c r="H9" s="81"/>
      <c r="I9" s="81"/>
      <c r="J9" s="81">
        <f t="shared" si="0"/>
        <v>1668667</v>
      </c>
      <c r="K9" s="81">
        <f t="shared" si="0"/>
        <v>1668667</v>
      </c>
      <c r="L9" s="12"/>
    </row>
    <row r="10" spans="1:12" ht="12.75">
      <c r="A10" s="83"/>
      <c r="B10" s="383" t="s">
        <v>11</v>
      </c>
      <c r="C10" s="389"/>
      <c r="D10" s="81">
        <v>128000</v>
      </c>
      <c r="E10" s="81">
        <v>128000</v>
      </c>
      <c r="F10" s="81"/>
      <c r="G10" s="81"/>
      <c r="H10" s="81"/>
      <c r="I10" s="81"/>
      <c r="J10" s="81">
        <f t="shared" si="0"/>
        <v>128000</v>
      </c>
      <c r="K10" s="81">
        <f t="shared" si="0"/>
        <v>128000</v>
      </c>
      <c r="L10" s="12"/>
    </row>
    <row r="11" spans="1:12" ht="13.5" thickBot="1">
      <c r="A11" s="164"/>
      <c r="B11" s="383" t="s">
        <v>17</v>
      </c>
      <c r="C11" s="392"/>
      <c r="D11" s="81">
        <f>1280000+250000</f>
        <v>1530000</v>
      </c>
      <c r="E11" s="81">
        <f>1280000+250000+402170</f>
        <v>1932170</v>
      </c>
      <c r="F11" s="81"/>
      <c r="G11" s="81"/>
      <c r="H11" s="81"/>
      <c r="I11" s="81"/>
      <c r="J11" s="81">
        <f t="shared" si="0"/>
        <v>1530000</v>
      </c>
      <c r="K11" s="81">
        <f t="shared" si="0"/>
        <v>1932170</v>
      </c>
      <c r="L11" s="12"/>
    </row>
    <row r="12" spans="1:12" s="6" customFormat="1" ht="13.5" thickBot="1">
      <c r="A12" s="41" t="s">
        <v>2</v>
      </c>
      <c r="B12" s="376" t="s">
        <v>10</v>
      </c>
      <c r="C12" s="377"/>
      <c r="D12" s="84">
        <f>SUM(D8:D11)</f>
        <v>5826667</v>
      </c>
      <c r="E12" s="84">
        <f>SUM(E8:E11)</f>
        <v>6345692</v>
      </c>
      <c r="F12" s="84"/>
      <c r="G12" s="84"/>
      <c r="H12" s="84"/>
      <c r="I12" s="84"/>
      <c r="J12" s="84">
        <f>SUM(J8:J11)</f>
        <v>5826667</v>
      </c>
      <c r="K12" s="84">
        <f>SUM(K8:K11)</f>
        <v>6345692</v>
      </c>
      <c r="L12" s="123"/>
    </row>
    <row r="13" spans="1:12" s="6" customFormat="1" ht="12.75">
      <c r="A13" s="85"/>
      <c r="B13" s="390" t="s">
        <v>57</v>
      </c>
      <c r="C13" s="391"/>
      <c r="D13" s="86">
        <v>1000</v>
      </c>
      <c r="E13" s="86">
        <v>1000</v>
      </c>
      <c r="F13" s="87"/>
      <c r="G13" s="146"/>
      <c r="H13" s="146"/>
      <c r="I13" s="146"/>
      <c r="J13" s="124">
        <f aca="true" t="shared" si="1" ref="J13:K18">SUM(D13)</f>
        <v>1000</v>
      </c>
      <c r="K13" s="124">
        <f t="shared" si="1"/>
        <v>1000</v>
      </c>
      <c r="L13" s="123"/>
    </row>
    <row r="14" spans="1:12" s="6" customFormat="1" ht="12.75">
      <c r="A14" s="48"/>
      <c r="B14" s="387" t="s">
        <v>58</v>
      </c>
      <c r="C14" s="388"/>
      <c r="D14" s="88"/>
      <c r="E14" s="88"/>
      <c r="F14" s="89"/>
      <c r="G14" s="89"/>
      <c r="H14" s="89"/>
      <c r="I14" s="89"/>
      <c r="J14" s="125">
        <f t="shared" si="1"/>
        <v>0</v>
      </c>
      <c r="K14" s="125">
        <f t="shared" si="1"/>
        <v>0</v>
      </c>
      <c r="L14" s="123"/>
    </row>
    <row r="15" spans="1:12" s="6" customFormat="1" ht="12.75">
      <c r="A15" s="90"/>
      <c r="B15" s="387" t="s">
        <v>59</v>
      </c>
      <c r="C15" s="388"/>
      <c r="D15" s="91"/>
      <c r="E15" s="91"/>
      <c r="F15" s="92"/>
      <c r="G15" s="92"/>
      <c r="H15" s="92"/>
      <c r="I15" s="92"/>
      <c r="J15" s="125">
        <f t="shared" si="1"/>
        <v>0</v>
      </c>
      <c r="K15" s="125">
        <f t="shared" si="1"/>
        <v>0</v>
      </c>
      <c r="L15" s="123"/>
    </row>
    <row r="16" spans="1:12" s="6" customFormat="1" ht="12.75">
      <c r="A16" s="90"/>
      <c r="B16" s="387" t="s">
        <v>112</v>
      </c>
      <c r="C16" s="388"/>
      <c r="D16" s="91">
        <v>105000</v>
      </c>
      <c r="E16" s="91">
        <f>105000+43881</f>
        <v>148881</v>
      </c>
      <c r="F16" s="92"/>
      <c r="G16" s="92"/>
      <c r="H16" s="92"/>
      <c r="I16" s="92"/>
      <c r="J16" s="125">
        <f t="shared" si="1"/>
        <v>105000</v>
      </c>
      <c r="K16" s="125">
        <f t="shared" si="1"/>
        <v>148881</v>
      </c>
      <c r="L16" s="123"/>
    </row>
    <row r="17" spans="1:12" s="6" customFormat="1" ht="12.75">
      <c r="A17" s="90"/>
      <c r="B17" s="387" t="s">
        <v>60</v>
      </c>
      <c r="C17" s="388"/>
      <c r="D17" s="91">
        <f>5000+18800+2591</f>
        <v>26391</v>
      </c>
      <c r="E17" s="91">
        <f>5000+18800+2591+17143</f>
        <v>43534</v>
      </c>
      <c r="F17" s="92"/>
      <c r="G17" s="92"/>
      <c r="H17" s="92"/>
      <c r="I17" s="92"/>
      <c r="J17" s="125">
        <f t="shared" si="1"/>
        <v>26391</v>
      </c>
      <c r="K17" s="125">
        <f t="shared" si="1"/>
        <v>43534</v>
      </c>
      <c r="L17" s="123"/>
    </row>
    <row r="18" spans="1:12" s="6" customFormat="1" ht="13.5" thickBot="1">
      <c r="A18" s="90"/>
      <c r="B18" s="387" t="s">
        <v>61</v>
      </c>
      <c r="C18" s="388"/>
      <c r="D18" s="91"/>
      <c r="E18" s="91"/>
      <c r="F18" s="92"/>
      <c r="G18" s="146"/>
      <c r="H18" s="146"/>
      <c r="I18" s="146"/>
      <c r="J18" s="125">
        <f t="shared" si="1"/>
        <v>0</v>
      </c>
      <c r="K18" s="125">
        <f t="shared" si="1"/>
        <v>0</v>
      </c>
      <c r="L18" s="123"/>
    </row>
    <row r="19" spans="1:12" ht="13.5" thickBot="1">
      <c r="A19" s="41" t="s">
        <v>3</v>
      </c>
      <c r="B19" s="376" t="s">
        <v>62</v>
      </c>
      <c r="C19" s="377"/>
      <c r="D19" s="84">
        <f>SUM(D13:D18)</f>
        <v>132391</v>
      </c>
      <c r="E19" s="84">
        <f>SUM(E13:E18)</f>
        <v>193415</v>
      </c>
      <c r="F19" s="84"/>
      <c r="G19" s="84"/>
      <c r="H19" s="84"/>
      <c r="I19" s="84"/>
      <c r="J19" s="84">
        <f>SUM(J13:J18)</f>
        <v>132391</v>
      </c>
      <c r="K19" s="84">
        <f>SUM(K13:K18)</f>
        <v>193415</v>
      </c>
      <c r="L19" s="12"/>
    </row>
    <row r="20" spans="1:12" ht="22.5" customHeight="1" thickBot="1">
      <c r="A20" s="41" t="s">
        <v>6</v>
      </c>
      <c r="B20" s="377" t="s">
        <v>63</v>
      </c>
      <c r="C20" s="393"/>
      <c r="D20" s="93">
        <f>SUM(D12,D19)</f>
        <v>5959058</v>
      </c>
      <c r="E20" s="93">
        <f>SUM(E12,E19)</f>
        <v>6539107</v>
      </c>
      <c r="F20" s="93"/>
      <c r="G20" s="93"/>
      <c r="H20" s="93"/>
      <c r="I20" s="93"/>
      <c r="J20" s="93">
        <f>SUM(J12,J19)</f>
        <v>5959058</v>
      </c>
      <c r="K20" s="93">
        <f>SUM(K12,K19)</f>
        <v>6539107</v>
      </c>
      <c r="L20" s="12"/>
    </row>
    <row r="21" spans="1:12" ht="12.75">
      <c r="A21" s="7"/>
      <c r="B21" s="8"/>
      <c r="C21" s="8"/>
      <c r="D21" s="9"/>
      <c r="E21" s="9"/>
      <c r="F21" s="10"/>
      <c r="G21" s="10"/>
      <c r="J21" s="12"/>
      <c r="K21" s="12"/>
      <c r="L21" s="12"/>
    </row>
    <row r="22" spans="10:12" ht="12.75">
      <c r="J22" s="12"/>
      <c r="K22" s="12"/>
      <c r="L22" s="12"/>
    </row>
    <row r="23" spans="10:12" ht="12.75">
      <c r="J23" s="12"/>
      <c r="K23" s="12"/>
      <c r="L23" s="12"/>
    </row>
    <row r="24" spans="10:12" ht="12.75">
      <c r="J24" s="12"/>
      <c r="K24" s="12"/>
      <c r="L24" s="12"/>
    </row>
    <row r="25" spans="10:12" ht="12.75">
      <c r="J25" s="12"/>
      <c r="K25" s="12"/>
      <c r="L25" s="12"/>
    </row>
    <row r="26" spans="10:12" ht="12.75">
      <c r="J26" s="12"/>
      <c r="K26" s="12"/>
      <c r="L26" s="12"/>
    </row>
    <row r="27" spans="10:12" ht="12.75">
      <c r="J27" s="12"/>
      <c r="K27" s="12"/>
      <c r="L27" s="12"/>
    </row>
  </sheetData>
  <sheetProtection/>
  <mergeCells count="22">
    <mergeCell ref="B20:C20"/>
    <mergeCell ref="B18:C18"/>
    <mergeCell ref="A7:C7"/>
    <mergeCell ref="B17:C17"/>
    <mergeCell ref="B8:C8"/>
    <mergeCell ref="B19:C19"/>
    <mergeCell ref="D6:E6"/>
    <mergeCell ref="F6:G6"/>
    <mergeCell ref="A3:K3"/>
    <mergeCell ref="B14:C14"/>
    <mergeCell ref="B10:C10"/>
    <mergeCell ref="B13:C13"/>
    <mergeCell ref="B16:C16"/>
    <mergeCell ref="B15:C15"/>
    <mergeCell ref="B11:C11"/>
    <mergeCell ref="A1:C1"/>
    <mergeCell ref="A6:C6"/>
    <mergeCell ref="F1:J1"/>
    <mergeCell ref="B12:C12"/>
    <mergeCell ref="J6:K6"/>
    <mergeCell ref="H6:I6"/>
    <mergeCell ref="B9:C9"/>
  </mergeCells>
  <printOptions/>
  <pageMargins left="0.4724409448818898" right="0.15748031496062992" top="1.062992125984252" bottom="0.2755905511811024" header="0.6299212598425197" footer="0.2755905511811024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.625" style="11" customWidth="1"/>
    <col min="2" max="2" width="4.375" style="0" customWidth="1"/>
    <col min="3" max="3" width="25.75390625" style="0" customWidth="1"/>
    <col min="4" max="5" width="9.25390625" style="12" customWidth="1"/>
    <col min="6" max="11" width="9.25390625" style="0" customWidth="1"/>
  </cols>
  <sheetData>
    <row r="2" spans="1:11" ht="25.5" customHeight="1">
      <c r="A2" s="372"/>
      <c r="B2" s="372"/>
      <c r="C2" s="372"/>
      <c r="D2" s="4"/>
      <c r="E2" s="4"/>
      <c r="F2" s="374" t="s">
        <v>127</v>
      </c>
      <c r="G2" s="374"/>
      <c r="H2" s="374"/>
      <c r="I2" s="374"/>
      <c r="J2" s="374"/>
      <c r="K2" s="374"/>
    </row>
    <row r="3" spans="1:9" ht="25.5" customHeight="1">
      <c r="A3" s="4"/>
      <c r="B3" s="4"/>
      <c r="C3" s="4"/>
      <c r="D3" s="4"/>
      <c r="E3" s="4"/>
      <c r="F3" s="21"/>
      <c r="G3" s="21"/>
      <c r="H3" s="21"/>
      <c r="I3" s="21"/>
    </row>
    <row r="4" spans="1:11" ht="33" customHeight="1">
      <c r="A4" s="386" t="s">
        <v>136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</row>
    <row r="5" spans="1:7" ht="25.5" customHeight="1">
      <c r="A5" s="4"/>
      <c r="B5" s="4"/>
      <c r="C5" s="4"/>
      <c r="D5" s="5"/>
      <c r="E5" s="5"/>
      <c r="F5" s="4"/>
      <c r="G5" s="4"/>
    </row>
    <row r="6" spans="1:11" ht="17.25" customHeight="1" thickBot="1">
      <c r="A6" s="4"/>
      <c r="B6" s="4"/>
      <c r="C6" s="4"/>
      <c r="D6" s="5"/>
      <c r="E6" s="5"/>
      <c r="F6" s="4"/>
      <c r="G6" s="4"/>
      <c r="H6" s="418" t="s">
        <v>0</v>
      </c>
      <c r="I6" s="418"/>
      <c r="J6" s="418"/>
      <c r="K6" s="418"/>
    </row>
    <row r="7" spans="1:11" ht="63" customHeight="1" thickBot="1">
      <c r="A7" s="401" t="s">
        <v>1</v>
      </c>
      <c r="B7" s="402"/>
      <c r="C7" s="403"/>
      <c r="D7" s="407" t="s">
        <v>18</v>
      </c>
      <c r="E7" s="408"/>
      <c r="F7" s="407" t="s">
        <v>109</v>
      </c>
      <c r="G7" s="408"/>
      <c r="H7" s="419" t="s">
        <v>110</v>
      </c>
      <c r="I7" s="420"/>
      <c r="J7" s="416" t="s">
        <v>19</v>
      </c>
      <c r="K7" s="417"/>
    </row>
    <row r="8" spans="1:11" ht="27" customHeight="1" thickBot="1">
      <c r="A8" s="404"/>
      <c r="B8" s="405"/>
      <c r="C8" s="406"/>
      <c r="D8" s="259" t="s">
        <v>145</v>
      </c>
      <c r="E8" s="260" t="s">
        <v>148</v>
      </c>
      <c r="F8" s="259" t="s">
        <v>145</v>
      </c>
      <c r="G8" s="260" t="s">
        <v>148</v>
      </c>
      <c r="H8" s="259" t="s">
        <v>145</v>
      </c>
      <c r="I8" s="260" t="s">
        <v>148</v>
      </c>
      <c r="J8" s="259" t="s">
        <v>145</v>
      </c>
      <c r="K8" s="260" t="s">
        <v>148</v>
      </c>
    </row>
    <row r="9" spans="1:11" s="22" customFormat="1" ht="13.5" thickBot="1">
      <c r="A9" s="394">
        <v>1</v>
      </c>
      <c r="B9" s="395"/>
      <c r="C9" s="396"/>
      <c r="D9" s="261">
        <v>2</v>
      </c>
      <c r="E9" s="261">
        <v>3</v>
      </c>
      <c r="F9" s="261">
        <v>4</v>
      </c>
      <c r="G9" s="261">
        <v>5</v>
      </c>
      <c r="H9" s="261">
        <v>6</v>
      </c>
      <c r="I9" s="262">
        <v>7</v>
      </c>
      <c r="J9" s="262">
        <v>8</v>
      </c>
      <c r="K9" s="263">
        <v>9</v>
      </c>
    </row>
    <row r="10" spans="1:11" s="22" customFormat="1" ht="12.75">
      <c r="A10" s="279"/>
      <c r="B10" s="414" t="s">
        <v>7</v>
      </c>
      <c r="C10" s="415"/>
      <c r="D10" s="330"/>
      <c r="E10" s="330"/>
      <c r="F10" s="281">
        <v>8000</v>
      </c>
      <c r="G10" s="281">
        <v>8000</v>
      </c>
      <c r="H10" s="280"/>
      <c r="I10" s="280"/>
      <c r="J10" s="281">
        <f>SUM(F10)</f>
        <v>8000</v>
      </c>
      <c r="K10" s="282">
        <f>SUM(G10)</f>
        <v>8000</v>
      </c>
    </row>
    <row r="11" spans="1:11" s="22" customFormat="1" ht="12.75">
      <c r="A11" s="94"/>
      <c r="B11" s="411" t="s">
        <v>64</v>
      </c>
      <c r="C11" s="412"/>
      <c r="D11" s="91">
        <f>3766779+153027+393701</f>
        <v>4313507</v>
      </c>
      <c r="E11" s="91">
        <f>3766779+153027+393701</f>
        <v>4313507</v>
      </c>
      <c r="F11" s="91">
        <v>6275</v>
      </c>
      <c r="G11" s="91">
        <v>6275</v>
      </c>
      <c r="H11" s="91"/>
      <c r="I11" s="91"/>
      <c r="J11" s="91">
        <f aca="true" t="shared" si="0" ref="J11:K19">SUM(D11,F11,H11)</f>
        <v>4319782</v>
      </c>
      <c r="K11" s="91">
        <f t="shared" si="0"/>
        <v>4319782</v>
      </c>
    </row>
    <row r="12" spans="1:11" s="22" customFormat="1" ht="12.75">
      <c r="A12" s="95"/>
      <c r="B12" s="399" t="s">
        <v>65</v>
      </c>
      <c r="C12" s="400"/>
      <c r="D12" s="88">
        <f>2000+500000</f>
        <v>502000</v>
      </c>
      <c r="E12" s="88">
        <f>2000+500000+100000</f>
        <v>602000</v>
      </c>
      <c r="F12" s="88">
        <v>531809</v>
      </c>
      <c r="G12" s="88">
        <v>531809</v>
      </c>
      <c r="H12" s="91"/>
      <c r="I12" s="91"/>
      <c r="J12" s="91">
        <f t="shared" si="0"/>
        <v>1033809</v>
      </c>
      <c r="K12" s="91">
        <f t="shared" si="0"/>
        <v>1133809</v>
      </c>
    </row>
    <row r="13" spans="1:11" s="22" customFormat="1" ht="12.75">
      <c r="A13" s="95"/>
      <c r="B13" s="399" t="s">
        <v>66</v>
      </c>
      <c r="C13" s="400"/>
      <c r="D13" s="88">
        <v>2500</v>
      </c>
      <c r="E13" s="88">
        <v>2500</v>
      </c>
      <c r="F13" s="88">
        <v>1872</v>
      </c>
      <c r="G13" s="88">
        <v>1872</v>
      </c>
      <c r="H13" s="91"/>
      <c r="I13" s="91"/>
      <c r="J13" s="91">
        <f t="shared" si="0"/>
        <v>4372</v>
      </c>
      <c r="K13" s="91">
        <f t="shared" si="0"/>
        <v>4372</v>
      </c>
    </row>
    <row r="14" spans="1:11" s="22" customFormat="1" ht="12.75">
      <c r="A14" s="95"/>
      <c r="B14" s="399" t="s">
        <v>67</v>
      </c>
      <c r="C14" s="400"/>
      <c r="D14" s="88">
        <v>51233</v>
      </c>
      <c r="E14" s="88">
        <v>51233</v>
      </c>
      <c r="F14" s="88">
        <v>0</v>
      </c>
      <c r="G14" s="88">
        <v>0</v>
      </c>
      <c r="H14" s="88">
        <v>72323</v>
      </c>
      <c r="I14" s="88">
        <v>72323</v>
      </c>
      <c r="J14" s="91">
        <f t="shared" si="0"/>
        <v>123556</v>
      </c>
      <c r="K14" s="91">
        <f t="shared" si="0"/>
        <v>123556</v>
      </c>
    </row>
    <row r="15" spans="1:11" s="22" customFormat="1" ht="12.75">
      <c r="A15" s="95"/>
      <c r="B15" s="399" t="s">
        <v>68</v>
      </c>
      <c r="C15" s="413"/>
      <c r="D15" s="88">
        <f>1070038+41317+106299+2700+56700</f>
        <v>1277054</v>
      </c>
      <c r="E15" s="88">
        <f>1070038+41317+106299+2700+56700</f>
        <v>1277054</v>
      </c>
      <c r="F15" s="88">
        <v>81069</v>
      </c>
      <c r="G15" s="88">
        <v>81069</v>
      </c>
      <c r="H15" s="88">
        <v>19527</v>
      </c>
      <c r="I15" s="88">
        <v>19527</v>
      </c>
      <c r="J15" s="91">
        <f t="shared" si="0"/>
        <v>1377650</v>
      </c>
      <c r="K15" s="91">
        <f t="shared" si="0"/>
        <v>1377650</v>
      </c>
    </row>
    <row r="16" spans="1:11" s="22" customFormat="1" ht="12.75">
      <c r="A16" s="95"/>
      <c r="B16" s="411" t="s">
        <v>72</v>
      </c>
      <c r="C16" s="412"/>
      <c r="D16" s="88"/>
      <c r="E16" s="88"/>
      <c r="F16" s="88">
        <v>0</v>
      </c>
      <c r="G16" s="88">
        <v>0</v>
      </c>
      <c r="H16" s="91"/>
      <c r="I16" s="91"/>
      <c r="J16" s="91">
        <f t="shared" si="0"/>
        <v>0</v>
      </c>
      <c r="K16" s="91">
        <f t="shared" si="0"/>
        <v>0</v>
      </c>
    </row>
    <row r="17" spans="1:11" s="22" customFormat="1" ht="12.75">
      <c r="A17" s="95"/>
      <c r="B17" s="399" t="s">
        <v>73</v>
      </c>
      <c r="C17" s="400"/>
      <c r="D17" s="88">
        <v>177000</v>
      </c>
      <c r="E17" s="88">
        <v>177000</v>
      </c>
      <c r="F17" s="88">
        <v>0</v>
      </c>
      <c r="G17" s="88">
        <v>0</v>
      </c>
      <c r="H17" s="91"/>
      <c r="I17" s="91"/>
      <c r="J17" s="91">
        <f t="shared" si="0"/>
        <v>177000</v>
      </c>
      <c r="K17" s="91">
        <f t="shared" si="0"/>
        <v>177000</v>
      </c>
    </row>
    <row r="18" spans="1:11" s="22" customFormat="1" ht="12.75">
      <c r="A18" s="95"/>
      <c r="B18" s="399" t="s">
        <v>74</v>
      </c>
      <c r="C18" s="413"/>
      <c r="D18" s="96"/>
      <c r="E18" s="96"/>
      <c r="F18" s="88">
        <v>166</v>
      </c>
      <c r="G18" s="88">
        <v>166</v>
      </c>
      <c r="H18" s="147"/>
      <c r="I18" s="147"/>
      <c r="J18" s="91">
        <f t="shared" si="0"/>
        <v>166</v>
      </c>
      <c r="K18" s="91">
        <f t="shared" si="0"/>
        <v>166</v>
      </c>
    </row>
    <row r="19" spans="1:12" s="22" customFormat="1" ht="13.5" thickBot="1">
      <c r="A19" s="95"/>
      <c r="B19" s="399" t="s">
        <v>34</v>
      </c>
      <c r="C19" s="400"/>
      <c r="D19" s="96">
        <f>217321+63068</f>
        <v>280389</v>
      </c>
      <c r="E19" s="96">
        <f>217321+63068</f>
        <v>280389</v>
      </c>
      <c r="F19" s="88">
        <v>76000</v>
      </c>
      <c r="G19" s="88">
        <v>76000</v>
      </c>
      <c r="H19" s="160"/>
      <c r="I19" s="160"/>
      <c r="J19" s="91">
        <f t="shared" si="0"/>
        <v>356389</v>
      </c>
      <c r="K19" s="91">
        <f t="shared" si="0"/>
        <v>356389</v>
      </c>
      <c r="L19" s="165"/>
    </row>
    <row r="20" spans="1:11" s="23" customFormat="1" ht="16.5" customHeight="1" thickBot="1">
      <c r="A20" s="97" t="s">
        <v>32</v>
      </c>
      <c r="B20" s="409" t="s">
        <v>36</v>
      </c>
      <c r="C20" s="410"/>
      <c r="D20" s="98">
        <f>SUM(D10:D19)</f>
        <v>6603683</v>
      </c>
      <c r="E20" s="98">
        <f aca="true" t="shared" si="1" ref="E20:K20">SUM(E10:E19)</f>
        <v>6703683</v>
      </c>
      <c r="F20" s="98">
        <f t="shared" si="1"/>
        <v>705191</v>
      </c>
      <c r="G20" s="98">
        <f t="shared" si="1"/>
        <v>705191</v>
      </c>
      <c r="H20" s="98">
        <f t="shared" si="1"/>
        <v>91850</v>
      </c>
      <c r="I20" s="98">
        <f t="shared" si="1"/>
        <v>91850</v>
      </c>
      <c r="J20" s="98">
        <f t="shared" si="1"/>
        <v>7400724</v>
      </c>
      <c r="K20" s="98">
        <f t="shared" si="1"/>
        <v>7500724</v>
      </c>
    </row>
    <row r="22" spans="6:10" ht="12.75">
      <c r="F22" s="278"/>
      <c r="J22" s="12"/>
    </row>
    <row r="23" ht="12.75">
      <c r="F23" s="12"/>
    </row>
  </sheetData>
  <sheetProtection/>
  <mergeCells count="21">
    <mergeCell ref="F2:K2"/>
    <mergeCell ref="A4:K4"/>
    <mergeCell ref="H6:K6"/>
    <mergeCell ref="F7:G7"/>
    <mergeCell ref="H7:I7"/>
    <mergeCell ref="B18:C18"/>
    <mergeCell ref="B11:C11"/>
    <mergeCell ref="B10:C10"/>
    <mergeCell ref="B12:C12"/>
    <mergeCell ref="J7:K7"/>
    <mergeCell ref="A9:C9"/>
    <mergeCell ref="B14:C14"/>
    <mergeCell ref="A7:C8"/>
    <mergeCell ref="D7:E7"/>
    <mergeCell ref="A2:C2"/>
    <mergeCell ref="B20:C20"/>
    <mergeCell ref="B13:C13"/>
    <mergeCell ref="B17:C17"/>
    <mergeCell ref="B19:C19"/>
    <mergeCell ref="B16:C16"/>
    <mergeCell ref="B15:C15"/>
  </mergeCells>
  <printOptions/>
  <pageMargins left="0.6692913385826772" right="0.15748031496062992" top="1.062992125984252" bottom="0.2755905511811024" header="0.6299212598425197" footer="0.275590551181102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3.125" style="2" customWidth="1"/>
    <col min="2" max="2" width="44.625" style="2" customWidth="1"/>
    <col min="3" max="8" width="9.75390625" style="2" customWidth="1"/>
    <col min="9" max="10" width="9.75390625" style="3" customWidth="1"/>
    <col min="11" max="16384" width="9.125" style="2" customWidth="1"/>
  </cols>
  <sheetData>
    <row r="1" spans="7:9" ht="12.75">
      <c r="G1" s="421" t="s">
        <v>128</v>
      </c>
      <c r="H1" s="421"/>
      <c r="I1" s="421"/>
    </row>
    <row r="2" spans="5:8" ht="12.75">
      <c r="E2" s="421"/>
      <c r="F2" s="421"/>
      <c r="G2" s="421"/>
      <c r="H2" s="283"/>
    </row>
    <row r="3" spans="1:9" ht="31.5" customHeight="1">
      <c r="A3" s="364" t="s">
        <v>141</v>
      </c>
      <c r="B3" s="364"/>
      <c r="C3" s="364"/>
      <c r="D3" s="364"/>
      <c r="E3" s="364"/>
      <c r="F3" s="364"/>
      <c r="G3" s="364"/>
      <c r="H3" s="364"/>
      <c r="I3" s="364"/>
    </row>
    <row r="4" spans="1:8" ht="15.75" customHeight="1">
      <c r="A4" s="13"/>
      <c r="B4" s="13"/>
      <c r="C4" s="13"/>
      <c r="D4" s="13"/>
      <c r="E4" s="13"/>
      <c r="F4" s="13"/>
      <c r="G4" s="13"/>
      <c r="H4" s="13"/>
    </row>
    <row r="5" spans="1:8" ht="21" customHeight="1">
      <c r="A5" s="13"/>
      <c r="B5" s="13"/>
      <c r="C5" s="13"/>
      <c r="D5" s="13"/>
      <c r="E5" s="13"/>
      <c r="F5" s="13"/>
      <c r="G5" s="13"/>
      <c r="H5" s="13"/>
    </row>
    <row r="6" spans="1:9" ht="16.5" thickBot="1">
      <c r="A6" s="16"/>
      <c r="B6" s="16"/>
      <c r="C6" s="16"/>
      <c r="D6" s="16"/>
      <c r="E6" s="16"/>
      <c r="F6" s="16"/>
      <c r="G6" s="363" t="s">
        <v>123</v>
      </c>
      <c r="H6" s="424"/>
      <c r="I6" s="424"/>
    </row>
    <row r="7" spans="1:10" ht="75" customHeight="1" thickBot="1">
      <c r="A7" s="355" t="s">
        <v>1</v>
      </c>
      <c r="B7" s="356"/>
      <c r="C7" s="384" t="s">
        <v>18</v>
      </c>
      <c r="D7" s="385"/>
      <c r="E7" s="384" t="s">
        <v>109</v>
      </c>
      <c r="F7" s="385"/>
      <c r="G7" s="384" t="s">
        <v>110</v>
      </c>
      <c r="H7" s="385"/>
      <c r="I7" s="378" t="s">
        <v>19</v>
      </c>
      <c r="J7" s="379"/>
    </row>
    <row r="8" spans="1:10" s="15" customFormat="1" ht="24.75" customHeight="1" thickBot="1">
      <c r="A8" s="359"/>
      <c r="B8" s="360"/>
      <c r="C8" s="259" t="s">
        <v>145</v>
      </c>
      <c r="D8" s="260" t="s">
        <v>148</v>
      </c>
      <c r="E8" s="259" t="s">
        <v>145</v>
      </c>
      <c r="F8" s="260" t="s">
        <v>148</v>
      </c>
      <c r="G8" s="259" t="s">
        <v>145</v>
      </c>
      <c r="H8" s="260" t="s">
        <v>148</v>
      </c>
      <c r="I8" s="259" t="s">
        <v>145</v>
      </c>
      <c r="J8" s="260" t="s">
        <v>148</v>
      </c>
    </row>
    <row r="9" spans="1:10" s="15" customFormat="1" ht="15" customHeight="1" thickBot="1">
      <c r="A9" s="422" t="s">
        <v>2</v>
      </c>
      <c r="B9" s="423"/>
      <c r="C9" s="36">
        <v>2</v>
      </c>
      <c r="D9" s="36">
        <v>3</v>
      </c>
      <c r="E9" s="121">
        <v>4</v>
      </c>
      <c r="F9" s="121">
        <v>5</v>
      </c>
      <c r="G9" s="121">
        <v>6</v>
      </c>
      <c r="H9" s="121">
        <v>7</v>
      </c>
      <c r="I9" s="285">
        <v>8</v>
      </c>
      <c r="J9" s="288">
        <v>9</v>
      </c>
    </row>
    <row r="10" spans="1:10" s="15" customFormat="1" ht="24">
      <c r="A10" s="320"/>
      <c r="B10" s="325" t="s">
        <v>159</v>
      </c>
      <c r="C10" s="321"/>
      <c r="D10" s="321"/>
      <c r="E10" s="321"/>
      <c r="F10" s="321"/>
      <c r="G10" s="321"/>
      <c r="H10" s="321"/>
      <c r="I10" s="322"/>
      <c r="J10" s="323"/>
    </row>
    <row r="11" spans="1:10" s="15" customFormat="1" ht="15" customHeight="1">
      <c r="A11" s="324"/>
      <c r="B11" s="326" t="s">
        <v>160</v>
      </c>
      <c r="C11" s="53">
        <v>1072</v>
      </c>
      <c r="D11" s="53">
        <v>1072</v>
      </c>
      <c r="E11" s="52"/>
      <c r="F11" s="52"/>
      <c r="G11" s="52"/>
      <c r="H11" s="52"/>
      <c r="I11" s="331">
        <v>1072</v>
      </c>
      <c r="J11" s="327">
        <f>SUM(D11)</f>
        <v>1072</v>
      </c>
    </row>
    <row r="12" spans="1:10" s="15" customFormat="1" ht="24">
      <c r="A12" s="324"/>
      <c r="B12" s="70" t="s">
        <v>75</v>
      </c>
      <c r="C12" s="53"/>
      <c r="D12" s="53"/>
      <c r="E12" s="52"/>
      <c r="F12" s="52"/>
      <c r="G12" s="52"/>
      <c r="H12" s="52"/>
      <c r="I12" s="241"/>
      <c r="J12" s="241"/>
    </row>
    <row r="13" spans="1:10" s="15" customFormat="1" ht="12.75">
      <c r="A13" s="71"/>
      <c r="B13" s="70"/>
      <c r="C13" s="53"/>
      <c r="D13" s="53"/>
      <c r="E13" s="52"/>
      <c r="F13" s="52"/>
      <c r="G13" s="52"/>
      <c r="H13" s="52"/>
      <c r="I13" s="241"/>
      <c r="J13" s="241"/>
    </row>
    <row r="14" spans="1:10" s="15" customFormat="1" ht="12.75">
      <c r="A14" s="71"/>
      <c r="B14" s="70" t="s">
        <v>144</v>
      </c>
      <c r="C14" s="53">
        <v>1500000</v>
      </c>
      <c r="D14" s="53">
        <v>1500000</v>
      </c>
      <c r="E14" s="52"/>
      <c r="F14" s="52"/>
      <c r="G14" s="52"/>
      <c r="H14" s="52"/>
      <c r="I14" s="241">
        <f aca="true" t="shared" si="0" ref="I14:J17">SUM(C14)</f>
        <v>1500000</v>
      </c>
      <c r="J14" s="241">
        <f t="shared" si="0"/>
        <v>1500000</v>
      </c>
    </row>
    <row r="15" spans="1:10" s="15" customFormat="1" ht="24">
      <c r="A15" s="71"/>
      <c r="B15" s="70" t="s">
        <v>142</v>
      </c>
      <c r="C15" s="53">
        <f>3200000-1572104</f>
        <v>1627896</v>
      </c>
      <c r="D15" s="53">
        <f>3200000-1572104</f>
        <v>1627896</v>
      </c>
      <c r="E15" s="52"/>
      <c r="F15" s="52"/>
      <c r="G15" s="52"/>
      <c r="H15" s="52"/>
      <c r="I15" s="241">
        <f t="shared" si="0"/>
        <v>1627896</v>
      </c>
      <c r="J15" s="241">
        <f t="shared" si="0"/>
        <v>1627896</v>
      </c>
    </row>
    <row r="16" spans="1:10" s="15" customFormat="1" ht="24">
      <c r="A16" s="71"/>
      <c r="B16" s="70" t="s">
        <v>143</v>
      </c>
      <c r="C16" s="53">
        <v>30000</v>
      </c>
      <c r="D16" s="53">
        <v>30000</v>
      </c>
      <c r="E16" s="52"/>
      <c r="F16" s="52"/>
      <c r="G16" s="52"/>
      <c r="H16" s="52"/>
      <c r="I16" s="241">
        <f t="shared" si="0"/>
        <v>30000</v>
      </c>
      <c r="J16" s="241">
        <f t="shared" si="0"/>
        <v>30000</v>
      </c>
    </row>
    <row r="17" spans="1:10" s="15" customFormat="1" ht="13.5" thickBot="1">
      <c r="A17" s="71"/>
      <c r="B17" s="70" t="s">
        <v>138</v>
      </c>
      <c r="C17" s="53">
        <v>300000</v>
      </c>
      <c r="D17" s="53">
        <v>300000</v>
      </c>
      <c r="E17" s="52"/>
      <c r="F17" s="52"/>
      <c r="G17" s="52"/>
      <c r="H17" s="52"/>
      <c r="I17" s="241">
        <f t="shared" si="0"/>
        <v>300000</v>
      </c>
      <c r="J17" s="241">
        <f t="shared" si="0"/>
        <v>300000</v>
      </c>
    </row>
    <row r="18" spans="1:10" ht="25.5" customHeight="1" thickBot="1">
      <c r="A18" s="30" t="s">
        <v>42</v>
      </c>
      <c r="B18" s="24" t="s">
        <v>76</v>
      </c>
      <c r="C18" s="17">
        <f>SUM(C10:C17)</f>
        <v>3458968</v>
      </c>
      <c r="D18" s="17">
        <f>SUM(D10:D17)</f>
        <v>3458968</v>
      </c>
      <c r="E18" s="17">
        <f>SUM(E13:E17)</f>
        <v>0</v>
      </c>
      <c r="F18" s="17"/>
      <c r="G18" s="17">
        <f>SUM(G13:G17)</f>
        <v>0</v>
      </c>
      <c r="H18" s="17"/>
      <c r="I18" s="17">
        <f>SUM(I11:I17)</f>
        <v>3458968</v>
      </c>
      <c r="J18" s="17">
        <f>SUM(J11:J17)</f>
        <v>3458968</v>
      </c>
    </row>
    <row r="20" spans="3:4" ht="12.75">
      <c r="C20" s="3"/>
      <c r="D20" s="3"/>
    </row>
    <row r="21" spans="3:4" ht="12.75">
      <c r="C21" s="3"/>
      <c r="D21" s="3"/>
    </row>
    <row r="22" spans="3:4" ht="12.75">
      <c r="C22" s="3"/>
      <c r="D22" s="3"/>
    </row>
    <row r="25" spans="5:6" ht="12.75">
      <c r="E25" s="3"/>
      <c r="F25" s="3"/>
    </row>
    <row r="27" spans="5:6" ht="12.75">
      <c r="E27" s="3"/>
      <c r="F27" s="3"/>
    </row>
  </sheetData>
  <sheetProtection/>
  <mergeCells count="10">
    <mergeCell ref="A7:B8"/>
    <mergeCell ref="A3:I3"/>
    <mergeCell ref="G1:I1"/>
    <mergeCell ref="A9:B9"/>
    <mergeCell ref="E2:G2"/>
    <mergeCell ref="G6:I6"/>
    <mergeCell ref="I7:J7"/>
    <mergeCell ref="C7:D7"/>
    <mergeCell ref="E7:F7"/>
    <mergeCell ref="G7:H7"/>
  </mergeCells>
  <printOptions/>
  <pageMargins left="0.2755905511811024" right="0.15748031496062992" top="1.062992125984252" bottom="0.2755905511811024" header="0.6299212598425197" footer="0.2755905511811024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2" width="3.25390625" style="2" customWidth="1"/>
    <col min="3" max="3" width="32.25390625" style="2" customWidth="1"/>
    <col min="4" max="11" width="9.75390625" style="2" customWidth="1"/>
    <col min="12" max="16384" width="9.125" style="2" customWidth="1"/>
  </cols>
  <sheetData>
    <row r="1" spans="6:10" ht="12.75">
      <c r="F1" s="421" t="s">
        <v>129</v>
      </c>
      <c r="G1" s="421"/>
      <c r="H1" s="421"/>
      <c r="I1" s="421"/>
      <c r="J1" s="421"/>
    </row>
    <row r="4" spans="1:10" ht="19.5" customHeight="1">
      <c r="A4" s="364" t="s">
        <v>140</v>
      </c>
      <c r="B4" s="364"/>
      <c r="C4" s="364"/>
      <c r="D4" s="364"/>
      <c r="E4" s="364"/>
      <c r="F4" s="364"/>
      <c r="G4" s="364"/>
      <c r="H4" s="364"/>
      <c r="I4" s="364"/>
      <c r="J4" s="364"/>
    </row>
    <row r="5" spans="1:10" ht="19.5" customHeight="1">
      <c r="A5" s="364" t="s">
        <v>20</v>
      </c>
      <c r="B5" s="364"/>
      <c r="C5" s="364"/>
      <c r="D5" s="364"/>
      <c r="E5" s="364"/>
      <c r="F5" s="364"/>
      <c r="G5" s="364"/>
      <c r="H5" s="364"/>
      <c r="I5" s="364"/>
      <c r="J5" s="364"/>
    </row>
    <row r="6" spans="3:9" ht="19.5" customHeight="1">
      <c r="C6" s="13"/>
      <c r="D6" s="13"/>
      <c r="E6" s="13"/>
      <c r="F6" s="13"/>
      <c r="G6" s="13"/>
      <c r="H6" s="13"/>
      <c r="I6" s="13"/>
    </row>
    <row r="7" spans="3:10" ht="19.5" customHeight="1" thickBot="1">
      <c r="C7" s="14"/>
      <c r="D7" s="14"/>
      <c r="E7" s="14"/>
      <c r="F7" s="14"/>
      <c r="G7" s="14"/>
      <c r="H7" s="427" t="s">
        <v>0</v>
      </c>
      <c r="I7" s="427"/>
      <c r="J7" s="362"/>
    </row>
    <row r="8" spans="1:11" ht="78" customHeight="1" thickBot="1">
      <c r="A8" s="355" t="s">
        <v>1</v>
      </c>
      <c r="B8" s="373"/>
      <c r="C8" s="356"/>
      <c r="D8" s="384" t="s">
        <v>18</v>
      </c>
      <c r="E8" s="385"/>
      <c r="F8" s="384" t="s">
        <v>109</v>
      </c>
      <c r="G8" s="385"/>
      <c r="H8" s="384" t="s">
        <v>110</v>
      </c>
      <c r="I8" s="385"/>
      <c r="J8" s="378" t="s">
        <v>19</v>
      </c>
      <c r="K8" s="379"/>
    </row>
    <row r="9" spans="1:11" ht="19.5" customHeight="1" thickBot="1">
      <c r="A9" s="359"/>
      <c r="B9" s="428"/>
      <c r="C9" s="360"/>
      <c r="D9" s="259" t="s">
        <v>145</v>
      </c>
      <c r="E9" s="260" t="s">
        <v>148</v>
      </c>
      <c r="F9" s="259" t="s">
        <v>145</v>
      </c>
      <c r="G9" s="260" t="s">
        <v>148</v>
      </c>
      <c r="H9" s="259" t="s">
        <v>145</v>
      </c>
      <c r="I9" s="260" t="s">
        <v>148</v>
      </c>
      <c r="J9" s="259" t="s">
        <v>145</v>
      </c>
      <c r="K9" s="260" t="s">
        <v>148</v>
      </c>
    </row>
    <row r="10" spans="1:11" ht="19.5" customHeight="1" thickBot="1">
      <c r="A10" s="394">
        <v>1</v>
      </c>
      <c r="B10" s="395"/>
      <c r="C10" s="396"/>
      <c r="D10" s="36">
        <v>2</v>
      </c>
      <c r="E10" s="36">
        <v>3</v>
      </c>
      <c r="F10" s="36">
        <v>4</v>
      </c>
      <c r="G10" s="36">
        <v>5</v>
      </c>
      <c r="H10" s="36">
        <v>6</v>
      </c>
      <c r="I10" s="36">
        <v>7</v>
      </c>
      <c r="J10" s="285">
        <v>8</v>
      </c>
      <c r="K10" s="289">
        <v>9</v>
      </c>
    </row>
    <row r="11" spans="1:11" ht="19.5" customHeight="1">
      <c r="A11" s="99"/>
      <c r="B11" s="431" t="s">
        <v>12</v>
      </c>
      <c r="C11" s="432"/>
      <c r="D11" s="100"/>
      <c r="E11" s="100"/>
      <c r="F11" s="101"/>
      <c r="G11" s="290"/>
      <c r="H11" s="102"/>
      <c r="I11" s="102"/>
      <c r="J11" s="162"/>
      <c r="K11" s="162"/>
    </row>
    <row r="12" spans="1:11" ht="17.25" customHeight="1">
      <c r="A12" s="103"/>
      <c r="B12" s="425" t="s">
        <v>13</v>
      </c>
      <c r="C12" s="426"/>
      <c r="D12" s="18"/>
      <c r="E12" s="18"/>
      <c r="F12" s="76"/>
      <c r="G12" s="76"/>
      <c r="H12" s="104"/>
      <c r="I12" s="104"/>
      <c r="J12" s="163"/>
      <c r="K12" s="163"/>
    </row>
    <row r="13" spans="1:11" ht="19.5" customHeight="1">
      <c r="A13" s="103"/>
      <c r="B13" s="425" t="s">
        <v>107</v>
      </c>
      <c r="C13" s="426"/>
      <c r="D13" s="33">
        <f>803456+655220</f>
        <v>1458676</v>
      </c>
      <c r="E13" s="33">
        <f>803456+655220+206285</f>
        <v>1664961</v>
      </c>
      <c r="F13" s="33"/>
      <c r="G13" s="33"/>
      <c r="H13" s="104"/>
      <c r="I13" s="161"/>
      <c r="J13" s="161">
        <f>SUM(D13,F13,H13)</f>
        <v>1458676</v>
      </c>
      <c r="K13" s="161">
        <f>SUM(E13)</f>
        <v>1664961</v>
      </c>
    </row>
    <row r="14" spans="1:11" ht="19.5" customHeight="1">
      <c r="A14" s="103"/>
      <c r="B14" s="425" t="s">
        <v>71</v>
      </c>
      <c r="C14" s="426"/>
      <c r="D14" s="76">
        <f>150000+100000</f>
        <v>250000</v>
      </c>
      <c r="E14" s="76">
        <f>150000+100000+80093</f>
        <v>330093</v>
      </c>
      <c r="F14" s="76"/>
      <c r="G14" s="76"/>
      <c r="H14" s="104"/>
      <c r="I14" s="104"/>
      <c r="J14" s="104">
        <f>SUM(D14,F14,H14)</f>
        <v>250000</v>
      </c>
      <c r="K14" s="161">
        <f>SUM(E14)</f>
        <v>330093</v>
      </c>
    </row>
    <row r="15" spans="1:11" ht="19.5" customHeight="1">
      <c r="A15" s="103"/>
      <c r="B15" s="425" t="s">
        <v>69</v>
      </c>
      <c r="C15" s="426"/>
      <c r="D15" s="76"/>
      <c r="E15" s="76"/>
      <c r="F15" s="76"/>
      <c r="G15" s="76"/>
      <c r="H15" s="104"/>
      <c r="I15" s="104"/>
      <c r="J15" s="104">
        <f>SUM(D15,F15,H15)</f>
        <v>0</v>
      </c>
      <c r="K15" s="161">
        <f>SUM(E15)</f>
        <v>0</v>
      </c>
    </row>
    <row r="16" spans="1:11" ht="19.5" customHeight="1" thickBot="1">
      <c r="A16" s="103"/>
      <c r="B16" s="425" t="s">
        <v>70</v>
      </c>
      <c r="C16" s="426"/>
      <c r="D16" s="19"/>
      <c r="E16" s="19"/>
      <c r="F16" s="19"/>
      <c r="G16" s="19"/>
      <c r="H16" s="105"/>
      <c r="I16" s="105"/>
      <c r="J16" s="104">
        <f>SUM(D16,F16,H16)</f>
        <v>0</v>
      </c>
      <c r="K16" s="161">
        <f>SUM(E16)</f>
        <v>0</v>
      </c>
    </row>
    <row r="17" spans="1:11" ht="27" customHeight="1" thickBot="1">
      <c r="A17" s="106" t="s">
        <v>88</v>
      </c>
      <c r="B17" s="429" t="s">
        <v>21</v>
      </c>
      <c r="C17" s="430"/>
      <c r="D17" s="107">
        <f>SUM(D13:D16)</f>
        <v>1708676</v>
      </c>
      <c r="E17" s="107">
        <f>SUM(E13:E16)</f>
        <v>1995054</v>
      </c>
      <c r="F17" s="107"/>
      <c r="G17" s="107"/>
      <c r="H17" s="107"/>
      <c r="I17" s="107"/>
      <c r="J17" s="17">
        <f>SUM(J13:J16)</f>
        <v>1708676</v>
      </c>
      <c r="K17" s="17">
        <f>SUM(K13:K16)</f>
        <v>1995054</v>
      </c>
    </row>
    <row r="18" spans="3:7" ht="12.75">
      <c r="C18" s="15"/>
      <c r="D18" s="15"/>
      <c r="E18" s="15"/>
      <c r="F18" s="15"/>
      <c r="G18" s="15"/>
    </row>
    <row r="20" spans="4:5" ht="12.75">
      <c r="D20" s="3"/>
      <c r="E20" s="3"/>
    </row>
    <row r="25" spans="4:5" ht="12.75">
      <c r="D25" s="3"/>
      <c r="E25" s="3"/>
    </row>
    <row r="27" spans="4:5" ht="12.75">
      <c r="D27" s="3"/>
      <c r="E27" s="3"/>
    </row>
  </sheetData>
  <sheetProtection/>
  <mergeCells count="17">
    <mergeCell ref="A8:C9"/>
    <mergeCell ref="B17:C17"/>
    <mergeCell ref="B13:C13"/>
    <mergeCell ref="B15:C15"/>
    <mergeCell ref="B16:C16"/>
    <mergeCell ref="B11:C11"/>
    <mergeCell ref="B12:C12"/>
    <mergeCell ref="A4:J4"/>
    <mergeCell ref="A5:J5"/>
    <mergeCell ref="F1:J1"/>
    <mergeCell ref="B14:C14"/>
    <mergeCell ref="A10:C10"/>
    <mergeCell ref="H7:J7"/>
    <mergeCell ref="J8:K8"/>
    <mergeCell ref="D8:E8"/>
    <mergeCell ref="F8:G8"/>
    <mergeCell ref="H8:I8"/>
  </mergeCells>
  <printOptions/>
  <pageMargins left="0.4724409448818898" right="0.15748031496062992" top="1.062992125984252" bottom="0.2755905511811024" header="0.6299212598425197" footer="0.275590551181102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28"/>
  <sheetViews>
    <sheetView tabSelected="1" zoomScalePageLayoutView="0" workbookViewId="0" topLeftCell="A1">
      <selection activeCell="P12" sqref="P12"/>
    </sheetView>
  </sheetViews>
  <sheetFormatPr defaultColWidth="9.00390625" defaultRowHeight="12.75"/>
  <cols>
    <col min="1" max="2" width="2.875" style="11" customWidth="1"/>
    <col min="3" max="3" width="38.00390625" style="0" customWidth="1"/>
    <col min="4" max="11" width="9.75390625" style="0" customWidth="1"/>
  </cols>
  <sheetData>
    <row r="1" spans="6:10" ht="12.75">
      <c r="F1" s="441" t="s">
        <v>131</v>
      </c>
      <c r="G1" s="441"/>
      <c r="H1" s="441"/>
      <c r="I1" s="441"/>
      <c r="J1" s="441"/>
    </row>
    <row r="2" spans="6:9" ht="12.75">
      <c r="F2" s="441"/>
      <c r="G2" s="441"/>
      <c r="H2" s="441"/>
      <c r="I2" s="284"/>
    </row>
    <row r="3" spans="1:9" ht="25.5" customHeight="1">
      <c r="A3" s="25"/>
      <c r="B3" s="25"/>
      <c r="C3" s="25"/>
      <c r="D3" s="25"/>
      <c r="E3" s="25"/>
      <c r="F3" s="25"/>
      <c r="G3" s="25"/>
      <c r="H3" s="132"/>
      <c r="I3" s="132"/>
    </row>
    <row r="4" spans="1:9" ht="56.25" customHeight="1">
      <c r="A4" s="4"/>
      <c r="B4" s="4"/>
      <c r="C4" s="4"/>
      <c r="D4" s="4"/>
      <c r="E4" s="4"/>
      <c r="F4" s="4"/>
      <c r="G4" s="4"/>
      <c r="H4" s="4"/>
      <c r="I4" s="4"/>
    </row>
    <row r="5" spans="1:11" ht="33" customHeight="1">
      <c r="A5" s="386" t="s">
        <v>137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</row>
    <row r="6" spans="1:9" ht="25.5" customHeight="1">
      <c r="A6" s="4"/>
      <c r="B6" s="4"/>
      <c r="C6" s="4"/>
      <c r="D6" s="4"/>
      <c r="E6" s="4"/>
      <c r="F6" s="4"/>
      <c r="G6" s="4"/>
      <c r="H6" s="4"/>
      <c r="I6" s="4"/>
    </row>
    <row r="7" spans="1:10" ht="17.25" customHeight="1" thickBot="1">
      <c r="A7" s="4"/>
      <c r="B7" s="4"/>
      <c r="C7" s="4"/>
      <c r="D7" s="4"/>
      <c r="E7" s="4"/>
      <c r="F7" s="4"/>
      <c r="G7" s="4"/>
      <c r="H7" s="442" t="s">
        <v>0</v>
      </c>
      <c r="I7" s="442"/>
      <c r="J7" s="443"/>
    </row>
    <row r="8" spans="1:11" ht="76.5" customHeight="1" thickBot="1">
      <c r="A8" s="355" t="s">
        <v>1</v>
      </c>
      <c r="B8" s="373"/>
      <c r="C8" s="356"/>
      <c r="D8" s="384" t="s">
        <v>18</v>
      </c>
      <c r="E8" s="385"/>
      <c r="F8" s="384" t="s">
        <v>109</v>
      </c>
      <c r="G8" s="385"/>
      <c r="H8" s="384" t="s">
        <v>110</v>
      </c>
      <c r="I8" s="385"/>
      <c r="J8" s="378" t="s">
        <v>19</v>
      </c>
      <c r="K8" s="379"/>
    </row>
    <row r="9" spans="1:11" s="27" customFormat="1" ht="12.75" customHeight="1" thickBot="1">
      <c r="A9" s="394">
        <v>1</v>
      </c>
      <c r="B9" s="395"/>
      <c r="C9" s="396"/>
      <c r="D9" s="36">
        <v>2</v>
      </c>
      <c r="E9" s="36">
        <v>3</v>
      </c>
      <c r="F9" s="36">
        <v>4</v>
      </c>
      <c r="G9" s="36">
        <v>5</v>
      </c>
      <c r="H9" s="36">
        <v>6</v>
      </c>
      <c r="I9" s="36">
        <v>7</v>
      </c>
      <c r="J9" s="291">
        <v>8</v>
      </c>
      <c r="K9" s="292">
        <v>9</v>
      </c>
    </row>
    <row r="10" spans="1:11" s="2" customFormat="1" ht="27" customHeight="1" thickBot="1">
      <c r="A10" s="108"/>
      <c r="B10" s="437" t="s">
        <v>15</v>
      </c>
      <c r="C10" s="438"/>
      <c r="D10" s="122">
        <f>3618+21349</f>
        <v>24967</v>
      </c>
      <c r="E10" s="122">
        <f>3618+21349</f>
        <v>24967</v>
      </c>
      <c r="F10" s="109"/>
      <c r="G10" s="109"/>
      <c r="H10" s="109"/>
      <c r="I10" s="109"/>
      <c r="J10" s="17">
        <f>SUM(D10,H10)</f>
        <v>24967</v>
      </c>
      <c r="K10" s="17">
        <f aca="true" t="shared" si="0" ref="J10:K16">SUM(E10)</f>
        <v>24967</v>
      </c>
    </row>
    <row r="11" spans="1:11" s="2" customFormat="1" ht="30.75" customHeight="1" thickBot="1">
      <c r="A11" s="108"/>
      <c r="B11" s="437" t="s">
        <v>16</v>
      </c>
      <c r="C11" s="438"/>
      <c r="D11" s="122">
        <f>767+604</f>
        <v>1371</v>
      </c>
      <c r="E11" s="122">
        <f>767+604</f>
        <v>1371</v>
      </c>
      <c r="F11" s="109"/>
      <c r="G11" s="109"/>
      <c r="H11" s="109"/>
      <c r="I11" s="109"/>
      <c r="J11" s="17">
        <f>SUM(D11,H11)</f>
        <v>1371</v>
      </c>
      <c r="K11" s="17">
        <f t="shared" si="0"/>
        <v>1371</v>
      </c>
    </row>
    <row r="12" spans="1:11" s="2" customFormat="1" ht="27" customHeight="1" thickBot="1">
      <c r="A12" s="108"/>
      <c r="B12" s="435" t="s">
        <v>118</v>
      </c>
      <c r="C12" s="436"/>
      <c r="D12" s="122">
        <v>1300</v>
      </c>
      <c r="E12" s="122">
        <v>1300</v>
      </c>
      <c r="F12" s="109"/>
      <c r="G12" s="109"/>
      <c r="H12" s="109"/>
      <c r="I12" s="109"/>
      <c r="J12" s="17">
        <f>SUM(D12,H12)</f>
        <v>1300</v>
      </c>
      <c r="K12" s="17">
        <f t="shared" si="0"/>
        <v>1300</v>
      </c>
    </row>
    <row r="13" spans="1:11" s="2" customFormat="1" ht="27" customHeight="1" thickBot="1">
      <c r="A13" s="110" t="s">
        <v>2</v>
      </c>
      <c r="B13" s="433" t="s">
        <v>77</v>
      </c>
      <c r="C13" s="434"/>
      <c r="D13" s="109">
        <f>SUM(D10:D12)</f>
        <v>27638</v>
      </c>
      <c r="E13" s="109">
        <f>SUM(E10:E12)</f>
        <v>27638</v>
      </c>
      <c r="F13" s="109"/>
      <c r="G13" s="109"/>
      <c r="H13" s="109"/>
      <c r="I13" s="109"/>
      <c r="J13" s="17">
        <f>SUM(D13,H13)</f>
        <v>27638</v>
      </c>
      <c r="K13" s="17">
        <f t="shared" si="0"/>
        <v>27638</v>
      </c>
    </row>
    <row r="14" spans="1:11" s="2" customFormat="1" ht="16.5" customHeight="1" thickBot="1">
      <c r="A14" s="26"/>
      <c r="B14" s="435"/>
      <c r="C14" s="436"/>
      <c r="D14" s="32"/>
      <c r="E14" s="32"/>
      <c r="F14" s="19"/>
      <c r="G14" s="19"/>
      <c r="H14" s="19"/>
      <c r="I14" s="19"/>
      <c r="J14" s="17">
        <f>SUM(D14,H14)</f>
        <v>0</v>
      </c>
      <c r="K14" s="17">
        <f t="shared" si="0"/>
        <v>0</v>
      </c>
    </row>
    <row r="15" spans="1:11" s="1" customFormat="1" ht="25.5" customHeight="1" thickBot="1">
      <c r="A15" s="30"/>
      <c r="B15" s="439" t="s">
        <v>161</v>
      </c>
      <c r="C15" s="440"/>
      <c r="D15" s="329">
        <v>10000</v>
      </c>
      <c r="E15" s="329">
        <v>10000</v>
      </c>
      <c r="F15" s="107"/>
      <c r="G15" s="107"/>
      <c r="H15" s="17"/>
      <c r="I15" s="328"/>
      <c r="J15" s="328">
        <f t="shared" si="0"/>
        <v>10000</v>
      </c>
      <c r="K15" s="328">
        <f t="shared" si="0"/>
        <v>10000</v>
      </c>
    </row>
    <row r="16" spans="1:11" s="1" customFormat="1" ht="37.5" customHeight="1" thickBot="1">
      <c r="A16" s="30"/>
      <c r="B16" s="439" t="s">
        <v>162</v>
      </c>
      <c r="C16" s="440"/>
      <c r="D16" s="329">
        <v>210000</v>
      </c>
      <c r="E16" s="329">
        <v>210000</v>
      </c>
      <c r="F16" s="107"/>
      <c r="G16" s="107"/>
      <c r="H16" s="17"/>
      <c r="I16" s="328"/>
      <c r="J16" s="328">
        <f t="shared" si="0"/>
        <v>210000</v>
      </c>
      <c r="K16" s="328">
        <f t="shared" si="0"/>
        <v>210000</v>
      </c>
    </row>
    <row r="17" spans="1:11" s="1" customFormat="1" ht="25.5" customHeight="1" thickBot="1">
      <c r="A17" s="26" t="s">
        <v>3</v>
      </c>
      <c r="B17" s="433" t="s">
        <v>14</v>
      </c>
      <c r="C17" s="434"/>
      <c r="D17" s="17">
        <f>SUM(D15:D16)</f>
        <v>220000</v>
      </c>
      <c r="E17" s="17">
        <f>SUM(E15:E16)</f>
        <v>220000</v>
      </c>
      <c r="F17" s="17"/>
      <c r="G17" s="17"/>
      <c r="H17" s="17"/>
      <c r="I17" s="17"/>
      <c r="J17" s="17">
        <f>SUM(D17,H17)</f>
        <v>220000</v>
      </c>
      <c r="K17" s="17">
        <f>SUM(K15:K16)</f>
        <v>220000</v>
      </c>
    </row>
    <row r="18" spans="1:11" s="27" customFormat="1" ht="27" customHeight="1" thickBot="1">
      <c r="A18" s="111" t="s">
        <v>91</v>
      </c>
      <c r="B18" s="433" t="s">
        <v>78</v>
      </c>
      <c r="C18" s="434"/>
      <c r="D18" s="84">
        <f>SUM(D13,D17)</f>
        <v>247638</v>
      </c>
      <c r="E18" s="84">
        <f>SUM(E13,E17)</f>
        <v>247638</v>
      </c>
      <c r="F18" s="112"/>
      <c r="G18" s="112"/>
      <c r="H18" s="84"/>
      <c r="I18" s="113"/>
      <c r="J18" s="113">
        <f>SUM(J13,J17)</f>
        <v>247638</v>
      </c>
      <c r="K18" s="113">
        <f>SUM(K13,K17)</f>
        <v>247638</v>
      </c>
    </row>
    <row r="19" ht="12.75">
      <c r="J19" s="12"/>
    </row>
    <row r="20" ht="12.75">
      <c r="J20" s="12"/>
    </row>
    <row r="21" ht="12.75">
      <c r="J21" s="12"/>
    </row>
    <row r="26" spans="4:5" ht="12.75">
      <c r="D26" s="12"/>
      <c r="E26" s="12"/>
    </row>
    <row r="28" spans="4:5" ht="12.75">
      <c r="D28" s="12"/>
      <c r="E28" s="12"/>
    </row>
  </sheetData>
  <sheetProtection/>
  <mergeCells count="19">
    <mergeCell ref="F1:J1"/>
    <mergeCell ref="A8:C8"/>
    <mergeCell ref="F2:H2"/>
    <mergeCell ref="H7:J7"/>
    <mergeCell ref="A9:C9"/>
    <mergeCell ref="J8:K8"/>
    <mergeCell ref="D8:E8"/>
    <mergeCell ref="F8:G8"/>
    <mergeCell ref="H8:I8"/>
    <mergeCell ref="A5:K5"/>
    <mergeCell ref="B18:C18"/>
    <mergeCell ref="B14:C14"/>
    <mergeCell ref="B10:C10"/>
    <mergeCell ref="B11:C11"/>
    <mergeCell ref="B12:C12"/>
    <mergeCell ref="B13:C13"/>
    <mergeCell ref="B15:C15"/>
    <mergeCell ref="B16:C16"/>
    <mergeCell ref="B17:C17"/>
  </mergeCells>
  <printOptions/>
  <pageMargins left="0.4724409448818898" right="0.15748031496062992" top="1.062992125984252" bottom="0.2755905511811024" header="0.6299212598425197" footer="0.2755905511811024"/>
  <pageSetup horizontalDpi="600" verticalDpi="600" orientation="portrait" paperSize="9" scale="77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2018-12-04T14:25:20Z</cp:lastPrinted>
  <dcterms:created xsi:type="dcterms:W3CDTF">2011-02-03T10:02:06Z</dcterms:created>
  <dcterms:modified xsi:type="dcterms:W3CDTF">2018-12-06T13:19:36Z</dcterms:modified>
  <cp:category/>
  <cp:version/>
  <cp:contentType/>
  <cp:contentStatus/>
</cp:coreProperties>
</file>