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480" windowHeight="10755" tabRatio="895" activeTab="0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felhki" sheetId="7" r:id="rId7"/>
    <sheet name="8.tart" sheetId="8" r:id="rId8"/>
    <sheet name="9.stab.tv. saját bev." sheetId="9" r:id="rId9"/>
    <sheet name="10. EU projektek" sheetId="10" r:id="rId10"/>
    <sheet name="11.normatívák" sheetId="11" r:id="rId11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'7.felhki'!$5:$6</definedName>
    <definedName name="_xlnm.Print_Titles" localSheetId="7">'8.tart'!$7:$7</definedName>
    <definedName name="_xlnm.Print_Area" localSheetId="0">'1. bevételek'!$A$1:$I$184</definedName>
    <definedName name="_xlnm.Print_Area" localSheetId="10">'11.normatívák'!$A$1:$L$54</definedName>
    <definedName name="_xlnm.Print_Area" localSheetId="1">'2. kiadások'!$A$1:$I$162</definedName>
    <definedName name="_xlnm.Print_Area" localSheetId="3">'4.önkorm.szakf. '!$D$1:$AD$54</definedName>
    <definedName name="_xlnm.Print_Area" localSheetId="4">'5. kiadások megbontása'!$A$1:$M$77</definedName>
    <definedName name="_xlnm.Print_Area" localSheetId="5">'6. források sz. bontás'!$A$1:$AC$72</definedName>
    <definedName name="_xlnm.Print_Area" localSheetId="6">'7.felhki'!$A$1:$D$68</definedName>
  </definedNames>
  <calcPr fullCalcOnLoad="1"/>
</workbook>
</file>

<file path=xl/sharedStrings.xml><?xml version="1.0" encoding="utf-8"?>
<sst xmlns="http://schemas.openxmlformats.org/spreadsheetml/2006/main" count="1883" uniqueCount="1204">
  <si>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</si>
  <si>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</si>
  <si>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</si>
  <si>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</si>
  <si>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</si>
  <si>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</si>
  <si>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</si>
  <si>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</si>
  <si>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</si>
  <si>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</si>
  <si>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</si>
  <si>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</si>
  <si>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</si>
  <si>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</si>
  <si>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</si>
  <si>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</si>
  <si>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</si>
  <si>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</si>
  <si>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</si>
  <si>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</si>
  <si>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</si>
  <si>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</si>
  <si>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</si>
  <si>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</si>
  <si>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</si>
  <si>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</si>
  <si>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</si>
  <si>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</si>
  <si>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</si>
  <si>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</si>
  <si>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</si>
  <si>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</si>
  <si>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</si>
  <si>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</si>
  <si>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</si>
  <si>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</si>
  <si>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</si>
  <si>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</si>
  <si>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</si>
  <si>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</si>
  <si>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</si>
  <si>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</si>
  <si>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</si>
  <si>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</si>
  <si>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</si>
  <si>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</si>
  <si>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</si>
  <si>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</si>
  <si>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</si>
  <si>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</si>
  <si>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</si>
  <si>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</si>
  <si>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</si>
  <si>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</si>
  <si>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</si>
  <si>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</si>
  <si>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</si>
  <si>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</si>
  <si>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</si>
  <si>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</si>
  <si>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</si>
  <si>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</si>
  <si>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</si>
  <si>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</si>
  <si>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</si>
  <si>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</si>
  <si>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</si>
  <si>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</si>
  <si>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</si>
  <si>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</si>
  <si>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</si>
  <si>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</si>
  <si>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</si>
  <si>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</si>
  <si>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</si>
  <si>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</si>
  <si>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</si>
  <si>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</si>
  <si>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</si>
  <si>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</si>
  <si>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</si>
  <si>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</si>
  <si>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</si>
  <si>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</si>
  <si>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</si>
  <si>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</si>
  <si>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</si>
  <si>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</si>
  <si>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</si>
  <si>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</si>
  <si>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</si>
  <si>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</si>
  <si>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</si>
  <si>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</si>
  <si>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</si>
  <si>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</si>
  <si>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</si>
  <si>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</si>
  <si>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</si>
  <si>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</si>
  <si>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</si>
  <si>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</si>
  <si>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</si>
  <si>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</si>
  <si>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</si>
  <si>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</si>
  <si>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</si>
  <si>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</si>
  <si>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</si>
  <si>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</si>
  <si>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</si>
  <si>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</si>
  <si>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</si>
  <si>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</si>
  <si>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</si>
  <si>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</si>
  <si>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</si>
  <si>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</si>
  <si>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</si>
  <si>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</si>
  <si>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</si>
  <si>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</si>
  <si>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</si>
  <si>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</si>
  <si>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</si>
  <si>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</si>
  <si>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</si>
  <si>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</si>
  <si>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</si>
  <si>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</si>
  <si>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</si>
  <si>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</si>
  <si>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</si>
  <si>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</si>
  <si>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</si>
  <si>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</si>
  <si>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</si>
  <si>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</si>
  <si>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</si>
  <si>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</si>
  <si>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</si>
  <si>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</si>
  <si>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</si>
  <si>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</si>
  <si>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</si>
  <si>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</si>
  <si>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</si>
  <si>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</si>
  <si>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</si>
  <si>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</si>
  <si>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</si>
  <si>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</si>
  <si>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</si>
  <si>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</si>
  <si>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</si>
  <si>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</si>
  <si>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</si>
  <si>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</si>
  <si>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</si>
  <si>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</si>
  <si>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</si>
  <si>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</si>
  <si>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</si>
  <si>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</si>
  <si>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</si>
  <si>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</si>
  <si>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</si>
  <si>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</si>
  <si>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</si>
  <si>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</si>
  <si>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</si>
  <si>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</si>
  <si>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</si>
  <si>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</si>
  <si>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</si>
  <si>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</si>
  <si>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</si>
  <si>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</si>
  <si>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</si>
  <si>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</si>
  <si>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</si>
  <si>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</si>
  <si>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</si>
  <si>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</si>
  <si>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</si>
  <si>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</si>
  <si>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</si>
  <si>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</si>
  <si>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</si>
  <si>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</si>
  <si>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</si>
  <si>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</si>
  <si>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</si>
  <si>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</si>
  <si>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</si>
  <si>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</si>
  <si>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</si>
  <si>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Lakásfenntartással, lakhatással összefüggő ellátások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</si>
  <si>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</si>
  <si>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</si>
  <si>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</si>
  <si>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</si>
  <si>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</si>
  <si>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</si>
  <si>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</si>
  <si>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</si>
  <si>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</si>
  <si>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</si>
  <si>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</si>
  <si>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</si>
  <si>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</si>
  <si>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</si>
  <si>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</si>
  <si>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</si>
  <si>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</si>
  <si>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</si>
  <si>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</si>
  <si>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</si>
  <si>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</si>
  <si>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Önként vállalt feladatok</t>
  </si>
  <si>
    <t>Állami feladatok</t>
  </si>
  <si>
    <t>MINDÖSSZESEN:</t>
  </si>
  <si>
    <t>Földalapú támogatás</t>
  </si>
  <si>
    <t>Bérleti díj bevételek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</si>
  <si>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</si>
  <si>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</si>
  <si>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</si>
  <si>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</si>
  <si>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</si>
  <si>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</si>
  <si>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</si>
  <si>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</si>
  <si>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</si>
  <si>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</si>
  <si>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</si>
  <si>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</si>
  <si>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</si>
  <si>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</si>
  <si>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</si>
  <si>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</si>
  <si>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</si>
  <si>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</si>
  <si>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</si>
  <si>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</si>
  <si>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</si>
  <si>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</si>
  <si>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belülre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</si>
  <si>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</si>
  <si>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</si>
  <si>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</si>
  <si>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</si>
  <si>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</si>
  <si>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</si>
  <si>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</si>
  <si>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</si>
  <si>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</si>
  <si>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</si>
  <si>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</si>
  <si>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</si>
  <si>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</si>
  <si>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</si>
  <si>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</si>
  <si>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</si>
  <si>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</si>
  <si>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</si>
  <si>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</si>
  <si>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</si>
  <si>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</si>
  <si>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</si>
  <si>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</si>
  <si>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</si>
  <si>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</si>
  <si>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</si>
  <si>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</si>
  <si>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</si>
  <si>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</si>
  <si>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</si>
  <si>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</si>
  <si>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</si>
  <si>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</si>
  <si>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</si>
  <si>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</si>
  <si>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</si>
  <si>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</si>
  <si>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</si>
  <si>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</si>
  <si>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</si>
  <si>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</si>
  <si>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</si>
  <si>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</si>
  <si>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</si>
  <si>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</si>
  <si>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</si>
  <si>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</si>
  <si>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</si>
  <si>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</si>
  <si>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</si>
  <si>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</si>
  <si>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</si>
  <si>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</si>
  <si>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</si>
  <si>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</si>
  <si>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</si>
  <si>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</si>
  <si>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</si>
  <si>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</si>
  <si>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</si>
  <si>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</si>
  <si>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</si>
  <si>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</si>
  <si>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</si>
  <si>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</si>
  <si>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</si>
  <si>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</si>
  <si>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</si>
  <si>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</si>
  <si>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</si>
  <si>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</si>
  <si>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</si>
  <si>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</si>
  <si>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</si>
  <si>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</si>
  <si>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</si>
  <si>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</si>
  <si>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</si>
  <si>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</si>
  <si>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</si>
  <si>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</si>
  <si>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</si>
  <si>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</si>
  <si>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</si>
  <si>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</si>
  <si>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</si>
  <si>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</si>
  <si>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</si>
  <si>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</si>
  <si>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</si>
  <si>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</si>
  <si>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</si>
  <si>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</si>
  <si>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</si>
  <si>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</si>
  <si>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</si>
  <si>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</si>
  <si>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</si>
  <si>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</si>
  <si>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</si>
  <si>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</si>
  <si>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</si>
  <si>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</si>
  <si>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</si>
  <si>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</si>
  <si>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</si>
  <si>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</si>
  <si>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</si>
  <si>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</si>
  <si>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</si>
  <si>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</si>
  <si>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</si>
  <si>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</si>
  <si>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</si>
  <si>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</si>
  <si>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</si>
  <si>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</si>
  <si>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</si>
  <si>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</si>
  <si>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</si>
  <si>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</si>
  <si>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</si>
  <si>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</si>
  <si>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</si>
  <si>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</si>
  <si>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</si>
  <si>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</si>
  <si>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</si>
  <si>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</si>
  <si>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</si>
  <si>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</si>
  <si>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</si>
  <si>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</si>
  <si>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</si>
  <si>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</si>
  <si>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</si>
  <si>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</si>
  <si>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</si>
  <si>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</si>
  <si>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</si>
  <si>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</si>
  <si>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</si>
  <si>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</si>
  <si>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</si>
  <si>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</si>
  <si>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</si>
  <si>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</si>
  <si>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</si>
  <si>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</si>
  <si>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</si>
  <si>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</si>
  <si>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</si>
  <si>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</si>
  <si>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</si>
  <si>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</si>
  <si>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</si>
  <si>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</si>
  <si>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</si>
  <si>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</si>
  <si>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</si>
  <si>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</si>
  <si>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</si>
  <si>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</si>
  <si>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</si>
  <si>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</si>
  <si>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</si>
  <si>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</si>
  <si>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</si>
  <si>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</si>
  <si>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</si>
  <si>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</si>
  <si>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</si>
  <si>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</si>
  <si>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</si>
  <si>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</si>
  <si>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</si>
  <si>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</si>
  <si>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</si>
  <si>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</si>
  <si>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</si>
  <si>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</si>
  <si>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</si>
  <si>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</si>
  <si>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</si>
  <si>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</si>
  <si>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</si>
  <si>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</si>
  <si>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</si>
  <si>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</si>
  <si>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</si>
  <si>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</si>
  <si>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</si>
  <si>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</si>
  <si>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</si>
  <si>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</si>
  <si>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</si>
  <si>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</si>
  <si>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</si>
  <si>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</si>
  <si>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</si>
  <si>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</si>
  <si>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</si>
  <si>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</si>
  <si>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</si>
  <si>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</si>
  <si>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</si>
  <si>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</si>
  <si>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</si>
  <si>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</si>
  <si>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</si>
  <si>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</si>
  <si>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</si>
  <si>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</si>
  <si>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</si>
  <si>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</si>
  <si>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</si>
  <si>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</si>
  <si>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</si>
  <si>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</si>
  <si>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</si>
  <si>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</si>
  <si>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</si>
  <si>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</si>
  <si>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</si>
  <si>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</si>
  <si>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</si>
  <si>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</si>
  <si>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</si>
  <si>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</si>
  <si>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</si>
  <si>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</si>
  <si>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</si>
  <si>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</si>
  <si>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</si>
  <si>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</si>
  <si>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</si>
  <si>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</si>
  <si>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</si>
  <si>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</si>
  <si>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</si>
  <si>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</si>
  <si>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</si>
  <si>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</si>
  <si>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</si>
  <si>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</si>
  <si>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</si>
  <si>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</si>
  <si>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</si>
  <si>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</si>
  <si>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</si>
  <si>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</si>
  <si>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</si>
  <si>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</si>
  <si>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</si>
  <si>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</si>
  <si>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</si>
  <si>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</si>
  <si>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</si>
  <si>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</si>
  <si>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</si>
  <si>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</si>
  <si>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</si>
  <si>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</si>
  <si>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</si>
  <si>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</si>
  <si>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</si>
  <si>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</si>
  <si>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</si>
  <si>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</si>
  <si>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</si>
  <si>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</si>
  <si>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</si>
  <si>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</si>
  <si>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</si>
  <si>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</si>
  <si>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</si>
  <si>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</si>
  <si>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</si>
  <si>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</si>
  <si>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</si>
  <si>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</si>
  <si>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</si>
  <si>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</si>
  <si>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</si>
  <si>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</si>
  <si>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</si>
  <si>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</si>
  <si>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</si>
  <si>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</si>
  <si>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Szennyvíz-csatornázási és szennyvíztisztítási beruházás (KEOP-1.2.0/2F/09-2010-0029)</t>
  </si>
  <si>
    <t>II. Felhalmozási kiadások</t>
  </si>
  <si>
    <t>C. Költségvetési hiány belső finanszírozására szolgáló pénzforgalom nélküli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</si>
  <si>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</si>
  <si>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</si>
  <si>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</si>
  <si>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</si>
  <si>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</si>
  <si>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</si>
  <si>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</si>
  <si>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</si>
  <si>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Munka-adót terh. jár.</t>
  </si>
  <si>
    <t>Személyi juttatások</t>
  </si>
  <si>
    <t>Kiadások mindösszesen:</t>
  </si>
  <si>
    <t>Diákélelmezési Konyha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</si>
  <si>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</si>
  <si>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</si>
  <si>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</si>
  <si>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</si>
  <si>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</si>
  <si>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</si>
  <si>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</si>
  <si>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</si>
  <si>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</si>
  <si>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</si>
  <si>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</si>
  <si>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</si>
  <si>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</si>
  <si>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</si>
  <si>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</si>
  <si>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</si>
  <si>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</si>
  <si>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</si>
  <si>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</si>
  <si>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</si>
  <si>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</si>
  <si>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</si>
  <si>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</si>
  <si>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</si>
  <si>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</si>
  <si>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</si>
  <si>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</si>
  <si>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</si>
  <si>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</si>
  <si>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</si>
  <si>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</si>
  <si>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</si>
  <si>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</si>
  <si>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</si>
  <si>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</si>
  <si>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</si>
  <si>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</si>
  <si>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</si>
  <si>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</si>
  <si>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</si>
  <si>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</si>
  <si>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</si>
  <si>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</si>
  <si>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</si>
  <si>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</si>
  <si>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</si>
  <si>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</si>
  <si>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</si>
  <si>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</si>
  <si>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</si>
  <si>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</si>
  <si>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</si>
  <si>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</si>
  <si>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</si>
  <si>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</si>
  <si>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</si>
  <si>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</si>
  <si>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</si>
  <si>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</si>
  <si>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</si>
  <si>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</si>
  <si>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</si>
  <si>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</si>
  <si>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</si>
  <si>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</si>
  <si>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</si>
  <si>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</si>
  <si>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</si>
  <si>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</si>
  <si>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R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</si>
  <si>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</si>
  <si>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</si>
  <si>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</si>
  <si>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</si>
  <si>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</si>
  <si>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</si>
  <si>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</si>
  <si>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</si>
  <si>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</si>
  <si>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</si>
  <si>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</si>
  <si>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</si>
  <si>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</si>
  <si>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</si>
  <si>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</si>
  <si>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</si>
  <si>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</si>
  <si>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</si>
  <si>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</si>
  <si>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</si>
  <si>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</si>
  <si>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</si>
  <si>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2015.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</si>
  <si>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</si>
  <si>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</si>
  <si>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</si>
  <si>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</si>
  <si>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</si>
  <si>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</si>
  <si>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</si>
  <si>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</si>
  <si>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</si>
  <si>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</si>
  <si>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</si>
  <si>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</si>
  <si>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</si>
  <si>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</si>
  <si>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</si>
  <si>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</si>
  <si>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</si>
  <si>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</si>
  <si>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</si>
  <si>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</si>
  <si>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</si>
  <si>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</si>
  <si>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</si>
  <si>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</si>
  <si>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</si>
  <si>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</si>
  <si>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</si>
  <si>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</si>
  <si>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</si>
  <si>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</si>
  <si>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</si>
  <si>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</si>
  <si>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</si>
  <si>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</si>
  <si>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</si>
  <si>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</si>
  <si>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</si>
  <si>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</si>
  <si>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</si>
  <si>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</si>
  <si>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</si>
  <si>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</si>
  <si>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</si>
  <si>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</si>
  <si>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</si>
  <si>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</si>
  <si>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</si>
  <si>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</si>
  <si>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</si>
  <si>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</si>
  <si>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</si>
  <si>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</si>
  <si>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</si>
  <si>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</si>
  <si>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</si>
  <si>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</si>
  <si>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</si>
  <si>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</si>
  <si>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</si>
  <si>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</si>
  <si>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</si>
  <si>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>24</t>
  </si>
  <si>
    <t>25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</si>
  <si>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</si>
  <si>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</si>
  <si>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</si>
  <si>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</si>
  <si>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</si>
  <si>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</si>
  <si>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</si>
  <si>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</si>
  <si>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</si>
  <si>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</si>
  <si>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</si>
  <si>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</si>
  <si>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</si>
  <si>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</si>
  <si>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</si>
  <si>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</si>
  <si>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</si>
  <si>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</si>
  <si>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</si>
  <si>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</si>
  <si>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Óvodáztatási támogatás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</si>
  <si>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</si>
  <si>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</si>
  <si>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</si>
  <si>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</si>
  <si>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</si>
  <si>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</si>
  <si>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</si>
  <si>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</si>
  <si>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</si>
  <si>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</si>
  <si>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</si>
  <si>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</si>
  <si>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</si>
  <si>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</si>
  <si>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</si>
  <si>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</si>
  <si>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</si>
  <si>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</si>
  <si>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</si>
  <si>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</si>
  <si>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</si>
  <si>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</si>
  <si>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</si>
  <si>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</si>
  <si>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</si>
  <si>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</si>
  <si>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</si>
  <si>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</si>
  <si>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</si>
  <si>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</si>
  <si>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</si>
  <si>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</si>
  <si>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</si>
  <si>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</si>
  <si>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</si>
  <si>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</si>
  <si>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</si>
  <si>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</si>
  <si>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</si>
  <si>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</si>
  <si>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</si>
  <si>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</si>
  <si>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</si>
  <si>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</si>
  <si>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</si>
  <si>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</si>
  <si>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</si>
  <si>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</si>
  <si>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</si>
  <si>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</si>
  <si>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</si>
  <si>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</si>
  <si>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Gyermeklánc Óvoda és Egységes Óvoda-Bölcsőde összesen: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</si>
  <si>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</si>
  <si>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</si>
  <si>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</si>
  <si>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</si>
  <si>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</si>
  <si>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</si>
  <si>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</si>
  <si>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</si>
  <si>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</si>
  <si>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</si>
  <si>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</si>
  <si>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</si>
  <si>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</si>
  <si>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</si>
  <si>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</si>
  <si>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</si>
  <si>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</si>
  <si>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</si>
  <si>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</si>
  <si>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</si>
  <si>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</si>
  <si>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</si>
  <si>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</si>
  <si>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</si>
  <si>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</si>
  <si>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</si>
  <si>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</si>
  <si>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</si>
  <si>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</si>
  <si>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</si>
  <si>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</si>
  <si>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</si>
  <si>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VárosI Önkormányzat  2015. évi költségvetési kiadásai feladatonként</t>
  </si>
  <si>
    <t>Jánoshalma Város Önkormányzatának és költségvetési szerveinek 2015. évi költségvetési kiadásai kötelező-, önként vállalt-, és állami (államigazgatási) feladatok szerinti bontásban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</si>
  <si>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</si>
  <si>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</si>
  <si>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</si>
  <si>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</si>
  <si>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</si>
  <si>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K1103</t>
  </si>
  <si>
    <t xml:space="preserve"> Céljuttatás, projektprémium</t>
  </si>
  <si>
    <t>közgyógyellátás</t>
  </si>
  <si>
    <t>3.4. Tulajdonosi bevételek</t>
  </si>
  <si>
    <t xml:space="preserve">Céltartalék - Eü-i Központ kölcsön visszafizetés 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</si>
  <si>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</si>
  <si>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</si>
  <si>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</si>
  <si>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</si>
  <si>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</si>
  <si>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</si>
  <si>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</si>
  <si>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</si>
  <si>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</si>
  <si>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</si>
  <si>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</si>
  <si>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</si>
  <si>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</si>
  <si>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Város-, községgazdálkodási egyéb szolgáltatások</t>
  </si>
  <si>
    <t>Üdülői szálláshely-szolgáltatás és étkeztetés</t>
  </si>
  <si>
    <t>Könyvtári állomány gyarapítása, nyilvántartása</t>
  </si>
  <si>
    <t>Óvodai nevelés, ellátás működtetési feladatai</t>
  </si>
  <si>
    <t>Időskorúak, demens betegek tartós bentlakásos ellátása</t>
  </si>
  <si>
    <t>Egyéb szociális pénzbeli ellátások, támogatások</t>
  </si>
  <si>
    <t>Védőnők 2015.évi OEP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</si>
  <si>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</si>
  <si>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</si>
  <si>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</si>
  <si>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</si>
  <si>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</si>
  <si>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</si>
  <si>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</si>
  <si>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</si>
  <si>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</si>
  <si>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</si>
  <si>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</si>
  <si>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</si>
  <si>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</si>
  <si>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</si>
  <si>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</si>
  <si>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</si>
  <si>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</si>
  <si>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</si>
  <si>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Arany J. u. 13. sz. alatti ingatlanrész felújítása - bérleti díj beszámítást meghaladó kiadás</t>
  </si>
  <si>
    <t>Dózsa Gy. utcai parkoló kialakítása</t>
  </si>
  <si>
    <t>Tárgyi eszköz beszerzések (oxigénpalack) - Háziorvosi ügyeleti ellátás részére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</si>
  <si>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</si>
  <si>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</si>
  <si>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</si>
  <si>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</si>
  <si>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</si>
  <si>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</si>
  <si>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</si>
  <si>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</si>
  <si>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</si>
  <si>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</si>
  <si>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</si>
  <si>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</si>
  <si>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</si>
  <si>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</si>
  <si>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</si>
  <si>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</si>
  <si>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</si>
  <si>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</si>
  <si>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</si>
  <si>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</si>
  <si>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</si>
  <si>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</si>
  <si>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</si>
  <si>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</si>
  <si>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</si>
  <si>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</si>
  <si>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</si>
  <si>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</si>
  <si>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</si>
  <si>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</si>
  <si>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</si>
  <si>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</si>
  <si>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</si>
  <si>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</si>
  <si>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</si>
  <si>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</si>
  <si>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</si>
  <si>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</si>
  <si>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</si>
  <si>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</si>
  <si>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</si>
  <si>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</si>
  <si>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</si>
  <si>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</si>
  <si>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</si>
  <si>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</si>
  <si>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</si>
  <si>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</si>
  <si>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</si>
  <si>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</si>
  <si>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</si>
  <si>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</si>
  <si>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</si>
  <si>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</si>
  <si>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 xml:space="preserve">Start-munka program - Téli közfoglalkoztatás - 2014. évről áthúzódó </t>
  </si>
  <si>
    <t>3.1. Készletértékesítés ellenértéke</t>
  </si>
  <si>
    <t>Kölcsön visszatérülés- Közfoglalkoztatás Non-profit Kft</t>
  </si>
  <si>
    <t>Munkaügyi Kp. felh. c. tám. -2015. évben induló START-munkaprogramok</t>
  </si>
  <si>
    <t xml:space="preserve">Főtérre 3 db új kamera beállítása, a rendszer sávszélesség növelése </t>
  </si>
  <si>
    <t>2012. évi fejl. c. viziközmű elszámolásból Városgazda Kft-től</t>
  </si>
  <si>
    <t>46/2015.(II.26.) Kt. hat. 2015. évi hosszabb időtartamú közf. - önerő</t>
  </si>
  <si>
    <t>47/2015.(II.26.) Kt. hat. Százszorszépföld Egyesülethez való csatlakozás - tagdíj</t>
  </si>
  <si>
    <t>Ellátottak juttatásai - kiegészítő támogatások (FHT, RSZS) rendezése</t>
  </si>
  <si>
    <t>2015-ben induló START - munkaprogram önerő visszavezetés</t>
  </si>
  <si>
    <t>Vízi- és szennyvízközművel kapcsolatos 2012. évi fejlesztési c. pénzeszköz elszámolásából Városgazda Kft. által visszautalt összeg</t>
  </si>
  <si>
    <t xml:space="preserve">Topolyai Kodály Z. MMK Cirkalom Néptáncegyüttesének utiköltsége (márc. 15-i rendezvény) </t>
  </si>
  <si>
    <t>Létszám-leépít. kapcs. fiz. köt. tart.</t>
  </si>
  <si>
    <t>Maradványból képzett tartalék</t>
  </si>
  <si>
    <t>IV. Előző évek költségvetési maradványának (és váll. mar.) igénybevétele</t>
  </si>
  <si>
    <t>1.4. Elvonások és befizetések bevételei</t>
  </si>
  <si>
    <t>5.5. Tartalékok</t>
  </si>
  <si>
    <t>5.4. Helyi önk-k előző évi elszámolásából származó kiadások</t>
  </si>
  <si>
    <t>V. Belföldi értékpapírok kiadásai</t>
  </si>
  <si>
    <t>VI. Hitel-, kölcsöntörlesztés államháztartáson kívülre</t>
  </si>
  <si>
    <t>VII. Államháztartáson belüli megelőlegezések visszafizetése</t>
  </si>
  <si>
    <t>D. Finanszírozási bevételek</t>
  </si>
  <si>
    <t xml:space="preserve">VII. Államháztartáson belüli megelőlegezések </t>
  </si>
  <si>
    <t>5.5. Egyéb elvonások, befizetések</t>
  </si>
  <si>
    <t>Maradványból képzett tart.</t>
  </si>
  <si>
    <t>Helyi önk. Előző évi elsz-ból sz. kiad.</t>
  </si>
  <si>
    <t>018020</t>
  </si>
  <si>
    <t>Központi költségvetési befizetések</t>
  </si>
  <si>
    <t>900090</t>
  </si>
  <si>
    <t>Vállalkozási tev. - Növénytermesztés és kapcs. szolg.</t>
  </si>
  <si>
    <t>063020</t>
  </si>
  <si>
    <t>Víztermelés, -kezelés, -ellátás</t>
  </si>
  <si>
    <t>Áht. 2011. évi CXCV. tv. 53.§</t>
  </si>
  <si>
    <t>Mötv. 13.§(1) 11. 21.</t>
  </si>
  <si>
    <t xml:space="preserve"> ÁFA visszatérülés</t>
  </si>
  <si>
    <t>Nyári gyermekétkeztetés támogatása</t>
  </si>
  <si>
    <t>Műk. c. m. igénybevétel</t>
  </si>
  <si>
    <t>2014. évi szabad maradvány elvonása</t>
  </si>
  <si>
    <t>Villamos energia díj visszatérítés</t>
  </si>
  <si>
    <t>2014. december havi bérkompenzáció</t>
  </si>
  <si>
    <t>2015. évi bérkompenzáció</t>
  </si>
  <si>
    <t>2015. évi könyvtári érdekeltségnövelő támogatás</t>
  </si>
  <si>
    <t>Áfa visszatérítés</t>
  </si>
  <si>
    <t>45</t>
  </si>
  <si>
    <t>46</t>
  </si>
  <si>
    <t>Sportcsarnok napkollektoros rendszeréhez hőmennyiségmérő beszerzése</t>
  </si>
  <si>
    <t>Polgármesteri Hivatal elhelyezésének tervezési munkái</t>
  </si>
  <si>
    <t>Pénzügyi osztály Kölcsey u. 12. sz. alatti elhelyezésének kialakítása</t>
  </si>
  <si>
    <t>Víziközmű fejlesztés - Batthyány u. 15. sz. előtti tűzcsap korszerűsítés</t>
  </si>
  <si>
    <t>Ivókutak beszerelése, kiépítése, szúnyoghálós ajtó, gázbojler csere</t>
  </si>
  <si>
    <t>Kémények felújítása - Petőfi utcai óvoda</t>
  </si>
  <si>
    <t>Maradványból képzett tartalék képzése</t>
  </si>
  <si>
    <t>61/2015. (III.26) Kt. hat. Bács-Szakma Zrt. Önkormányzati tulajdonrész értékesítése</t>
  </si>
  <si>
    <t>72/2015. (IV.29) Kt. hat.Sportcsarnok napkollektoros rendszerhez hőmennyiségmérő beszerz.</t>
  </si>
  <si>
    <t>100/2015. (V.28) Kt. hat. Belterületi utak, járdák felújítása - pályázati önerő</t>
  </si>
  <si>
    <t>101/2015. (V.28) Kt. hat Sportcsarnok küzdőtér parketta felújítás - pályázati önerő</t>
  </si>
  <si>
    <t>73/2015. (IV.29) Kt. hat. Suzuki Vitara Allgrip Pr. 1,6 típusú terepjáró beszerz. - pály. önrész</t>
  </si>
  <si>
    <t>103/2015. (V.28) Kt. hat. Polgármesteri Hivatal elhelyezése</t>
  </si>
  <si>
    <t>85/2015. (IV.29) Kt. hat. Gyermekétkeztetés feltételeit javító fejlesztések pályázati önerő</t>
  </si>
  <si>
    <t>104/2015. (V.28) Kt. hat. Jánoshalmi Napok költségkeret</t>
  </si>
  <si>
    <t>2014. évi állami támogatások elszámolása alapján visszafizetendő különbözet</t>
  </si>
  <si>
    <t>2013. évi állami támogatások elszámolásának felülvizsgálatakor megállapított visszafizetési kötelezettség</t>
  </si>
  <si>
    <t xml:space="preserve">Maradványt terhelő kötelezettségek </t>
  </si>
  <si>
    <t>Védőnők  OEP-finanszírozásának maradványa előző évekről</t>
  </si>
  <si>
    <t>Környezetvédelmi alap (Előző évek maradványa)</t>
  </si>
  <si>
    <t>Céltartalék - viziközművek  bérleti díj bevétel maradványa előző évekről</t>
  </si>
  <si>
    <t>Önkormányzati intézmények elvont 2014. évi szabad költségvetési maradványának tartalékba helyezése</t>
  </si>
  <si>
    <t>Gyermeklánc Óvoda és Egységes Óvoda-Bölcsőde fejlesztési igénye</t>
  </si>
  <si>
    <t>Villamos energia díj túlfizetésének visszatérítése</t>
  </si>
  <si>
    <t>Védőnők irodahelyiségének, tanácsadó helyiségének áramfogyasztása</t>
  </si>
  <si>
    <t>Imre Z. Műv. Közp. - napelemes fejlesztés tervezés, kivitelezés</t>
  </si>
  <si>
    <t>Védőnők 2014. évi OEP-finanszírozás maradványa</t>
  </si>
  <si>
    <t>2015.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</si>
  <si>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(eFt)     </t>
  </si>
  <si>
    <t xml:space="preserve">2015. évi költségvetésben tervezett bevételi előirányzatok (eFt)    </t>
  </si>
  <si>
    <t xml:space="preserve">2015. évi költségvetésben tervezett kiadási előirányzatok (eFt)    </t>
  </si>
  <si>
    <t>évenkénti üteme</t>
  </si>
  <si>
    <t>2011. év</t>
  </si>
  <si>
    <t>2012. év</t>
  </si>
  <si>
    <t>2013. év</t>
  </si>
  <si>
    <t>2014. év</t>
  </si>
  <si>
    <t>Jánoshalma Város Polgármesteri Hivatalának szervezetfejlesztése II. (ÁROP-1.A.5-2013-2013-0111)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</si>
  <si>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</si>
  <si>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</si>
  <si>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</si>
  <si>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</si>
  <si>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</si>
  <si>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Bér + járulék kiadások (elszámolható)</t>
  </si>
  <si>
    <t>Dologi kiadások (elszámolható)</t>
  </si>
  <si>
    <t>Dologi kiadások (nem elszámolható)</t>
  </si>
  <si>
    <t>EU-s forrás és hazai együtt</t>
  </si>
  <si>
    <t>Egyéb forrás (ÁFA visszatérülés)</t>
  </si>
  <si>
    <t>Fizetendő ÁFA</t>
  </si>
  <si>
    <t>Imre Zoltán Műv. Kp. villamosenergia megtakarítását eredményező napelemes fejlesztés (KEOP-4.10.0/A/12-2013-0726)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</si>
  <si>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</si>
  <si>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</si>
  <si>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</si>
  <si>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</si>
  <si>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</si>
  <si>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</si>
  <si>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</si>
  <si>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</si>
  <si>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</si>
  <si>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>Saját erő -  elszámolható</t>
  </si>
  <si>
    <t>Saját erő  - nem elszámolható</t>
  </si>
  <si>
    <t xml:space="preserve">Saját erő </t>
  </si>
  <si>
    <t>Helyi önkormányzatok működési célú költségvetési támogatásai</t>
  </si>
  <si>
    <t>I.3.</t>
  </si>
  <si>
    <t>Gyermekszegénység elleni program keretében nyári étkeztetés biztosítása</t>
  </si>
  <si>
    <t>2015. évi bérkompenzáció (becsült összeg)</t>
  </si>
  <si>
    <t>Helyi önkormányzatok felhalmozási célú költségvetési támogatásai</t>
  </si>
  <si>
    <t xml:space="preserve">II.4. </t>
  </si>
  <si>
    <t>Önkormányzati feladatellátást szolgáló fejlesztések</t>
  </si>
  <si>
    <t>Óvodai, iskolai és utánpótlás sport infrastruktúra-fejlesztés, felújítás</t>
  </si>
  <si>
    <t>IV.1.i</t>
  </si>
  <si>
    <t>A települési önkormányzatok könyvtári célú érdekeltségnövelő támogatása</t>
  </si>
  <si>
    <t xml:space="preserve">II.4.ad) </t>
  </si>
  <si>
    <t>3. melléklet jogcímei mindösszesen:</t>
  </si>
  <si>
    <t>23. Eü. ellátás</t>
  </si>
  <si>
    <t>32. Pelikán Kft. feladatell. tám.</t>
  </si>
  <si>
    <t>Jánoshalma Város Önkormányzatának  és költségvetési szerveinek 2015. évi  bevételei és  kiadásai kötelező-, önként vállalt-, és állami (államigazgatási) feladatok szerinti bontásban</t>
  </si>
  <si>
    <t>K353</t>
  </si>
  <si>
    <t>Kamatkiadások</t>
  </si>
  <si>
    <t>5.6. Műk. c. v.térítendő támogatások, kölcs. nyújt. állh-on belülre</t>
  </si>
  <si>
    <t>Műk. célú kölcsön nyújtás ÁH-on kív.</t>
  </si>
  <si>
    <t>Műk. célú kölcsön nyújtás ÁH-on bel.</t>
  </si>
  <si>
    <t>Folyószámla hitel felvétel</t>
  </si>
  <si>
    <t>Település rendezési terv módosítás támogatása</t>
  </si>
  <si>
    <t>Képzőművészeri Alkotótábor tám.-JH-ért Alapítvány</t>
  </si>
  <si>
    <t>Jh-i Napok támogatása- magánszemély</t>
  </si>
  <si>
    <t>OTP Bank Nyrt. -reklámszolgáltatás díja</t>
  </si>
  <si>
    <t>Jh-i Napok -tárgyi eszk. bérbeadás bev.</t>
  </si>
  <si>
    <t>Készletértékesítés bevétele</t>
  </si>
  <si>
    <t>4.sz. háziorvosi körzet, iskola eü. OEP- finanszírozás</t>
  </si>
  <si>
    <t>Átmeneti ivóvízellátás működtetési támogatása</t>
  </si>
  <si>
    <t>Kártérítés - egyéb működési bevétel</t>
  </si>
  <si>
    <t>Szoc. Otthon- hagyatéki térítés  bevétele</t>
  </si>
  <si>
    <t>Mentőállomás kerítés építés</t>
  </si>
  <si>
    <t xml:space="preserve">Sportcsarnok küzdőtér parketta felújítás </t>
  </si>
  <si>
    <t>Folyószámla hitel járulékos költségei</t>
  </si>
  <si>
    <t>Európa Bajnokságon való részvétel támogatása</t>
  </si>
  <si>
    <t>Nyári diákmunka program - foglalkozás egészségügyi vizsgálat</t>
  </si>
  <si>
    <t>Hatályos településrendezési terv módosítása</t>
  </si>
  <si>
    <t>Bontott anyag értékesítés bevétele (nettó)</t>
  </si>
  <si>
    <t>Létszámleépítésekhez kapcsolódó fizetési kötelezettségek tartalék képzése</t>
  </si>
  <si>
    <t>Köztemetés kiadásai</t>
  </si>
  <si>
    <t>2014. évi állami támogatások elszámolásának kamat terhe</t>
  </si>
  <si>
    <t>EPER program rendszerkövetési szolgáltatás díja</t>
  </si>
  <si>
    <t>Ingatlan értékesítés miatti befizetendő Áfa</t>
  </si>
  <si>
    <t>2014. december havi Áfa befizetési kötelezettség</t>
  </si>
  <si>
    <t>I.9.</t>
  </si>
  <si>
    <t>Átmeneti ivóvízellátás biztosításával kapcsolatos költségek finanszírozásának támogatása</t>
  </si>
  <si>
    <t>a Magyarország 2015. évi központi költségvetéséről szóló 2014. évi C. törvény 2. sz. és 3. sz. mellékletének jogcímei szerint</t>
  </si>
  <si>
    <t>Nyári diákmunka program</t>
  </si>
  <si>
    <t>Start-munka program - Téli közfoglalkoztatás - 2014. évről áthúzódó</t>
  </si>
  <si>
    <t>Napenergia h. ipari területen pr. EU Önerő Alap</t>
  </si>
  <si>
    <t>Ipari terület "Napenergia hasznosítása.." projekt EU támogatása</t>
  </si>
  <si>
    <t>Munkaügyi Kp. műk. c. tám. - Nyári diákmunka program</t>
  </si>
  <si>
    <t>Kölcsön visszatérülés - Jánoshalmi Kistérségi Társulás</t>
  </si>
  <si>
    <t>Céltartalék - Létszámleép. kapcs. fiz. kötelezettségekre</t>
  </si>
  <si>
    <t>Fejlesztési c. tartalék - Eü-i Közp. tagi kölcsön visszafiz.</t>
  </si>
  <si>
    <t>Céltartalék - Környezetvédelmi Alap</t>
  </si>
  <si>
    <t>Céltartalék - Védőnők OEP finansz. maradványából</t>
  </si>
  <si>
    <t>Köztemető - fenntartás és  -működtetés</t>
  </si>
  <si>
    <t>Önkormányzati vagyonnal való gazdálkodással kapcs. feladatok</t>
  </si>
  <si>
    <t>ÁROP-1.A.5-2013-2013-0111 projekt</t>
  </si>
  <si>
    <t>Zöldterület - kezelés</t>
  </si>
  <si>
    <t>Művészeti tevékenységek - IPA Határon Átnyúló Projekt FAB (Magyarország - Szerbia)</t>
  </si>
  <si>
    <t>Közművelődés - hagyományos közösségi kulturális értékek gondozása</t>
  </si>
  <si>
    <t>Vállalkozási tevékenység - Növénytermesztés és kapcs. szolg.</t>
  </si>
  <si>
    <t>Műk. célú maradvány igénybevétele</t>
  </si>
  <si>
    <t>Felhalm.  célú maradvány igénybevétele</t>
  </si>
  <si>
    <t>Ingatlan, termőföld értékesítése</t>
  </si>
  <si>
    <t>Jánoshalmi Polgármesteri Hivatal</t>
  </si>
  <si>
    <t>KEOP-4.10.0/C/12-2013-0048 "Napenergia hasznosítása villamos energia előállítására a Jánoshalmi ipari területen" projekt beruházási kiadásai</t>
  </si>
  <si>
    <t>KEOP-1.2.0/2F/09-2010-0029 "Jánoshalma város szennyvíz-csatornázása és szennyvíztisztítása" projekt beruházási kiadásai</t>
  </si>
  <si>
    <t>KEOP-4.10.0/A/12-2013-0726 "Imre Zoltán Művelődési Központ villamos energia megtakarítását eredményező napelemes fejlesztés" projekt beruházási kiadásai</t>
  </si>
  <si>
    <t>Jánoshalmi Közfoglalkoztatási Nonprofit Kft. megalapítása - törzstőke jegyzése</t>
  </si>
  <si>
    <t>Téglagyár utcai zárt csapadékvíz rendszer felújítása</t>
  </si>
  <si>
    <t>Fejlesztési célú céltartalék - Jh.-i Kistérségi Egészségügyi Központ Kft tagi kölcsön visszafizetéséből</t>
  </si>
  <si>
    <t xml:space="preserve">Céltartalék - viziközművek 2015. évi  bérleti díj bevételéből és az előző évek bérleti díj maradványából (szerződés szerint viziközművek fejlesztésére fordítandó a szolgáltatóval történő egyeztetés alapján) </t>
  </si>
  <si>
    <t>Radnóti utcai óvodaépületben fűtésrendszer átalakítása - kazánház kialakítása</t>
  </si>
  <si>
    <t>Informatikai és egyéb tárgyi eszköz beszerzések (2 db laptop, ruhafogas, csecsemőmérleg 2 db, légzésfigyelő) - Család- és nővédelmi egészségügyi gondozás részére</t>
  </si>
  <si>
    <t>Napenergia hasznosítása villamos energia előállítására a Jh-i ipari területen (KEOP-4.10.0/C/12-2013-0048)</t>
  </si>
  <si>
    <t>IPA Határon Átnyúló Projekt FAB (Magyarország- Szerbia) - Szerbiai pályázati partnereknek továbbutalandó felhalmozási célú támogatás</t>
  </si>
  <si>
    <t xml:space="preserve">kiegészítő gyermekvédelmi támogatás és a kieg. gyermekvédelmi tám. pótléka </t>
  </si>
  <si>
    <t xml:space="preserve">foglalkoztatást helyettesítő támogatás </t>
  </si>
  <si>
    <t xml:space="preserve">lakásfenntartási támogatás </t>
  </si>
  <si>
    <t xml:space="preserve">rendszeres szociális segély </t>
  </si>
  <si>
    <t>települési támogatás</t>
  </si>
  <si>
    <t>köztemetés</t>
  </si>
  <si>
    <t>Szoc. tv. 25.§ (3)b, 45.§(1), 48.§ (1)</t>
  </si>
  <si>
    <t>Egyéb szoc. pénzbeli ellátások, támogatások (települési támogatás, köztemetés)</t>
  </si>
  <si>
    <t>Eü.a.  tv.</t>
  </si>
  <si>
    <t>2015. évi CXXIII. törvény az egészségügyi alapellátásról</t>
  </si>
  <si>
    <t xml:space="preserve">Mötv. 13.§(1) 4., Eü. a.tv. 5.§(1) </t>
  </si>
  <si>
    <t>Gyvt. 151.§  (2b)</t>
  </si>
  <si>
    <t>Szoc.tv. 25.§ (3) ab</t>
  </si>
  <si>
    <t>Szoc.tv. 134/D.§a,</t>
  </si>
  <si>
    <t xml:space="preserve">Gyvt. tv. 14.§ (3), 20/A.§,20/B.§, </t>
  </si>
  <si>
    <t>Hdt. 9.§, Szoc. tv. 45.§ (1)</t>
  </si>
  <si>
    <t xml:space="preserve">  </t>
  </si>
  <si>
    <t>táppénz hozzájárulás</t>
  </si>
  <si>
    <t xml:space="preserve">Műk. c. visszatérítendő támogatások, kölcsönök nyújtása államháztartáson kívülre </t>
  </si>
  <si>
    <t>K354</t>
  </si>
  <si>
    <t>Egyéb pénzügyi műveletek kiadásai</t>
  </si>
  <si>
    <t>3.8. Egyéb pénzügyi műveletek bevételei</t>
  </si>
  <si>
    <t>3.9. Egyéb működési bevételek</t>
  </si>
  <si>
    <t>3.10 Biztosító által fizetett kártérítés</t>
  </si>
  <si>
    <t>1.3. Felh. c. vtérítendő támog., kölcsönök vtérülése állh.-on belülről</t>
  </si>
  <si>
    <t>Felh.  célú kölcsön nyújtás ÁH-on bel.</t>
  </si>
  <si>
    <t>Felh. célú tám. ÁH-on belülre</t>
  </si>
  <si>
    <t>Kölcsön v.térülés- Jh- Mélykút Ivóvíz. Társ.</t>
  </si>
  <si>
    <t>Kölcsön visszatérülés - Lajtha L. Kft.</t>
  </si>
  <si>
    <t>Köznevelési intézm.-ek működtet.-hez kapcs. tám.</t>
  </si>
  <si>
    <t>Jánoshalmi Napok NKA támogatása</t>
  </si>
  <si>
    <t>LEADER projekt támogatása</t>
  </si>
  <si>
    <t>IPA projekt - árfolyamnyereség</t>
  </si>
  <si>
    <t>2015. évi közművelődési érdekeltségnövelő támogatás</t>
  </si>
  <si>
    <t>Imre Zoltán Műv. Kp. Napelemes fejlesztés projekt EU önerő alap támogatása</t>
  </si>
  <si>
    <t>Nyitnikék Gyerekház fejezeti műk. c.  támogatása</t>
  </si>
  <si>
    <t>Nyitnikék Gyerekház fejezeti felh.  c.  támogatása</t>
  </si>
  <si>
    <t>Továbbszámlázott telep rend.terv. mód., közüzemi díjak és vagyonbiztosítási díjak bevételei</t>
  </si>
  <si>
    <t>KEOP-5.7.0 Önkormányzati tulajdonban lévő középületek energetikai felújítása - többletkiadás</t>
  </si>
  <si>
    <t>Műfüves pálya kialakítása (talajmechanikai szakvélemény)</t>
  </si>
  <si>
    <t>Jánoshalmi Művésztelep működéséhez eszközök biztosítása (40 db képkeret, 1db vízforraló, 1 db rezsó)</t>
  </si>
  <si>
    <t>Naperőmű távfelügyelet ellátásához szükséges internet kapcsolat biztosításához eszközök beszerzése</t>
  </si>
  <si>
    <t>Zászlók készíttetése</t>
  </si>
  <si>
    <t>Jánoshalma Vízmű gépház csapadékvíz elvezetésének felújítása</t>
  </si>
  <si>
    <t>2015. évi közművelődési érdekeltségnövelő támogatás - eszközbeszerzés</t>
  </si>
  <si>
    <t>Biztos Kezdet Nyitnikék Gyerekház pályázati támogatás - eszközbeszerzés</t>
  </si>
  <si>
    <t>Biztos Kezdet Nyitnikék Gyerekház előirányzatainak átcsoportosításából kisértékű tárgyi eszközök beszerzése</t>
  </si>
  <si>
    <t>Ivóvízminőség-javító beruházás átmeneti finanszírozásához felhalmozási c. kölcsön nyújtása Jánoshalma- Mélykút Ivóvíminőségjavító Önkormányzati Társulás számára</t>
  </si>
  <si>
    <t>IPA Határon Átnyúló Projekt FAB (Magyarország- Szerbia) - Hazai támogatási előleg elszámolása miatti visszafizetési kötelezettség</t>
  </si>
  <si>
    <t>179/2015.(X.22.) Kt. hat. Naperőmű felügyeleti és karbantartási díja és a felügyelethez szükséges eszköz beszerzése</t>
  </si>
  <si>
    <t>180/2015.(X.22.) Kt. hat. Naperőmű elektronikus védelme</t>
  </si>
  <si>
    <t>184/2015. (X.22) Kt. hat. Pelikán Kft. ellátási szerződésének módosítása</t>
  </si>
  <si>
    <t>186/2015. (X.22) Kt. hat. Ivóvízminőség-javító beruházás finanszírozása</t>
  </si>
  <si>
    <t>Közmunkaprogramok előirányzat rendezése</t>
  </si>
  <si>
    <t>Közmunkaprogramok 2014. év végi előlegének elszámolása</t>
  </si>
  <si>
    <t>Jánoshalma Város közbiztonsága javítása érdekében kamerarendszer kiépítése - LEADER projekt támogatása</t>
  </si>
  <si>
    <t>Gyermekétkeztetés feltételeit javító fejlesztések pályázati önerőből tartalék képzés (a pályázat nem nyert támogatást)</t>
  </si>
  <si>
    <t>Belterületi utak, járdák, hidak felújítása pályázati önerőből tartalék képzés  (a pályázat nem nyert támogatást)</t>
  </si>
  <si>
    <t>Suzuki Vitara személygépjármű beszerzés pályázati önerőből tartalék képzés (a pályázat nem nyert támogatást)</t>
  </si>
  <si>
    <t>Óvodapedagógusok bértámogatásához kapcs. mutatószám csökkenés miatti állami támogatás csökkenés</t>
  </si>
  <si>
    <t>Imre Z. Műv. Közp. napelemes fejlesztés EU önerő alap támogatása</t>
  </si>
  <si>
    <t>IPA Határon Átnyúló Együttműködési Program - 2015. évi fennmaradó rész</t>
  </si>
  <si>
    <t>Állati hullák ártalmatlanítása, kóbor ebek befogása</t>
  </si>
  <si>
    <t>Háziorvosi ügyeleti ellátás - helyettesítés</t>
  </si>
  <si>
    <t>Céltartalék - Vízmű gépház csapadékvíz elvezetésének felújítása</t>
  </si>
  <si>
    <t>II.3.</t>
  </si>
  <si>
    <t>Önkormányzatok és társulásaik európai uniós fejlesztési pályázatai saját forrás kiegészítésének támogatása</t>
  </si>
  <si>
    <t>II.7.</t>
  </si>
  <si>
    <t>Közművelődési érdekeltségnövelő támogatás, muzeális intézmények szakmai támogatása</t>
  </si>
  <si>
    <t>Hazai tám. előleg elsz. miatti visszafizetési kötelezettség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</si>
  <si>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</si>
  <si>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</si>
  <si>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</si>
  <si>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</si>
  <si>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</si>
  <si>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</si>
  <si>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</si>
  <si>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</si>
  <si>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</si>
  <si>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</si>
  <si>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</si>
  <si>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</si>
  <si>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</si>
  <si>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</si>
  <si>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</si>
  <si>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</si>
  <si>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Jánoshalma Város középületeinek energetikai felújítása (KEOP-5.7.0/15-2015-0335)</t>
  </si>
  <si>
    <t>1. melléklet a 20/2015.(XII.14.) önkormányzati rendelethez</t>
  </si>
  <si>
    <t>2. melléklet a 20/2015.(XII.14.) önkormányzati rendelethez</t>
  </si>
  <si>
    <t>3. melléklet a 20/2015.(XII.14.) önkormányzati rendelethez</t>
  </si>
  <si>
    <t>4. melléklet a 20/2015.(XII.14.) önkormányzati rendelethez</t>
  </si>
  <si>
    <t>5. melléklet a 20/2015.(XII.14.) önkormányzati rendelethez</t>
  </si>
  <si>
    <t>Gyermekvédelmi pénzbeli és természetbeni ell. (Erzsébet ut., kieg. gyermekvédelmi tám. és pótléka, óvodáztatási tám.)</t>
  </si>
  <si>
    <t>6. melléklet a 20/2015.(XII.14.) önkormányzati rendelethez</t>
  </si>
  <si>
    <t>7. melléklet a 20/2015.(XII.14.) önkormányzati rendelethez</t>
  </si>
  <si>
    <t>8. melléklet a 20/2015.(XII.14.) önkormányzati rendelethez</t>
  </si>
  <si>
    <t>9. melléklet a 20/2015. (XII.14.) önkormányzati rendelethez</t>
  </si>
  <si>
    <t>10. melléklet a 20/2015. (XII.14.) önkormányzati rendelethez</t>
  </si>
  <si>
    <t>11. melléklet  a 20/2015. (XII.14.)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</si>
</sst>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.0\ _F_t_-;\-* #,##0.0\ _F_t_-;_-* &quot;-&quot;??\ _F_t_-;_-@_-"/>
    <numFmt numFmtId="166" formatCode="_-* #,##0\ _F_t_-;\-* #,##0\ _F_t_-;_-* &quot;-&quot;??\ _F_t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11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2"/>
      <name val="Arial"/>
      <family val="2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9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ck"/>
      <bottom/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 style="thick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/>
      <top/>
      <bottom style="medium"/>
    </border>
    <border>
      <left style="thick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ck"/>
      <top/>
      <bottom/>
    </border>
    <border>
      <left style="medium"/>
      <right/>
      <top/>
      <bottom/>
    </border>
    <border>
      <left style="thick"/>
      <right/>
      <top style="medium"/>
      <bottom/>
    </border>
    <border>
      <left style="thin"/>
      <right style="thin"/>
      <top/>
      <bottom/>
    </border>
    <border>
      <left style="thin"/>
      <right style="thick"/>
      <top style="medium"/>
      <bottom/>
    </border>
    <border>
      <left/>
      <right style="thick"/>
      <top/>
      <bottom/>
    </border>
    <border>
      <left/>
      <right style="medium"/>
      <top style="medium"/>
      <bottom/>
    </border>
    <border>
      <left style="medium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 style="thick"/>
      <right/>
      <top style="medium"/>
      <bottom style="thick"/>
    </border>
    <border>
      <left style="thin"/>
      <right style="thin"/>
      <top style="medium"/>
      <bottom style="thick"/>
    </border>
    <border>
      <left/>
      <right style="thick"/>
      <top style="medium"/>
      <bottom style="thick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/>
      <right/>
      <top/>
      <bottom style="thick"/>
    </border>
    <border>
      <left style="medium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n"/>
    </border>
    <border>
      <left/>
      <right style="thin"/>
      <top style="medium"/>
      <bottom style="thick"/>
    </border>
    <border>
      <left/>
      <right style="medium"/>
      <top/>
      <bottom style="medium"/>
    </border>
    <border>
      <left style="medium"/>
      <right style="medium"/>
      <top style="medium"/>
      <bottom style="thick"/>
    </border>
    <border>
      <left/>
      <right/>
      <top style="medium"/>
      <bottom style="thick"/>
    </border>
    <border>
      <left style="thin"/>
      <right style="thick"/>
      <top style="medium"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ck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ck"/>
    </border>
    <border>
      <left style="medium"/>
      <right style="medium"/>
      <top style="thick"/>
      <bottom style="thin"/>
    </border>
    <border>
      <left/>
      <right style="medium"/>
      <top style="thick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ck"/>
      <top style="medium"/>
      <bottom style="thick"/>
    </border>
    <border>
      <left/>
      <right style="thick"/>
      <top style="medium"/>
      <bottom style="medium"/>
    </border>
    <border>
      <left style="thin"/>
      <right/>
      <top style="thin"/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thick"/>
    </border>
    <border>
      <left style="thin"/>
      <right style="medium"/>
      <top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thick"/>
      <bottom/>
    </border>
    <border>
      <left/>
      <right style="medium"/>
      <top style="medium"/>
      <bottom style="thick"/>
    </border>
    <border>
      <left style="medium"/>
      <right/>
      <top style="medium"/>
      <bottom/>
    </border>
    <border>
      <left/>
      <right style="thick"/>
      <top style="thick"/>
      <bottom/>
    </border>
    <border>
      <left/>
      <right style="thick"/>
      <top/>
      <bottom style="medium"/>
    </border>
    <border>
      <left style="medium"/>
      <right style="thick"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ck"/>
      <bottom style="thin"/>
    </border>
    <border>
      <left style="medium"/>
      <right style="medium"/>
      <top style="thick"/>
      <bottom/>
    </border>
    <border>
      <left/>
      <right style="thin"/>
      <top/>
      <bottom style="thick"/>
    </border>
    <border>
      <left/>
      <right style="thin"/>
      <top style="thick"/>
      <bottom/>
    </border>
    <border>
      <left style="medium"/>
      <right style="thick"/>
      <top/>
      <bottom style="medium"/>
    </border>
    <border>
      <left/>
      <right style="medium"/>
      <top style="medium"/>
      <bottom style="thin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1" fillId="26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2" applyNumberFormat="0" applyFill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10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0" fillId="28" borderId="7" applyNumberFormat="0" applyFont="0" applyAlignment="0" applyProtection="0"/>
    <xf numFmtId="0" fontId="109" fillId="29" borderId="0" applyNumberFormat="0" applyBorder="0" applyAlignment="0" applyProtection="0"/>
    <xf numFmtId="0" fontId="110" fillId="30" borderId="8" applyNumberFormat="0" applyAlignment="0" applyProtection="0"/>
    <xf numFmtId="0" fontId="11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31" borderId="0" applyNumberFormat="0" applyBorder="0" applyAlignment="0" applyProtection="0"/>
    <xf numFmtId="0" fontId="114" fillId="32" borderId="0" applyNumberFormat="0" applyBorder="0" applyAlignment="0" applyProtection="0"/>
    <xf numFmtId="0" fontId="115" fillId="30" borderId="1" applyNumberFormat="0" applyAlignment="0" applyProtection="0"/>
    <xf numFmtId="9" fontId="0" fillId="0" borderId="0" applyFont="0" applyFill="0" applyBorder="0" applyAlignment="0" applyProtection="0"/>
  </cellStyleXfs>
  <cellXfs count="1238"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5" fillId="0" borderId="0" xfId="59" applyFont="1">
      <alignment/>
      <protection/>
    </xf>
    <xf numFmtId="0" fontId="15" fillId="0" borderId="0" xfId="59" applyFont="1" applyAlignment="1">
      <alignment horizontal="center"/>
      <protection/>
    </xf>
    <xf numFmtId="0" fontId="2" fillId="0" borderId="17" xfId="59" applyFont="1" applyBorder="1" applyAlignment="1">
      <alignment horizontal="center" vertical="center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  <xf numFmtId="49" fontId="18" fillId="0" borderId="25" xfId="59" applyNumberFormat="1" applyBorder="1" applyAlignment="1">
      <alignment vertical="center"/>
      <protection/>
    </xf>
    <xf numFmtId="3" fontId="18" fillId="0" borderId="28" xfId="59" applyNumberFormat="1" applyBorder="1">
      <alignment/>
      <protection/>
    </xf>
    <xf numFmtId="3" fontId="18" fillId="0" borderId="25" xfId="59" applyNumberFormat="1" applyBorder="1">
      <alignment/>
      <protection/>
    </xf>
    <xf numFmtId="3" fontId="18" fillId="0" borderId="13" xfId="59" applyNumberFormat="1" applyBorder="1">
      <alignment/>
      <protection/>
    </xf>
    <xf numFmtId="3" fontId="18" fillId="0" borderId="20" xfId="59" applyNumberFormat="1" applyBorder="1">
      <alignment/>
      <protection/>
    </xf>
    <xf numFmtId="3" fontId="18" fillId="0" borderId="0" xfId="59" applyNumberFormat="1">
      <alignment/>
      <protection/>
    </xf>
    <xf numFmtId="0" fontId="18" fillId="0" borderId="0" xfId="59">
      <alignment/>
      <protection/>
    </xf>
    <xf numFmtId="3" fontId="18" fillId="0" borderId="25" xfId="59" applyNumberFormat="1" applyFill="1" applyBorder="1">
      <alignment/>
      <protection/>
    </xf>
    <xf numFmtId="2" fontId="18" fillId="0" borderId="20" xfId="59" applyNumberFormat="1" applyBorder="1">
      <alignment/>
      <protection/>
    </xf>
    <xf numFmtId="2" fontId="18" fillId="0" borderId="28" xfId="59" applyNumberFormat="1" applyBorder="1">
      <alignment/>
      <protection/>
    </xf>
    <xf numFmtId="3" fontId="18" fillId="0" borderId="20" xfId="59" applyNumberFormat="1" applyFill="1" applyBorder="1">
      <alignment/>
      <protection/>
    </xf>
    <xf numFmtId="4" fontId="18" fillId="0" borderId="28" xfId="59" applyNumberFormat="1" applyFill="1" applyBorder="1">
      <alignment/>
      <protection/>
    </xf>
    <xf numFmtId="0" fontId="18" fillId="0" borderId="25" xfId="59" applyFont="1" applyBorder="1">
      <alignment/>
      <protection/>
    </xf>
    <xf numFmtId="49" fontId="18" fillId="0" borderId="0" xfId="59" applyNumberFormat="1">
      <alignment/>
      <protection/>
    </xf>
    <xf numFmtId="0" fontId="31" fillId="0" borderId="0" xfId="0" applyFont="1" applyFill="1" applyAlignment="1">
      <alignment vertical="center"/>
    </xf>
    <xf numFmtId="0" fontId="20" fillId="0" borderId="0" xfId="55" applyFont="1">
      <alignment/>
      <protection/>
    </xf>
    <xf numFmtId="0" fontId="19" fillId="0" borderId="0" xfId="55" applyFont="1" applyAlignment="1">
      <alignment vertical="center"/>
      <protection/>
    </xf>
    <xf numFmtId="0" fontId="21" fillId="0" borderId="25" xfId="55" applyFont="1" applyBorder="1" applyAlignment="1">
      <alignment horizontal="center" vertical="center" wrapText="1"/>
      <protection/>
    </xf>
    <xf numFmtId="0" fontId="23" fillId="0" borderId="25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22" fillId="0" borderId="25" xfId="55" applyFont="1" applyBorder="1">
      <alignment/>
      <protection/>
    </xf>
    <xf numFmtId="0" fontId="22" fillId="0" borderId="0" xfId="55" applyFont="1">
      <alignment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6" fillId="0" borderId="25" xfId="55" applyFont="1" applyBorder="1">
      <alignment/>
      <protection/>
    </xf>
    <xf numFmtId="0" fontId="28" fillId="0" borderId="0" xfId="55" applyFont="1">
      <alignment/>
      <protection/>
    </xf>
    <xf numFmtId="0" fontId="22" fillId="0" borderId="0" xfId="55" applyFont="1" applyBorder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6" fillId="0" borderId="25" xfId="55" applyFont="1" applyBorder="1" applyAlignment="1">
      <alignment horizontal="left" vertical="center" indent="2"/>
      <protection/>
    </xf>
    <xf numFmtId="16" fontId="26" fillId="0" borderId="25" xfId="55" applyNumberFormat="1" applyFont="1" applyBorder="1" applyAlignment="1">
      <alignment horizontal="left" vertical="center" indent="2"/>
      <protection/>
    </xf>
    <xf numFmtId="0" fontId="26" fillId="0" borderId="25" xfId="55" applyFont="1" applyBorder="1" applyAlignment="1">
      <alignment horizontal="left" indent="2"/>
      <protection/>
    </xf>
    <xf numFmtId="3" fontId="23" fillId="0" borderId="25" xfId="48" applyNumberFormat="1" applyFont="1" applyBorder="1" applyAlignment="1">
      <alignment horizontal="right"/>
    </xf>
    <xf numFmtId="3" fontId="22" fillId="0" borderId="25" xfId="48" applyNumberFormat="1" applyFont="1" applyBorder="1" applyAlignment="1">
      <alignment horizontal="right"/>
    </xf>
    <xf numFmtId="3" fontId="26" fillId="0" borderId="25" xfId="48" applyNumberFormat="1" applyFont="1" applyBorder="1" applyAlignment="1">
      <alignment horizontal="right"/>
    </xf>
    <xf numFmtId="0" fontId="32" fillId="0" borderId="25" xfId="55" applyFont="1" applyBorder="1" applyAlignment="1">
      <alignment horizontal="left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3" fontId="32" fillId="0" borderId="25" xfId="48" applyNumberFormat="1" applyFont="1" applyBorder="1" applyAlignment="1">
      <alignment horizontal="right"/>
    </xf>
    <xf numFmtId="0" fontId="32" fillId="0" borderId="25" xfId="55" applyFont="1" applyBorder="1">
      <alignment/>
      <protection/>
    </xf>
    <xf numFmtId="0" fontId="33" fillId="0" borderId="0" xfId="55" applyFont="1">
      <alignment/>
      <protection/>
    </xf>
    <xf numFmtId="0" fontId="34" fillId="0" borderId="25" xfId="55" applyFont="1" applyBorder="1" applyAlignment="1">
      <alignment horizontal="right"/>
      <protection/>
    </xf>
    <xf numFmtId="0" fontId="35" fillId="0" borderId="0" xfId="55" applyFont="1">
      <alignment/>
      <protection/>
    </xf>
    <xf numFmtId="0" fontId="36" fillId="0" borderId="25" xfId="55" applyFont="1" applyBorder="1" applyAlignment="1">
      <alignment vertical="center"/>
      <protection/>
    </xf>
    <xf numFmtId="3" fontId="36" fillId="0" borderId="25" xfId="48" applyNumberFormat="1" applyFont="1" applyBorder="1" applyAlignment="1">
      <alignment horizontal="right"/>
    </xf>
    <xf numFmtId="0" fontId="36" fillId="0" borderId="25" xfId="55" applyFont="1" applyBorder="1">
      <alignment/>
      <protection/>
    </xf>
    <xf numFmtId="0" fontId="36" fillId="0" borderId="0" xfId="55" applyFont="1">
      <alignment/>
      <protection/>
    </xf>
    <xf numFmtId="0" fontId="36" fillId="0" borderId="25" xfId="55" applyFont="1" applyBorder="1" applyAlignment="1">
      <alignment vertical="center" wrapText="1"/>
      <protection/>
    </xf>
    <xf numFmtId="0" fontId="36" fillId="0" borderId="25" xfId="55" applyFont="1" applyBorder="1" applyAlignment="1">
      <alignment horizontal="left" vertical="center"/>
      <protection/>
    </xf>
    <xf numFmtId="0" fontId="37" fillId="0" borderId="0" xfId="55" applyFont="1">
      <alignment/>
      <protection/>
    </xf>
    <xf numFmtId="0" fontId="36" fillId="0" borderId="25" xfId="55" applyFont="1" applyBorder="1" applyAlignment="1">
      <alignment horizontal="left" vertical="center" wrapText="1"/>
      <protection/>
    </xf>
    <xf numFmtId="0" fontId="38" fillId="0" borderId="0" xfId="55" applyFont="1">
      <alignment/>
      <protection/>
    </xf>
    <xf numFmtId="0" fontId="23" fillId="0" borderId="25" xfId="55" applyFont="1" applyBorder="1" applyAlignment="1">
      <alignment horizontal="left" vertical="center" indent="1"/>
      <protection/>
    </xf>
    <xf numFmtId="0" fontId="23" fillId="0" borderId="25" xfId="55" applyFont="1" applyBorder="1" applyAlignment="1">
      <alignment horizontal="left" indent="1"/>
      <protection/>
    </xf>
    <xf numFmtId="3" fontId="39" fillId="0" borderId="25" xfId="55" applyNumberFormat="1" applyFont="1" applyBorder="1" applyAlignment="1">
      <alignment horizontal="right" vertical="center"/>
      <protection/>
    </xf>
    <xf numFmtId="0" fontId="32" fillId="0" borderId="25" xfId="55" applyFont="1" applyBorder="1" applyAlignment="1">
      <alignment vertical="top"/>
      <protection/>
    </xf>
    <xf numFmtId="3" fontId="39" fillId="0" borderId="25" xfId="48" applyNumberFormat="1" applyFont="1" applyBorder="1" applyAlignment="1">
      <alignment horizontal="right"/>
    </xf>
    <xf numFmtId="0" fontId="23" fillId="0" borderId="25" xfId="55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3" fontId="20" fillId="0" borderId="25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4" fillId="0" borderId="25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4" fillId="0" borderId="25" xfId="55" applyFont="1" applyBorder="1" applyAlignment="1">
      <alignment horizontal="center"/>
      <protection/>
    </xf>
    <xf numFmtId="0" fontId="13" fillId="0" borderId="29" xfId="0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5" fillId="0" borderId="17" xfId="59" applyFont="1" applyBorder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 wrapText="1"/>
      <protection/>
    </xf>
    <xf numFmtId="0" fontId="5" fillId="0" borderId="25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center" vertical="center"/>
      <protection/>
    </xf>
    <xf numFmtId="0" fontId="5" fillId="0" borderId="2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3" fontId="41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3" fontId="43" fillId="0" borderId="33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/>
    </xf>
    <xf numFmtId="0" fontId="18" fillId="0" borderId="25" xfId="59" applyFont="1" applyBorder="1">
      <alignment/>
      <protection/>
    </xf>
    <xf numFmtId="0" fontId="18" fillId="0" borderId="17" xfId="59" applyFont="1" applyBorder="1">
      <alignment/>
      <protection/>
    </xf>
    <xf numFmtId="49" fontId="25" fillId="0" borderId="25" xfId="59" applyNumberFormat="1" applyFont="1" applyBorder="1" applyAlignment="1">
      <alignment vertical="center"/>
      <protection/>
    </xf>
    <xf numFmtId="0" fontId="25" fillId="0" borderId="25" xfId="59" applyFont="1" applyBorder="1">
      <alignment/>
      <protection/>
    </xf>
    <xf numFmtId="0" fontId="25" fillId="0" borderId="17" xfId="59" applyFont="1" applyBorder="1" applyAlignment="1">
      <alignment wrapText="1"/>
      <protection/>
    </xf>
    <xf numFmtId="3" fontId="25" fillId="0" borderId="28" xfId="59" applyNumberFormat="1" applyFont="1" applyBorder="1">
      <alignment/>
      <protection/>
    </xf>
    <xf numFmtId="3" fontId="25" fillId="0" borderId="25" xfId="59" applyNumberFormat="1" applyFont="1" applyBorder="1">
      <alignment/>
      <protection/>
    </xf>
    <xf numFmtId="3" fontId="25" fillId="0" borderId="13" xfId="59" applyNumberFormat="1" applyFont="1" applyBorder="1">
      <alignment/>
      <protection/>
    </xf>
    <xf numFmtId="3" fontId="25" fillId="0" borderId="20" xfId="59" applyNumberFormat="1" applyFont="1" applyBorder="1">
      <alignment/>
      <protection/>
    </xf>
    <xf numFmtId="3" fontId="25" fillId="0" borderId="0" xfId="59" applyNumberFormat="1" applyFont="1">
      <alignment/>
      <protection/>
    </xf>
    <xf numFmtId="0" fontId="25" fillId="0" borderId="0" xfId="59" applyFont="1">
      <alignment/>
      <protection/>
    </xf>
    <xf numFmtId="0" fontId="25" fillId="0" borderId="17" xfId="59" applyFont="1" applyBorder="1">
      <alignment/>
      <protection/>
    </xf>
    <xf numFmtId="3" fontId="25" fillId="0" borderId="25" xfId="59" applyNumberFormat="1" applyFont="1" applyFill="1" applyBorder="1">
      <alignment/>
      <protection/>
    </xf>
    <xf numFmtId="3" fontId="25" fillId="0" borderId="0" xfId="59" applyNumberFormat="1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49" fontId="25" fillId="0" borderId="25" xfId="59" applyNumberFormat="1" applyFont="1" applyBorder="1" applyAlignment="1">
      <alignment horizontal="center" vertical="center"/>
      <protection/>
    </xf>
    <xf numFmtId="3" fontId="18" fillId="0" borderId="0" xfId="59" applyNumberFormat="1" applyFont="1">
      <alignment/>
      <protection/>
    </xf>
    <xf numFmtId="3" fontId="25" fillId="0" borderId="28" xfId="59" applyNumberFormat="1" applyFont="1" applyFill="1" applyBorder="1">
      <alignment/>
      <protection/>
    </xf>
    <xf numFmtId="49" fontId="25" fillId="33" borderId="25" xfId="59" applyNumberFormat="1" applyFont="1" applyFill="1" applyBorder="1" applyAlignment="1">
      <alignment horizontal="center" vertical="center"/>
      <protection/>
    </xf>
    <xf numFmtId="0" fontId="25" fillId="33" borderId="25" xfId="59" applyFont="1" applyFill="1" applyBorder="1" applyAlignment="1">
      <alignment vertical="center"/>
      <protection/>
    </xf>
    <xf numFmtId="0" fontId="25" fillId="33" borderId="17" xfId="59" applyFont="1" applyFill="1" applyBorder="1" applyAlignment="1">
      <alignment vertical="center" wrapText="1"/>
      <protection/>
    </xf>
    <xf numFmtId="3" fontId="25" fillId="33" borderId="28" xfId="59" applyNumberFormat="1" applyFont="1" applyFill="1" applyBorder="1" applyAlignment="1">
      <alignment vertical="center"/>
      <protection/>
    </xf>
    <xf numFmtId="3" fontId="25" fillId="33" borderId="25" xfId="59" applyNumberFormat="1" applyFont="1" applyFill="1" applyBorder="1" applyAlignment="1">
      <alignment vertical="center"/>
      <protection/>
    </xf>
    <xf numFmtId="3" fontId="25" fillId="33" borderId="13" xfId="59" applyNumberFormat="1" applyFont="1" applyFill="1" applyBorder="1" applyAlignment="1">
      <alignment vertical="center"/>
      <protection/>
    </xf>
    <xf numFmtId="3" fontId="25" fillId="33" borderId="20" xfId="59" applyNumberFormat="1" applyFont="1" applyFill="1" applyBorder="1" applyAlignment="1">
      <alignment vertical="center"/>
      <protection/>
    </xf>
    <xf numFmtId="0" fontId="18" fillId="33" borderId="25" xfId="59" applyFill="1" applyBorder="1">
      <alignment/>
      <protection/>
    </xf>
    <xf numFmtId="3" fontId="18" fillId="33" borderId="28" xfId="59" applyNumberFormat="1" applyFill="1" applyBorder="1">
      <alignment/>
      <protection/>
    </xf>
    <xf numFmtId="3" fontId="18" fillId="33" borderId="25" xfId="59" applyNumberFormat="1" applyFill="1" applyBorder="1">
      <alignment/>
      <protection/>
    </xf>
    <xf numFmtId="3" fontId="25" fillId="33" borderId="13" xfId="59" applyNumberFormat="1" applyFont="1" applyFill="1" applyBorder="1">
      <alignment/>
      <protection/>
    </xf>
    <xf numFmtId="3" fontId="18" fillId="33" borderId="20" xfId="59" applyNumberFormat="1" applyFill="1" applyBorder="1">
      <alignment/>
      <protection/>
    </xf>
    <xf numFmtId="3" fontId="25" fillId="33" borderId="20" xfId="59" applyNumberFormat="1" applyFont="1" applyFill="1" applyBorder="1">
      <alignment/>
      <protection/>
    </xf>
    <xf numFmtId="0" fontId="25" fillId="33" borderId="25" xfId="59" applyFont="1" applyFill="1" applyBorder="1">
      <alignment/>
      <protection/>
    </xf>
    <xf numFmtId="3" fontId="25" fillId="33" borderId="28" xfId="59" applyNumberFormat="1" applyFont="1" applyFill="1" applyBorder="1">
      <alignment/>
      <protection/>
    </xf>
    <xf numFmtId="3" fontId="25" fillId="33" borderId="25" xfId="59" applyNumberFormat="1" applyFont="1" applyFill="1" applyBorder="1">
      <alignment/>
      <protection/>
    </xf>
    <xf numFmtId="4" fontId="25" fillId="33" borderId="28" xfId="59" applyNumberFormat="1" applyFont="1" applyFill="1" applyBorder="1">
      <alignment/>
      <protection/>
    </xf>
    <xf numFmtId="4" fontId="25" fillId="33" borderId="20" xfId="59" applyNumberFormat="1" applyFont="1" applyFill="1" applyBorder="1">
      <alignment/>
      <protection/>
    </xf>
    <xf numFmtId="49" fontId="6" fillId="0" borderId="0" xfId="58" applyNumberFormat="1" applyFont="1" applyFill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0" fontId="41" fillId="0" borderId="0" xfId="58" applyFont="1" applyFill="1" applyAlignment="1">
      <alignment vertical="center"/>
      <protection/>
    </xf>
    <xf numFmtId="0" fontId="8" fillId="0" borderId="0" xfId="58" applyFont="1" applyFill="1" applyAlignment="1">
      <alignment horizontal="left" vertical="center"/>
      <protection/>
    </xf>
    <xf numFmtId="0" fontId="0" fillId="0" borderId="0" xfId="58" applyAlignment="1">
      <alignment horizontal="left"/>
      <protection/>
    </xf>
    <xf numFmtId="0" fontId="0" fillId="0" borderId="0" xfId="58" applyFill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horizontal="left" vertical="center"/>
      <protection/>
    </xf>
    <xf numFmtId="0" fontId="4" fillId="0" borderId="24" xfId="58" applyFont="1" applyFill="1" applyBorder="1" applyAlignment="1">
      <alignment horizontal="center" vertical="center"/>
      <protection/>
    </xf>
    <xf numFmtId="49" fontId="6" fillId="0" borderId="28" xfId="58" applyNumberFormat="1" applyFont="1" applyFill="1" applyBorder="1" applyAlignment="1">
      <alignment horizontal="center" vertical="center"/>
      <protection/>
    </xf>
    <xf numFmtId="3" fontId="4" fillId="0" borderId="29" xfId="58" applyNumberFormat="1" applyFont="1" applyFill="1" applyBorder="1" applyAlignment="1">
      <alignment vertical="center" wrapText="1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6" fillId="0" borderId="25" xfId="58" applyNumberFormat="1" applyFont="1" applyFill="1" applyBorder="1" applyAlignment="1">
      <alignment vertical="center"/>
      <protection/>
    </xf>
    <xf numFmtId="0" fontId="5" fillId="0" borderId="25" xfId="58" applyFont="1" applyFill="1" applyBorder="1" applyAlignment="1">
      <alignment vertical="center" wrapText="1"/>
      <protection/>
    </xf>
    <xf numFmtId="3" fontId="4" fillId="0" borderId="11" xfId="58" applyNumberFormat="1" applyFont="1" applyFill="1" applyBorder="1" applyAlignment="1">
      <alignment vertical="center"/>
      <protection/>
    </xf>
    <xf numFmtId="3" fontId="46" fillId="0" borderId="20" xfId="58" applyNumberFormat="1" applyFont="1" applyFill="1" applyBorder="1" applyAlignment="1">
      <alignment vertical="center"/>
      <protection/>
    </xf>
    <xf numFmtId="0" fontId="5" fillId="0" borderId="34" xfId="58" applyFont="1" applyFill="1" applyBorder="1" applyAlignment="1">
      <alignment vertical="center" wrapText="1"/>
      <protection/>
    </xf>
    <xf numFmtId="3" fontId="4" fillId="0" borderId="11" xfId="58" applyNumberFormat="1" applyFont="1" applyFill="1" applyBorder="1" applyAlignment="1">
      <alignment vertical="center" wrapText="1"/>
      <protection/>
    </xf>
    <xf numFmtId="3" fontId="21" fillId="0" borderId="25" xfId="55" applyNumberFormat="1" applyFont="1" applyBorder="1" applyAlignment="1">
      <alignment vertical="center"/>
      <protection/>
    </xf>
    <xf numFmtId="0" fontId="3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56" fillId="0" borderId="25" xfId="0" applyFont="1" applyBorder="1" applyAlignment="1">
      <alignment/>
    </xf>
    <xf numFmtId="3" fontId="56" fillId="0" borderId="25" xfId="0" applyNumberFormat="1" applyFont="1" applyBorder="1" applyAlignment="1">
      <alignment/>
    </xf>
    <xf numFmtId="3" fontId="58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7" fillId="0" borderId="25" xfId="0" applyFont="1" applyBorder="1" applyAlignment="1">
      <alignment horizontal="left"/>
    </xf>
    <xf numFmtId="0" fontId="47" fillId="0" borderId="25" xfId="0" applyFont="1" applyBorder="1" applyAlignment="1">
      <alignment/>
    </xf>
    <xf numFmtId="3" fontId="47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3" fontId="59" fillId="0" borderId="25" xfId="0" applyNumberFormat="1" applyFont="1" applyBorder="1" applyAlignment="1">
      <alignment/>
    </xf>
    <xf numFmtId="0" fontId="47" fillId="0" borderId="25" xfId="0" applyFont="1" applyFill="1" applyBorder="1" applyAlignment="1">
      <alignment/>
    </xf>
    <xf numFmtId="0" fontId="47" fillId="0" borderId="25" xfId="0" applyFont="1" applyFill="1" applyBorder="1" applyAlignment="1">
      <alignment horizontal="left"/>
    </xf>
    <xf numFmtId="0" fontId="60" fillId="0" borderId="25" xfId="0" applyFont="1" applyBorder="1" applyAlignment="1">
      <alignment/>
    </xf>
    <xf numFmtId="0" fontId="47" fillId="0" borderId="25" xfId="0" applyFont="1" applyBorder="1" applyAlignment="1">
      <alignment horizontal="left" wrapText="1"/>
    </xf>
    <xf numFmtId="0" fontId="66" fillId="0" borderId="0" xfId="0" applyFont="1" applyAlignment="1">
      <alignment/>
    </xf>
    <xf numFmtId="3" fontId="15" fillId="0" borderId="25" xfId="0" applyNumberFormat="1" applyFont="1" applyBorder="1" applyAlignment="1">
      <alignment/>
    </xf>
    <xf numFmtId="0" fontId="61" fillId="0" borderId="0" xfId="0" applyFont="1" applyAlignment="1">
      <alignment/>
    </xf>
    <xf numFmtId="3" fontId="7" fillId="0" borderId="25" xfId="0" applyNumberFormat="1" applyFont="1" applyBorder="1" applyAlignment="1">
      <alignment/>
    </xf>
    <xf numFmtId="3" fontId="62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67" fillId="0" borderId="25" xfId="0" applyFont="1" applyBorder="1" applyAlignment="1">
      <alignment/>
    </xf>
    <xf numFmtId="3" fontId="67" fillId="0" borderId="25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25" xfId="0" applyFont="1" applyBorder="1" applyAlignment="1">
      <alignment/>
    </xf>
    <xf numFmtId="3" fontId="41" fillId="0" borderId="25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horizontal="right" vertical="center" wrapText="1"/>
    </xf>
    <xf numFmtId="49" fontId="6" fillId="0" borderId="28" xfId="58" applyNumberFormat="1" applyFont="1" applyFill="1" applyBorder="1" applyAlignment="1">
      <alignment horizontal="center" vertical="center"/>
      <protection/>
    </xf>
    <xf numFmtId="3" fontId="4" fillId="0" borderId="40" xfId="58" applyNumberFormat="1" applyFont="1" applyFill="1" applyBorder="1" applyAlignment="1">
      <alignment vertical="center" wrapText="1"/>
      <protection/>
    </xf>
    <xf numFmtId="3" fontId="4" fillId="0" borderId="41" xfId="58" applyNumberFormat="1" applyFont="1" applyFill="1" applyBorder="1" applyAlignment="1">
      <alignment vertical="center" wrapText="1"/>
      <protection/>
    </xf>
    <xf numFmtId="3" fontId="4" fillId="0" borderId="10" xfId="58" applyNumberFormat="1" applyFont="1" applyFill="1" applyBorder="1" applyAlignment="1">
      <alignment vertical="center" wrapText="1"/>
      <protection/>
    </xf>
    <xf numFmtId="3" fontId="4" fillId="0" borderId="28" xfId="58" applyNumberFormat="1" applyFont="1" applyFill="1" applyBorder="1" applyAlignment="1">
      <alignment vertical="center" wrapText="1"/>
      <protection/>
    </xf>
    <xf numFmtId="3" fontId="4" fillId="0" borderId="25" xfId="58" applyNumberFormat="1" applyFont="1" applyFill="1" applyBorder="1" applyAlignment="1">
      <alignment vertical="center" wrapText="1"/>
      <protection/>
    </xf>
    <xf numFmtId="3" fontId="4" fillId="0" borderId="13" xfId="58" applyNumberFormat="1" applyFont="1" applyFill="1" applyBorder="1" applyAlignment="1">
      <alignment vertical="center" wrapText="1"/>
      <protection/>
    </xf>
    <xf numFmtId="3" fontId="4" fillId="0" borderId="28" xfId="58" applyNumberFormat="1" applyFont="1" applyFill="1" applyBorder="1" applyAlignment="1">
      <alignment vertical="center"/>
      <protection/>
    </xf>
    <xf numFmtId="3" fontId="4" fillId="0" borderId="25" xfId="58" applyNumberFormat="1" applyFont="1" applyFill="1" applyBorder="1" applyAlignment="1">
      <alignment vertical="center"/>
      <protection/>
    </xf>
    <xf numFmtId="3" fontId="56" fillId="0" borderId="28" xfId="58" applyNumberFormat="1" applyFont="1" applyFill="1" applyBorder="1" applyAlignment="1">
      <alignment vertical="center"/>
      <protection/>
    </xf>
    <xf numFmtId="3" fontId="56" fillId="0" borderId="25" xfId="58" applyNumberFormat="1" applyFont="1" applyFill="1" applyBorder="1" applyAlignment="1">
      <alignment vertical="center"/>
      <protection/>
    </xf>
    <xf numFmtId="3" fontId="45" fillId="0" borderId="25" xfId="58" applyNumberFormat="1" applyFont="1" applyFill="1" applyBorder="1" applyAlignment="1">
      <alignment vertical="center"/>
      <protection/>
    </xf>
    <xf numFmtId="3" fontId="47" fillId="0" borderId="25" xfId="58" applyNumberFormat="1" applyFont="1" applyFill="1" applyBorder="1" applyAlignment="1">
      <alignment vertical="center" wrapText="1"/>
      <protection/>
    </xf>
    <xf numFmtId="3" fontId="4" fillId="0" borderId="20" xfId="58" applyNumberFormat="1" applyFont="1" applyFill="1" applyBorder="1" applyAlignment="1">
      <alignment vertical="center" wrapText="1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56" fillId="0" borderId="20" xfId="58" applyNumberFormat="1" applyFont="1" applyFill="1" applyBorder="1" applyAlignment="1">
      <alignment vertical="center"/>
      <protection/>
    </xf>
    <xf numFmtId="3" fontId="45" fillId="0" borderId="20" xfId="58" applyNumberFormat="1" applyFont="1" applyFill="1" applyBorder="1" applyAlignment="1">
      <alignment vertical="center"/>
      <protection/>
    </xf>
    <xf numFmtId="3" fontId="47" fillId="0" borderId="20" xfId="58" applyNumberFormat="1" applyFont="1" applyFill="1" applyBorder="1" applyAlignment="1">
      <alignment vertical="center" wrapText="1"/>
      <protection/>
    </xf>
    <xf numFmtId="3" fontId="4" fillId="0" borderId="33" xfId="58" applyNumberFormat="1" applyFont="1" applyFill="1" applyBorder="1" applyAlignment="1">
      <alignment vertical="center" wrapText="1"/>
      <protection/>
    </xf>
    <xf numFmtId="3" fontId="4" fillId="0" borderId="42" xfId="58" applyNumberFormat="1" applyFont="1" applyFill="1" applyBorder="1" applyAlignment="1">
      <alignment vertical="center" wrapText="1"/>
      <protection/>
    </xf>
    <xf numFmtId="3" fontId="4" fillId="0" borderId="28" xfId="58" applyNumberFormat="1" applyFont="1" applyFill="1" applyBorder="1" applyAlignment="1">
      <alignment vertical="center" wrapText="1"/>
      <protection/>
    </xf>
    <xf numFmtId="3" fontId="4" fillId="0" borderId="25" xfId="58" applyNumberFormat="1" applyFont="1" applyFill="1" applyBorder="1" applyAlignment="1">
      <alignment vertical="center" wrapText="1"/>
      <protection/>
    </xf>
    <xf numFmtId="3" fontId="48" fillId="0" borderId="43" xfId="58" applyNumberFormat="1" applyFont="1" applyFill="1" applyBorder="1" applyAlignment="1">
      <alignment vertical="center"/>
      <protection/>
    </xf>
    <xf numFmtId="3" fontId="4" fillId="0" borderId="12" xfId="58" applyNumberFormat="1" applyFont="1" applyFill="1" applyBorder="1" applyAlignment="1">
      <alignment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49" fontId="6" fillId="0" borderId="44" xfId="58" applyNumberFormat="1" applyFont="1" applyFill="1" applyBorder="1" applyAlignment="1">
      <alignment horizontal="center" vertical="center"/>
      <protection/>
    </xf>
    <xf numFmtId="3" fontId="4" fillId="0" borderId="44" xfId="58" applyNumberFormat="1" applyFont="1" applyFill="1" applyBorder="1" applyAlignment="1">
      <alignment vertical="center" wrapText="1"/>
      <protection/>
    </xf>
    <xf numFmtId="3" fontId="4" fillId="0" borderId="34" xfId="58" applyNumberFormat="1" applyFont="1" applyFill="1" applyBorder="1" applyAlignment="1">
      <alignment vertical="center" wrapText="1"/>
      <protection/>
    </xf>
    <xf numFmtId="3" fontId="4" fillId="0" borderId="45" xfId="58" applyNumberFormat="1" applyFont="1" applyFill="1" applyBorder="1" applyAlignment="1">
      <alignment vertical="center" wrapText="1"/>
      <protection/>
    </xf>
    <xf numFmtId="3" fontId="48" fillId="0" borderId="46" xfId="58" applyNumberFormat="1" applyFont="1" applyFill="1" applyBorder="1" applyAlignment="1">
      <alignment vertical="center"/>
      <protection/>
    </xf>
    <xf numFmtId="3" fontId="4" fillId="0" borderId="40" xfId="58" applyNumberFormat="1" applyFont="1" applyFill="1" applyBorder="1" applyAlignment="1">
      <alignment vertical="center"/>
      <protection/>
    </xf>
    <xf numFmtId="3" fontId="4" fillId="0" borderId="41" xfId="58" applyNumberFormat="1" applyFont="1" applyFill="1" applyBorder="1" applyAlignment="1">
      <alignment vertical="center"/>
      <protection/>
    </xf>
    <xf numFmtId="3" fontId="49" fillId="0" borderId="43" xfId="58" applyNumberFormat="1" applyFont="1" applyFill="1" applyBorder="1" applyAlignment="1">
      <alignment vertical="center"/>
      <protection/>
    </xf>
    <xf numFmtId="3" fontId="48" fillId="0" borderId="47" xfId="58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5" fillId="0" borderId="48" xfId="57" applyFont="1" applyBorder="1" applyAlignment="1">
      <alignment horizontal="center"/>
      <protection/>
    </xf>
    <xf numFmtId="0" fontId="25" fillId="0" borderId="24" xfId="57" applyFont="1" applyBorder="1">
      <alignment/>
      <protection/>
    </xf>
    <xf numFmtId="0" fontId="2" fillId="0" borderId="49" xfId="58" applyFont="1" applyFill="1" applyBorder="1" applyAlignment="1">
      <alignment horizontal="center" vertical="center" wrapText="1"/>
      <protection/>
    </xf>
    <xf numFmtId="0" fontId="25" fillId="0" borderId="50" xfId="57" applyFont="1" applyBorder="1" applyAlignment="1">
      <alignment horizontal="center"/>
      <protection/>
    </xf>
    <xf numFmtId="0" fontId="25" fillId="0" borderId="21" xfId="57" applyFont="1" applyBorder="1">
      <alignment/>
      <protection/>
    </xf>
    <xf numFmtId="0" fontId="2" fillId="0" borderId="24" xfId="58" applyFont="1" applyFill="1" applyBorder="1" applyAlignment="1">
      <alignment horizontal="center" vertical="center" wrapText="1"/>
      <protection/>
    </xf>
    <xf numFmtId="0" fontId="25" fillId="0" borderId="51" xfId="57" applyFont="1" applyBorder="1" applyAlignment="1">
      <alignment horizontal="center"/>
      <protection/>
    </xf>
    <xf numFmtId="0" fontId="25" fillId="0" borderId="52" xfId="57" applyFont="1" applyBorder="1">
      <alignment/>
      <protection/>
    </xf>
    <xf numFmtId="0" fontId="2" fillId="0" borderId="53" xfId="58" applyFont="1" applyFill="1" applyBorder="1" applyAlignment="1">
      <alignment horizontal="center" vertical="center" wrapText="1"/>
      <protection/>
    </xf>
    <xf numFmtId="0" fontId="30" fillId="0" borderId="54" xfId="57" applyFont="1" applyBorder="1">
      <alignment/>
      <protection/>
    </xf>
    <xf numFmtId="0" fontId="30" fillId="0" borderId="0" xfId="57" applyFont="1" applyBorder="1">
      <alignment/>
      <protection/>
    </xf>
    <xf numFmtId="0" fontId="30" fillId="0" borderId="55" xfId="57" applyFont="1" applyBorder="1">
      <alignment/>
      <protection/>
    </xf>
    <xf numFmtId="0" fontId="30" fillId="0" borderId="56" xfId="57" applyFont="1" applyBorder="1">
      <alignment/>
      <protection/>
    </xf>
    <xf numFmtId="0" fontId="30" fillId="0" borderId="57" xfId="57" applyFont="1" applyBorder="1">
      <alignment/>
      <protection/>
    </xf>
    <xf numFmtId="3" fontId="30" fillId="0" borderId="36" xfId="57" applyNumberFormat="1" applyFont="1" applyBorder="1">
      <alignment/>
      <protection/>
    </xf>
    <xf numFmtId="0" fontId="30" fillId="0" borderId="58" xfId="57" applyFont="1" applyBorder="1" applyAlignment="1">
      <alignment horizontal="left"/>
      <protection/>
    </xf>
    <xf numFmtId="0" fontId="30" fillId="0" borderId="0" xfId="57" applyFont="1" applyBorder="1" applyAlignment="1">
      <alignment horizontal="left"/>
      <protection/>
    </xf>
    <xf numFmtId="3" fontId="30" fillId="0" borderId="0" xfId="57" applyNumberFormat="1" applyFont="1" applyBorder="1">
      <alignment/>
      <protection/>
    </xf>
    <xf numFmtId="3" fontId="29" fillId="0" borderId="59" xfId="57" applyNumberFormat="1" applyFont="1" applyBorder="1" applyAlignment="1">
      <alignment horizontal="right" vertical="center"/>
      <protection/>
    </xf>
    <xf numFmtId="3" fontId="29" fillId="0" borderId="60" xfId="57" applyNumberFormat="1" applyFont="1" applyBorder="1" applyAlignment="1">
      <alignment horizontal="right" vertical="center"/>
      <protection/>
    </xf>
    <xf numFmtId="3" fontId="29" fillId="0" borderId="0" xfId="57" applyNumberFormat="1" applyFont="1" applyBorder="1" applyAlignment="1">
      <alignment horizontal="right" vertical="center"/>
      <protection/>
    </xf>
    <xf numFmtId="0" fontId="15" fillId="0" borderId="59" xfId="58" applyFont="1" applyFill="1" applyBorder="1" applyAlignment="1">
      <alignment horizontal="center" vertical="center" wrapText="1"/>
      <protection/>
    </xf>
    <xf numFmtId="0" fontId="15" fillId="0" borderId="60" xfId="58" applyFont="1" applyFill="1" applyBorder="1" applyAlignment="1">
      <alignment horizontal="center" vertical="center" wrapText="1"/>
      <protection/>
    </xf>
    <xf numFmtId="0" fontId="15" fillId="0" borderId="61" xfId="58" applyFont="1" applyFill="1" applyBorder="1" applyAlignment="1">
      <alignment horizontal="center" vertical="center" wrapText="1"/>
      <protection/>
    </xf>
    <xf numFmtId="3" fontId="29" fillId="0" borderId="54" xfId="57" applyNumberFormat="1" applyFont="1" applyBorder="1" applyAlignment="1">
      <alignment horizontal="right" vertical="center"/>
      <protection/>
    </xf>
    <xf numFmtId="3" fontId="30" fillId="0" borderId="62" xfId="57" applyNumberFormat="1" applyFont="1" applyBorder="1">
      <alignment/>
      <protection/>
    </xf>
    <xf numFmtId="0" fontId="30" fillId="0" borderId="60" xfId="57" applyFont="1" applyBorder="1">
      <alignment/>
      <protection/>
    </xf>
    <xf numFmtId="0" fontId="52" fillId="0" borderId="57" xfId="57" applyFont="1" applyBorder="1" applyAlignment="1">
      <alignment horizontal="right" vertical="center"/>
      <protection/>
    </xf>
    <xf numFmtId="0" fontId="53" fillId="0" borderId="54" xfId="57" applyFont="1" applyBorder="1" applyAlignment="1">
      <alignment horizontal="right"/>
      <protection/>
    </xf>
    <xf numFmtId="0" fontId="53" fillId="0" borderId="0" xfId="57" applyFont="1" applyBorder="1" applyAlignment="1">
      <alignment horizontal="right"/>
      <protection/>
    </xf>
    <xf numFmtId="0" fontId="53" fillId="0" borderId="56" xfId="57" applyFont="1" applyBorder="1" applyAlignment="1">
      <alignment horizontal="right"/>
      <protection/>
    </xf>
    <xf numFmtId="3" fontId="25" fillId="0" borderId="56" xfId="57" applyNumberFormat="1" applyFont="1" applyBorder="1" applyAlignment="1">
      <alignment horizontal="right"/>
      <protection/>
    </xf>
    <xf numFmtId="3" fontId="25" fillId="0" borderId="0" xfId="57" applyNumberFormat="1" applyFont="1" applyBorder="1">
      <alignment/>
      <protection/>
    </xf>
    <xf numFmtId="3" fontId="25" fillId="0" borderId="57" xfId="57" applyNumberFormat="1" applyFont="1" applyBorder="1">
      <alignment/>
      <protection/>
    </xf>
    <xf numFmtId="3" fontId="52" fillId="0" borderId="54" xfId="57" applyNumberFormat="1" applyFont="1" applyBorder="1" applyAlignment="1">
      <alignment horizontal="right" vertical="center"/>
      <protection/>
    </xf>
    <xf numFmtId="3" fontId="52" fillId="0" borderId="60" xfId="57" applyNumberFormat="1" applyFont="1" applyBorder="1" applyAlignment="1">
      <alignment horizontal="right" vertical="center"/>
      <protection/>
    </xf>
    <xf numFmtId="3" fontId="30" fillId="0" borderId="54" xfId="57" applyNumberFormat="1" applyFont="1" applyBorder="1">
      <alignment/>
      <protection/>
    </xf>
    <xf numFmtId="3" fontId="30" fillId="0" borderId="60" xfId="57" applyNumberFormat="1" applyFont="1" applyBorder="1">
      <alignment/>
      <protection/>
    </xf>
    <xf numFmtId="3" fontId="52" fillId="0" borderId="57" xfId="57" applyNumberFormat="1" applyFont="1" applyBorder="1" applyAlignment="1">
      <alignment horizontal="right" vertical="center"/>
      <protection/>
    </xf>
    <xf numFmtId="0" fontId="30" fillId="0" borderId="54" xfId="57" applyFont="1" applyBorder="1" applyAlignment="1">
      <alignment horizontal="right"/>
      <protection/>
    </xf>
    <xf numFmtId="0" fontId="30" fillId="0" borderId="0" xfId="57" applyFont="1" applyBorder="1" applyAlignment="1">
      <alignment horizontal="right"/>
      <protection/>
    </xf>
    <xf numFmtId="0" fontId="30" fillId="0" borderId="56" xfId="57" applyFont="1" applyBorder="1" applyAlignment="1">
      <alignment horizontal="right"/>
      <protection/>
    </xf>
    <xf numFmtId="0" fontId="30" fillId="0" borderId="54" xfId="57" applyFont="1" applyBorder="1" applyAlignment="1">
      <alignment horizontal="left"/>
      <protection/>
    </xf>
    <xf numFmtId="0" fontId="52" fillId="0" borderId="57" xfId="57" applyFont="1" applyBorder="1">
      <alignment/>
      <protection/>
    </xf>
    <xf numFmtId="3" fontId="52" fillId="0" borderId="54" xfId="57" applyNumberFormat="1" applyFont="1" applyBorder="1">
      <alignment/>
      <protection/>
    </xf>
    <xf numFmtId="3" fontId="52" fillId="0" borderId="60" xfId="57" applyNumberFormat="1" applyFont="1" applyBorder="1">
      <alignment/>
      <protection/>
    </xf>
    <xf numFmtId="3" fontId="52" fillId="0" borderId="62" xfId="57" applyNumberFormat="1" applyFont="1" applyBorder="1">
      <alignment/>
      <protection/>
    </xf>
    <xf numFmtId="3" fontId="52" fillId="0" borderId="57" xfId="57" applyNumberFormat="1" applyFont="1" applyBorder="1">
      <alignment/>
      <protection/>
    </xf>
    <xf numFmtId="0" fontId="18" fillId="0" borderId="54" xfId="57" applyBorder="1" applyAlignment="1">
      <alignment horizontal="right"/>
      <protection/>
    </xf>
    <xf numFmtId="0" fontId="18" fillId="0" borderId="0" xfId="57" applyBorder="1" applyAlignment="1">
      <alignment horizontal="right"/>
      <protection/>
    </xf>
    <xf numFmtId="0" fontId="18" fillId="0" borderId="56" xfId="57" applyBorder="1" applyAlignment="1">
      <alignment horizontal="right"/>
      <protection/>
    </xf>
    <xf numFmtId="0" fontId="18" fillId="0" borderId="0" xfId="57" applyBorder="1">
      <alignment/>
      <protection/>
    </xf>
    <xf numFmtId="0" fontId="18" fillId="0" borderId="57" xfId="57" applyBorder="1">
      <alignment/>
      <protection/>
    </xf>
    <xf numFmtId="3" fontId="30" fillId="0" borderId="0" xfId="57" applyNumberFormat="1" applyFont="1" applyFill="1" applyBorder="1">
      <alignment/>
      <protection/>
    </xf>
    <xf numFmtId="3" fontId="30" fillId="0" borderId="39" xfId="57" applyNumberFormat="1" applyFont="1" applyFill="1" applyBorder="1">
      <alignment/>
      <protection/>
    </xf>
    <xf numFmtId="0" fontId="18" fillId="0" borderId="0" xfId="57" applyFont="1" applyBorder="1">
      <alignment/>
      <protection/>
    </xf>
    <xf numFmtId="3" fontId="30" fillId="0" borderId="63" xfId="57" applyNumberFormat="1" applyFont="1" applyBorder="1">
      <alignment/>
      <protection/>
    </xf>
    <xf numFmtId="3" fontId="30" fillId="0" borderId="63" xfId="57" applyNumberFormat="1" applyFont="1" applyFill="1" applyBorder="1">
      <alignment/>
      <protection/>
    </xf>
    <xf numFmtId="0" fontId="18" fillId="0" borderId="54" xfId="57" applyBorder="1">
      <alignment/>
      <protection/>
    </xf>
    <xf numFmtId="0" fontId="30" fillId="0" borderId="0" xfId="57" applyFont="1" applyBorder="1" applyAlignment="1">
      <alignment horizontal="center"/>
      <protection/>
    </xf>
    <xf numFmtId="0" fontId="53" fillId="0" borderId="64" xfId="57" applyFont="1" applyBorder="1" applyAlignment="1">
      <alignment horizontal="right"/>
      <protection/>
    </xf>
    <xf numFmtId="3" fontId="25" fillId="0" borderId="65" xfId="57" applyNumberFormat="1" applyFont="1" applyBorder="1" applyAlignment="1">
      <alignment horizontal="right"/>
      <protection/>
    </xf>
    <xf numFmtId="3" fontId="25" fillId="0" borderId="38" xfId="57" applyNumberFormat="1" applyFont="1" applyBorder="1">
      <alignment/>
      <protection/>
    </xf>
    <xf numFmtId="3" fontId="25" fillId="0" borderId="66" xfId="57" applyNumberFormat="1" applyFont="1" applyBorder="1">
      <alignment/>
      <protection/>
    </xf>
    <xf numFmtId="3" fontId="29" fillId="0" borderId="67" xfId="57" applyNumberFormat="1" applyFont="1" applyBorder="1">
      <alignment/>
      <protection/>
    </xf>
    <xf numFmtId="3" fontId="18" fillId="0" borderId="38" xfId="57" applyNumberFormat="1" applyFont="1" applyBorder="1">
      <alignment/>
      <protection/>
    </xf>
    <xf numFmtId="3" fontId="53" fillId="0" borderId="38" xfId="57" applyNumberFormat="1" applyFont="1" applyFill="1" applyBorder="1">
      <alignment/>
      <protection/>
    </xf>
    <xf numFmtId="3" fontId="29" fillId="0" borderId="64" xfId="57" applyNumberFormat="1" applyFont="1" applyBorder="1">
      <alignment/>
      <protection/>
    </xf>
    <xf numFmtId="3" fontId="52" fillId="0" borderId="68" xfId="57" applyNumberFormat="1" applyFont="1" applyBorder="1">
      <alignment/>
      <protection/>
    </xf>
    <xf numFmtId="3" fontId="52" fillId="0" borderId="65" xfId="57" applyNumberFormat="1" applyFont="1" applyBorder="1">
      <alignment/>
      <protection/>
    </xf>
    <xf numFmtId="3" fontId="52" fillId="0" borderId="69" xfId="57" applyNumberFormat="1" applyFont="1" applyBorder="1">
      <alignment/>
      <protection/>
    </xf>
    <xf numFmtId="3" fontId="52" fillId="0" borderId="66" xfId="57" applyNumberFormat="1" applyFont="1" applyBorder="1" applyAlignment="1">
      <alignment horizontal="right" vertical="center"/>
      <protection/>
    </xf>
    <xf numFmtId="0" fontId="18" fillId="0" borderId="58" xfId="57" applyBorder="1">
      <alignment/>
      <protection/>
    </xf>
    <xf numFmtId="0" fontId="18" fillId="0" borderId="56" xfId="57" applyBorder="1">
      <alignment/>
      <protection/>
    </xf>
    <xf numFmtId="0" fontId="18" fillId="0" borderId="60" xfId="57" applyBorder="1">
      <alignment/>
      <protection/>
    </xf>
    <xf numFmtId="3" fontId="30" fillId="0" borderId="39" xfId="57" applyNumberFormat="1" applyFont="1" applyBorder="1">
      <alignment/>
      <protection/>
    </xf>
    <xf numFmtId="0" fontId="18" fillId="0" borderId="70" xfId="57" applyBorder="1">
      <alignment/>
      <protection/>
    </xf>
    <xf numFmtId="0" fontId="18" fillId="0" borderId="71" xfId="57" applyBorder="1">
      <alignment/>
      <protection/>
    </xf>
    <xf numFmtId="0" fontId="18" fillId="0" borderId="72" xfId="57" applyBorder="1">
      <alignment/>
      <protection/>
    </xf>
    <xf numFmtId="3" fontId="52" fillId="0" borderId="73" xfId="57" applyNumberFormat="1" applyFont="1" applyBorder="1" applyAlignment="1">
      <alignment horizontal="right"/>
      <protection/>
    </xf>
    <xf numFmtId="3" fontId="52" fillId="0" borderId="60" xfId="57" applyNumberFormat="1" applyFont="1" applyBorder="1" applyAlignment="1">
      <alignment horizontal="right"/>
      <protection/>
    </xf>
    <xf numFmtId="3" fontId="25" fillId="0" borderId="60" xfId="57" applyNumberFormat="1" applyFont="1" applyBorder="1" applyAlignment="1">
      <alignment horizontal="right"/>
      <protection/>
    </xf>
    <xf numFmtId="3" fontId="52" fillId="0" borderId="54" xfId="57" applyNumberFormat="1" applyFont="1" applyBorder="1" applyAlignment="1">
      <alignment horizontal="right"/>
      <protection/>
    </xf>
    <xf numFmtId="0" fontId="53" fillId="0" borderId="74" xfId="57" applyFont="1" applyBorder="1" applyAlignment="1">
      <alignment horizontal="right"/>
      <protection/>
    </xf>
    <xf numFmtId="0" fontId="53" fillId="0" borderId="24" xfId="57" applyFont="1" applyBorder="1" applyAlignment="1">
      <alignment horizontal="right"/>
      <protection/>
    </xf>
    <xf numFmtId="0" fontId="53" fillId="0" borderId="43" xfId="57" applyFont="1" applyBorder="1" applyAlignment="1">
      <alignment horizontal="right"/>
      <protection/>
    </xf>
    <xf numFmtId="3" fontId="25" fillId="0" borderId="48" xfId="57" applyNumberFormat="1" applyFont="1" applyBorder="1" applyAlignment="1">
      <alignment horizontal="right"/>
      <protection/>
    </xf>
    <xf numFmtId="3" fontId="25" fillId="0" borderId="24" xfId="57" applyNumberFormat="1" applyFont="1" applyBorder="1">
      <alignment/>
      <protection/>
    </xf>
    <xf numFmtId="3" fontId="25" fillId="0" borderId="49" xfId="57" applyNumberFormat="1" applyFont="1" applyBorder="1">
      <alignment/>
      <protection/>
    </xf>
    <xf numFmtId="3" fontId="52" fillId="0" borderId="49" xfId="57" applyNumberFormat="1" applyFont="1" applyBorder="1" applyAlignment="1">
      <alignment horizontal="right" vertical="center"/>
      <protection/>
    </xf>
    <xf numFmtId="3" fontId="25" fillId="34" borderId="75" xfId="57" applyNumberFormat="1" applyFont="1" applyFill="1" applyBorder="1" applyAlignment="1">
      <alignment horizontal="right"/>
      <protection/>
    </xf>
    <xf numFmtId="3" fontId="25" fillId="34" borderId="37" xfId="57" applyNumberFormat="1" applyFont="1" applyFill="1" applyBorder="1">
      <alignment/>
      <protection/>
    </xf>
    <xf numFmtId="3" fontId="25" fillId="34" borderId="76" xfId="57" applyNumberFormat="1" applyFont="1" applyFill="1" applyBorder="1">
      <alignment/>
      <protection/>
    </xf>
    <xf numFmtId="0" fontId="18" fillId="34" borderId="37" xfId="57" applyFill="1" applyBorder="1">
      <alignment/>
      <protection/>
    </xf>
    <xf numFmtId="0" fontId="18" fillId="34" borderId="77" xfId="57" applyFill="1" applyBorder="1">
      <alignment/>
      <protection/>
    </xf>
    <xf numFmtId="3" fontId="29" fillId="34" borderId="78" xfId="57" applyNumberFormat="1" applyFont="1" applyFill="1" applyBorder="1" applyAlignment="1">
      <alignment horizontal="right"/>
      <protection/>
    </xf>
    <xf numFmtId="0" fontId="18" fillId="34" borderId="79" xfId="57" applyFill="1" applyBorder="1">
      <alignment/>
      <protection/>
    </xf>
    <xf numFmtId="3" fontId="29" fillId="34" borderId="77" xfId="57" applyNumberFormat="1" applyFont="1" applyFill="1" applyBorder="1" applyAlignment="1">
      <alignment horizontal="right"/>
      <protection/>
    </xf>
    <xf numFmtId="3" fontId="52" fillId="34" borderId="80" xfId="57" applyNumberFormat="1" applyFont="1" applyFill="1" applyBorder="1" applyAlignment="1">
      <alignment horizontal="right"/>
      <protection/>
    </xf>
    <xf numFmtId="3" fontId="52" fillId="34" borderId="81" xfId="57" applyNumberFormat="1" applyFont="1" applyFill="1" applyBorder="1" applyAlignment="1">
      <alignment horizontal="right"/>
      <protection/>
    </xf>
    <xf numFmtId="3" fontId="52" fillId="34" borderId="82" xfId="57" applyNumberFormat="1" applyFont="1" applyFill="1" applyBorder="1">
      <alignment/>
      <protection/>
    </xf>
    <xf numFmtId="3" fontId="52" fillId="34" borderId="80" xfId="57" applyNumberFormat="1" applyFont="1" applyFill="1" applyBorder="1">
      <alignment/>
      <protection/>
    </xf>
    <xf numFmtId="3" fontId="52" fillId="34" borderId="81" xfId="57" applyNumberFormat="1" applyFont="1" applyFill="1" applyBorder="1">
      <alignment/>
      <protection/>
    </xf>
    <xf numFmtId="0" fontId="29" fillId="0" borderId="0" xfId="57" applyFont="1" applyBorder="1" applyAlignment="1">
      <alignment horizontal="right" vertical="center"/>
      <protection/>
    </xf>
    <xf numFmtId="0" fontId="29" fillId="0" borderId="83" xfId="57" applyFont="1" applyBorder="1" applyAlignment="1">
      <alignment horizontal="right" vertical="center"/>
      <protection/>
    </xf>
    <xf numFmtId="0" fontId="30" fillId="0" borderId="62" xfId="57" applyFont="1" applyBorder="1">
      <alignment/>
      <protection/>
    </xf>
    <xf numFmtId="0" fontId="18" fillId="0" borderId="60" xfId="57" applyBorder="1" applyAlignment="1">
      <alignment horizontal="right"/>
      <protection/>
    </xf>
    <xf numFmtId="3" fontId="52" fillId="0" borderId="0" xfId="57" applyNumberFormat="1" applyFont="1" applyBorder="1" applyAlignment="1">
      <alignment horizontal="right" vertical="center"/>
      <protection/>
    </xf>
    <xf numFmtId="3" fontId="18" fillId="0" borderId="60" xfId="57" applyNumberFormat="1" applyFont="1" applyBorder="1" applyAlignment="1">
      <alignment horizontal="right"/>
      <protection/>
    </xf>
    <xf numFmtId="3" fontId="18" fillId="0" borderId="0" xfId="57" applyNumberFormat="1" applyFont="1" applyBorder="1">
      <alignment/>
      <protection/>
    </xf>
    <xf numFmtId="3" fontId="18" fillId="0" borderId="57" xfId="57" applyNumberFormat="1" applyFont="1" applyBorder="1">
      <alignment/>
      <protection/>
    </xf>
    <xf numFmtId="0" fontId="18" fillId="0" borderId="51" xfId="57" applyBorder="1">
      <alignment/>
      <protection/>
    </xf>
    <xf numFmtId="3" fontId="25" fillId="0" borderId="52" xfId="57" applyNumberFormat="1" applyFont="1" applyBorder="1" applyAlignment="1">
      <alignment horizontal="right"/>
      <protection/>
    </xf>
    <xf numFmtId="3" fontId="25" fillId="0" borderId="84" xfId="57" applyNumberFormat="1" applyFont="1" applyBorder="1">
      <alignment/>
      <protection/>
    </xf>
    <xf numFmtId="3" fontId="25" fillId="0" borderId="53" xfId="57" applyNumberFormat="1" applyFont="1" applyBorder="1">
      <alignment/>
      <protection/>
    </xf>
    <xf numFmtId="3" fontId="30" fillId="35" borderId="85" xfId="57" applyNumberFormat="1" applyFont="1" applyFill="1" applyBorder="1" applyAlignment="1">
      <alignment/>
      <protection/>
    </xf>
    <xf numFmtId="3" fontId="29" fillId="0" borderId="86" xfId="57" applyNumberFormat="1" applyFont="1" applyBorder="1" applyAlignment="1">
      <alignment horizontal="right"/>
      <protection/>
    </xf>
    <xf numFmtId="0" fontId="18" fillId="0" borderId="47" xfId="57" applyBorder="1">
      <alignment/>
      <protection/>
    </xf>
    <xf numFmtId="0" fontId="18" fillId="0" borderId="84" xfId="57" applyBorder="1">
      <alignment/>
      <protection/>
    </xf>
    <xf numFmtId="3" fontId="18" fillId="0" borderId="85" xfId="57" applyNumberFormat="1" applyBorder="1">
      <alignment/>
      <protection/>
    </xf>
    <xf numFmtId="0" fontId="18" fillId="0" borderId="85" xfId="57" applyBorder="1">
      <alignment/>
      <protection/>
    </xf>
    <xf numFmtId="3" fontId="29" fillId="0" borderId="87" xfId="57" applyNumberFormat="1" applyFont="1" applyBorder="1" applyAlignment="1">
      <alignment horizontal="right"/>
      <protection/>
    </xf>
    <xf numFmtId="3" fontId="52" fillId="0" borderId="51" xfId="57" applyNumberFormat="1" applyFont="1" applyBorder="1">
      <alignment/>
      <protection/>
    </xf>
    <xf numFmtId="3" fontId="52" fillId="0" borderId="52" xfId="57" applyNumberFormat="1" applyFont="1" applyBorder="1">
      <alignment/>
      <protection/>
    </xf>
    <xf numFmtId="3" fontId="52" fillId="0" borderId="53" xfId="57" applyNumberFormat="1" applyFont="1" applyBorder="1" applyAlignment="1">
      <alignment horizontal="right" vertical="center"/>
      <protection/>
    </xf>
    <xf numFmtId="0" fontId="30" fillId="35" borderId="0" xfId="57" applyFont="1" applyFill="1" applyBorder="1" applyAlignment="1">
      <alignment/>
      <protection/>
    </xf>
    <xf numFmtId="3" fontId="29" fillId="0" borderId="88" xfId="57" applyNumberFormat="1" applyFont="1" applyBorder="1" applyAlignment="1">
      <alignment horizontal="right"/>
      <protection/>
    </xf>
    <xf numFmtId="3" fontId="18" fillId="0" borderId="0" xfId="57" applyNumberFormat="1" applyBorder="1">
      <alignment/>
      <protection/>
    </xf>
    <xf numFmtId="3" fontId="29" fillId="0" borderId="89" xfId="57" applyNumberFormat="1" applyFont="1" applyBorder="1" applyAlignment="1">
      <alignment horizontal="right"/>
      <protection/>
    </xf>
    <xf numFmtId="3" fontId="52" fillId="0" borderId="0" xfId="57" applyNumberFormat="1" applyFont="1" applyBorder="1" applyAlignment="1">
      <alignment horizontal="right"/>
      <protection/>
    </xf>
    <xf numFmtId="0" fontId="30" fillId="34" borderId="90" xfId="57" applyFont="1" applyFill="1" applyBorder="1" applyAlignment="1">
      <alignment horizontal="left"/>
      <protection/>
    </xf>
    <xf numFmtId="3" fontId="29" fillId="34" borderId="91" xfId="57" applyNumberFormat="1" applyFont="1" applyFill="1" applyBorder="1" applyAlignment="1">
      <alignment horizontal="right"/>
      <protection/>
    </xf>
    <xf numFmtId="3" fontId="52" fillId="34" borderId="37" xfId="57" applyNumberFormat="1" applyFont="1" applyFill="1" applyBorder="1" applyAlignment="1">
      <alignment horizontal="right"/>
      <protection/>
    </xf>
    <xf numFmtId="3" fontId="52" fillId="34" borderId="75" xfId="57" applyNumberFormat="1" applyFont="1" applyFill="1" applyBorder="1" applyAlignment="1">
      <alignment horizontal="right"/>
      <protection/>
    </xf>
    <xf numFmtId="3" fontId="52" fillId="34" borderId="92" xfId="57" applyNumberFormat="1" applyFont="1" applyFill="1" applyBorder="1">
      <alignment/>
      <protection/>
    </xf>
    <xf numFmtId="3" fontId="52" fillId="34" borderId="90" xfId="57" applyNumberFormat="1" applyFont="1" applyFill="1" applyBorder="1">
      <alignment/>
      <protection/>
    </xf>
    <xf numFmtId="3" fontId="52" fillId="34" borderId="75" xfId="57" applyNumberFormat="1" applyFont="1" applyFill="1" applyBorder="1">
      <alignment/>
      <protection/>
    </xf>
    <xf numFmtId="3" fontId="52" fillId="34" borderId="76" xfId="57" applyNumberFormat="1" applyFont="1" applyFill="1" applyBorder="1" applyAlignment="1">
      <alignment horizontal="right" vertical="center"/>
      <protection/>
    </xf>
    <xf numFmtId="0" fontId="18" fillId="0" borderId="90" xfId="57" applyBorder="1">
      <alignment/>
      <protection/>
    </xf>
    <xf numFmtId="0" fontId="18" fillId="0" borderId="37" xfId="57" applyBorder="1" applyAlignment="1">
      <alignment horizontal="right"/>
      <protection/>
    </xf>
    <xf numFmtId="0" fontId="18" fillId="0" borderId="75" xfId="57" applyBorder="1" applyAlignment="1">
      <alignment horizontal="right"/>
      <protection/>
    </xf>
    <xf numFmtId="0" fontId="18" fillId="0" borderId="37" xfId="57" applyBorder="1">
      <alignment/>
      <protection/>
    </xf>
    <xf numFmtId="0" fontId="18" fillId="0" borderId="76" xfId="57" applyBorder="1">
      <alignment/>
      <protection/>
    </xf>
    <xf numFmtId="0" fontId="18" fillId="0" borderId="37" xfId="57" applyBorder="1" applyAlignment="1">
      <alignment/>
      <protection/>
    </xf>
    <xf numFmtId="0" fontId="29" fillId="0" borderId="78" xfId="57" applyFont="1" applyBorder="1" applyAlignment="1">
      <alignment horizontal="right"/>
      <protection/>
    </xf>
    <xf numFmtId="0" fontId="18" fillId="0" borderId="77" xfId="57" applyBorder="1">
      <alignment/>
      <protection/>
    </xf>
    <xf numFmtId="3" fontId="29" fillId="0" borderId="91" xfId="57" applyNumberFormat="1" applyFont="1" applyBorder="1" applyAlignment="1">
      <alignment horizontal="right"/>
      <protection/>
    </xf>
    <xf numFmtId="0" fontId="29" fillId="0" borderId="37" xfId="57" applyFont="1" applyBorder="1" applyAlignment="1">
      <alignment horizontal="right"/>
      <protection/>
    </xf>
    <xf numFmtId="0" fontId="29" fillId="0" borderId="75" xfId="57" applyFont="1" applyBorder="1" applyAlignment="1">
      <alignment horizontal="right"/>
      <protection/>
    </xf>
    <xf numFmtId="0" fontId="18" fillId="0" borderId="92" xfId="57" applyBorder="1">
      <alignment/>
      <protection/>
    </xf>
    <xf numFmtId="0" fontId="18" fillId="0" borderId="75" xfId="57" applyBorder="1">
      <alignment/>
      <protection/>
    </xf>
    <xf numFmtId="0" fontId="52" fillId="0" borderId="66" xfId="57" applyFont="1" applyBorder="1" applyAlignment="1">
      <alignment horizontal="right" vertical="center"/>
      <protection/>
    </xf>
    <xf numFmtId="0" fontId="18" fillId="0" borderId="0" xfId="57">
      <alignment/>
      <protection/>
    </xf>
    <xf numFmtId="0" fontId="18" fillId="0" borderId="62" xfId="57" applyBorder="1">
      <alignment/>
      <protection/>
    </xf>
    <xf numFmtId="3" fontId="18" fillId="0" borderId="0" xfId="57" applyNumberFormat="1">
      <alignment/>
      <protection/>
    </xf>
    <xf numFmtId="3" fontId="52" fillId="0" borderId="0" xfId="57" applyNumberFormat="1" applyFont="1" applyBorder="1">
      <alignment/>
      <protection/>
    </xf>
    <xf numFmtId="3" fontId="52" fillId="0" borderId="73" xfId="57" applyNumberFormat="1" applyFont="1" applyBorder="1">
      <alignment/>
      <protection/>
    </xf>
    <xf numFmtId="0" fontId="18" fillId="0" borderId="39" xfId="57" applyBorder="1">
      <alignment/>
      <protection/>
    </xf>
    <xf numFmtId="3" fontId="29" fillId="0" borderId="89" xfId="57" applyNumberFormat="1" applyFont="1" applyBorder="1" applyAlignment="1">
      <alignment vertical="center"/>
      <protection/>
    </xf>
    <xf numFmtId="3" fontId="52" fillId="34" borderId="93" xfId="57" applyNumberFormat="1" applyFont="1" applyFill="1" applyBorder="1">
      <alignment/>
      <protection/>
    </xf>
    <xf numFmtId="3" fontId="52" fillId="34" borderId="65" xfId="57" applyNumberFormat="1" applyFont="1" applyFill="1" applyBorder="1">
      <alignment/>
      <protection/>
    </xf>
    <xf numFmtId="3" fontId="52" fillId="34" borderId="66" xfId="57" applyNumberFormat="1" applyFont="1" applyFill="1" applyBorder="1">
      <alignment/>
      <protection/>
    </xf>
    <xf numFmtId="3" fontId="52" fillId="34" borderId="94" xfId="57" applyNumberFormat="1" applyFont="1" applyFill="1" applyBorder="1">
      <alignment/>
      <protection/>
    </xf>
    <xf numFmtId="3" fontId="54" fillId="0" borderId="65" xfId="57" applyNumberFormat="1" applyFont="1" applyBorder="1" applyAlignment="1">
      <alignment horizontal="center"/>
      <protection/>
    </xf>
    <xf numFmtId="3" fontId="54" fillId="0" borderId="95" xfId="57" applyNumberFormat="1" applyFont="1" applyBorder="1" applyAlignment="1">
      <alignment horizontal="center"/>
      <protection/>
    </xf>
    <xf numFmtId="3" fontId="29" fillId="0" borderId="64" xfId="57" applyNumberFormat="1" applyFont="1" applyBorder="1" applyAlignment="1">
      <alignment horizontal="right" vertical="center"/>
      <protection/>
    </xf>
    <xf numFmtId="0" fontId="18" fillId="0" borderId="64" xfId="57" applyBorder="1">
      <alignment/>
      <protection/>
    </xf>
    <xf numFmtId="0" fontId="18" fillId="0" borderId="38" xfId="57" applyBorder="1">
      <alignment/>
      <protection/>
    </xf>
    <xf numFmtId="3" fontId="55" fillId="0" borderId="65" xfId="57" applyNumberFormat="1" applyFont="1" applyBorder="1">
      <alignment/>
      <protection/>
    </xf>
    <xf numFmtId="3" fontId="55" fillId="0" borderId="38" xfId="57" applyNumberFormat="1" applyFont="1" applyBorder="1">
      <alignment/>
      <protection/>
    </xf>
    <xf numFmtId="3" fontId="55" fillId="0" borderId="66" xfId="57" applyNumberFormat="1" applyFont="1" applyBorder="1">
      <alignment/>
      <protection/>
    </xf>
    <xf numFmtId="0" fontId="30" fillId="0" borderId="35" xfId="57" applyFont="1" applyBorder="1" applyAlignment="1">
      <alignment horizontal="left"/>
      <protection/>
    </xf>
    <xf numFmtId="0" fontId="30" fillId="0" borderId="35" xfId="57" applyFont="1" applyBorder="1">
      <alignment/>
      <protection/>
    </xf>
    <xf numFmtId="0" fontId="18" fillId="0" borderId="35" xfId="57" applyBorder="1">
      <alignment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horizontal="right"/>
      <protection/>
    </xf>
    <xf numFmtId="0" fontId="50" fillId="0" borderId="0" xfId="57" applyFont="1">
      <alignment/>
      <protection/>
    </xf>
    <xf numFmtId="0" fontId="25" fillId="0" borderId="0" xfId="57" applyFont="1" applyAlignment="1">
      <alignment horizontal="left"/>
      <protection/>
    </xf>
    <xf numFmtId="0" fontId="18" fillId="0" borderId="0" xfId="57" applyFont="1">
      <alignment/>
      <protection/>
    </xf>
    <xf numFmtId="0" fontId="30" fillId="0" borderId="0" xfId="57" applyFont="1" applyFill="1" applyBorder="1">
      <alignment/>
      <protection/>
    </xf>
    <xf numFmtId="3" fontId="18" fillId="0" borderId="96" xfId="57" applyNumberFormat="1" applyBorder="1">
      <alignment/>
      <protection/>
    </xf>
    <xf numFmtId="0" fontId="18" fillId="0" borderId="0" xfId="57" applyFont="1" applyAlignment="1">
      <alignment horizontal="right"/>
      <protection/>
    </xf>
    <xf numFmtId="0" fontId="18" fillId="0" borderId="0" xfId="57" applyAlignment="1">
      <alignment/>
      <protection/>
    </xf>
    <xf numFmtId="0" fontId="0" fillId="0" borderId="0" xfId="0" applyAlignment="1">
      <alignment horizontal="left"/>
    </xf>
    <xf numFmtId="0" fontId="25" fillId="0" borderId="0" xfId="57" applyFont="1">
      <alignment/>
      <protection/>
    </xf>
    <xf numFmtId="3" fontId="25" fillId="0" borderId="0" xfId="57" applyNumberFormat="1" applyFont="1">
      <alignment/>
      <protection/>
    </xf>
    <xf numFmtId="0" fontId="53" fillId="0" borderId="58" xfId="57" applyFont="1" applyBorder="1" applyAlignment="1">
      <alignment horizontal="right"/>
      <protection/>
    </xf>
    <xf numFmtId="3" fontId="25" fillId="34" borderId="81" xfId="57" applyNumberFormat="1" applyFont="1" applyFill="1" applyBorder="1">
      <alignment/>
      <protection/>
    </xf>
    <xf numFmtId="3" fontId="25" fillId="34" borderId="97" xfId="57" applyNumberFormat="1" applyFont="1" applyFill="1" applyBorder="1">
      <alignment/>
      <protection/>
    </xf>
    <xf numFmtId="3" fontId="70" fillId="0" borderId="0" xfId="57" applyNumberFormat="1" applyFont="1" applyBorder="1">
      <alignment/>
      <protection/>
    </xf>
    <xf numFmtId="0" fontId="70" fillId="0" borderId="0" xfId="57" applyFont="1" applyBorder="1" applyAlignment="1">
      <alignment horizontal="left"/>
      <protection/>
    </xf>
    <xf numFmtId="0" fontId="70" fillId="0" borderId="54" xfId="57" applyFont="1" applyBorder="1" applyAlignment="1">
      <alignment horizontal="left"/>
      <protection/>
    </xf>
    <xf numFmtId="0" fontId="70" fillId="0" borderId="0" xfId="57" applyFont="1" applyBorder="1">
      <alignment/>
      <protection/>
    </xf>
    <xf numFmtId="3" fontId="70" fillId="0" borderId="39" xfId="57" applyNumberFormat="1" applyFont="1" applyBorder="1">
      <alignment/>
      <protection/>
    </xf>
    <xf numFmtId="3" fontId="70" fillId="0" borderId="39" xfId="57" applyNumberFormat="1" applyFont="1" applyFill="1" applyBorder="1">
      <alignment/>
      <protection/>
    </xf>
    <xf numFmtId="3" fontId="70" fillId="0" borderId="38" xfId="57" applyNumberFormat="1" applyFont="1" applyBorder="1">
      <alignment/>
      <protection/>
    </xf>
    <xf numFmtId="0" fontId="70" fillId="0" borderId="58" xfId="57" applyFont="1" applyBorder="1" applyAlignment="1">
      <alignment horizontal="left"/>
      <protection/>
    </xf>
    <xf numFmtId="3" fontId="70" fillId="0" borderId="98" xfId="57" applyNumberFormat="1" applyFont="1" applyFill="1" applyBorder="1">
      <alignment/>
      <protection/>
    </xf>
    <xf numFmtId="3" fontId="70" fillId="0" borderId="0" xfId="57" applyNumberFormat="1" applyFont="1">
      <alignment/>
      <protection/>
    </xf>
    <xf numFmtId="0" fontId="0" fillId="0" borderId="58" xfId="0" applyBorder="1" applyAlignment="1">
      <alignment/>
    </xf>
    <xf numFmtId="3" fontId="30" fillId="0" borderId="0" xfId="57" applyNumberFormat="1" applyFont="1" applyBorder="1" applyAlignment="1">
      <alignment horizontal="right"/>
      <protection/>
    </xf>
    <xf numFmtId="3" fontId="30" fillId="0" borderId="0" xfId="57" applyNumberFormat="1" applyFont="1">
      <alignment/>
      <protection/>
    </xf>
    <xf numFmtId="0" fontId="30" fillId="0" borderId="39" xfId="57" applyFont="1" applyBorder="1">
      <alignment/>
      <protection/>
    </xf>
    <xf numFmtId="3" fontId="29" fillId="34" borderId="99" xfId="57" applyNumberFormat="1" applyFont="1" applyFill="1" applyBorder="1">
      <alignment/>
      <protection/>
    </xf>
    <xf numFmtId="0" fontId="18" fillId="34" borderId="100" xfId="57" applyFill="1" applyBorder="1">
      <alignment/>
      <protection/>
    </xf>
    <xf numFmtId="3" fontId="52" fillId="34" borderId="101" xfId="57" applyNumberFormat="1" applyFont="1" applyFill="1" applyBorder="1">
      <alignment/>
      <protection/>
    </xf>
    <xf numFmtId="0" fontId="18" fillId="0" borderId="102" xfId="57" applyBorder="1">
      <alignment/>
      <protection/>
    </xf>
    <xf numFmtId="0" fontId="12" fillId="0" borderId="0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/>
    </xf>
    <xf numFmtId="4" fontId="25" fillId="0" borderId="28" xfId="59" applyNumberFormat="1" applyFont="1" applyBorder="1">
      <alignment/>
      <protection/>
    </xf>
    <xf numFmtId="164" fontId="18" fillId="0" borderId="28" xfId="59" applyNumberFormat="1" applyBorder="1">
      <alignment/>
      <protection/>
    </xf>
    <xf numFmtId="164" fontId="25" fillId="0" borderId="28" xfId="59" applyNumberFormat="1" applyFont="1" applyBorder="1">
      <alignment/>
      <protection/>
    </xf>
    <xf numFmtId="164" fontId="18" fillId="0" borderId="20" xfId="59" applyNumberFormat="1" applyBorder="1">
      <alignment/>
      <protection/>
    </xf>
    <xf numFmtId="164" fontId="25" fillId="0" borderId="20" xfId="59" applyNumberFormat="1" applyFont="1" applyBorder="1">
      <alignment/>
      <protection/>
    </xf>
    <xf numFmtId="0" fontId="18" fillId="0" borderId="17" xfId="59" applyFont="1" applyBorder="1" applyAlignment="1">
      <alignment wrapText="1"/>
      <protection/>
    </xf>
    <xf numFmtId="4" fontId="18" fillId="0" borderId="28" xfId="59" applyNumberFormat="1" applyBorder="1">
      <alignment/>
      <protection/>
    </xf>
    <xf numFmtId="0" fontId="70" fillId="0" borderId="24" xfId="57" applyFont="1" applyBorder="1" applyAlignment="1">
      <alignment horizontal="left"/>
      <protection/>
    </xf>
    <xf numFmtId="0" fontId="70" fillId="0" borderId="50" xfId="57" applyFont="1" applyBorder="1" applyAlignment="1">
      <alignment horizontal="left"/>
      <protection/>
    </xf>
    <xf numFmtId="0" fontId="47" fillId="0" borderId="25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 wrapText="1"/>
      <protection/>
    </xf>
    <xf numFmtId="3" fontId="4" fillId="0" borderId="104" xfId="58" applyNumberFormat="1" applyFont="1" applyFill="1" applyBorder="1" applyAlignment="1">
      <alignment vertical="center" wrapText="1"/>
      <protection/>
    </xf>
    <xf numFmtId="3" fontId="4" fillId="0" borderId="27" xfId="58" applyNumberFormat="1" applyFont="1" applyFill="1" applyBorder="1" applyAlignment="1">
      <alignment vertical="center" wrapText="1"/>
      <protection/>
    </xf>
    <xf numFmtId="3" fontId="6" fillId="0" borderId="26" xfId="58" applyNumberFormat="1" applyFont="1" applyFill="1" applyBorder="1" applyAlignment="1">
      <alignment vertical="center"/>
      <protection/>
    </xf>
    <xf numFmtId="3" fontId="6" fillId="0" borderId="27" xfId="58" applyNumberFormat="1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vertical="center" wrapText="1"/>
      <protection/>
    </xf>
    <xf numFmtId="3" fontId="4" fillId="0" borderId="13" xfId="58" applyNumberFormat="1" applyFont="1" applyFill="1" applyBorder="1" applyAlignment="1">
      <alignment vertical="center"/>
      <protection/>
    </xf>
    <xf numFmtId="3" fontId="45" fillId="0" borderId="13" xfId="58" applyNumberFormat="1" applyFont="1" applyFill="1" applyBorder="1" applyAlignment="1">
      <alignment vertical="center"/>
      <protection/>
    </xf>
    <xf numFmtId="49" fontId="5" fillId="0" borderId="105" xfId="58" applyNumberFormat="1" applyFont="1" applyFill="1" applyBorder="1" applyAlignment="1">
      <alignment vertical="center"/>
      <protection/>
    </xf>
    <xf numFmtId="49" fontId="6" fillId="0" borderId="40" xfId="58" applyNumberFormat="1" applyFont="1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3" fontId="49" fillId="0" borderId="24" xfId="58" applyNumberFormat="1" applyFont="1" applyFill="1" applyBorder="1" applyAlignment="1">
      <alignment vertical="center"/>
      <protection/>
    </xf>
    <xf numFmtId="3" fontId="48" fillId="0" borderId="86" xfId="58" applyNumberFormat="1" applyFont="1" applyFill="1" applyBorder="1" applyAlignment="1">
      <alignment vertical="center"/>
      <protection/>
    </xf>
    <xf numFmtId="3" fontId="5" fillId="0" borderId="106" xfId="58" applyNumberFormat="1" applyFont="1" applyFill="1" applyBorder="1" applyAlignment="1">
      <alignment vertical="center"/>
      <protection/>
    </xf>
    <xf numFmtId="3" fontId="49" fillId="0" borderId="86" xfId="58" applyNumberFormat="1" applyFont="1" applyFill="1" applyBorder="1" applyAlignment="1">
      <alignment vertical="center"/>
      <protection/>
    </xf>
    <xf numFmtId="3" fontId="70" fillId="0" borderId="0" xfId="57" applyNumberFormat="1" applyFont="1" applyBorder="1" applyAlignment="1">
      <alignment/>
      <protection/>
    </xf>
    <xf numFmtId="3" fontId="70" fillId="0" borderId="39" xfId="57" applyNumberFormat="1" applyFont="1" applyBorder="1" applyAlignment="1">
      <alignment/>
      <protection/>
    </xf>
    <xf numFmtId="0" fontId="20" fillId="0" borderId="2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vertical="center" wrapText="1"/>
    </xf>
    <xf numFmtId="3" fontId="25" fillId="33" borderId="106" xfId="59" applyNumberFormat="1" applyFont="1" applyFill="1" applyBorder="1">
      <alignment/>
      <protection/>
    </xf>
    <xf numFmtId="0" fontId="40" fillId="0" borderId="107" xfId="59" applyFont="1" applyBorder="1" applyAlignment="1">
      <alignment horizontal="center" vertical="center" wrapText="1"/>
      <protection/>
    </xf>
    <xf numFmtId="3" fontId="25" fillId="33" borderId="106" xfId="59" applyNumberFormat="1" applyFont="1" applyFill="1" applyBorder="1" applyAlignment="1">
      <alignment vertical="center"/>
      <protection/>
    </xf>
    <xf numFmtId="3" fontId="25" fillId="0" borderId="106" xfId="59" applyNumberFormat="1" applyFont="1" applyBorder="1">
      <alignment/>
      <protection/>
    </xf>
    <xf numFmtId="3" fontId="18" fillId="0" borderId="106" xfId="59" applyNumberFormat="1" applyBorder="1">
      <alignment/>
      <protection/>
    </xf>
    <xf numFmtId="0" fontId="72" fillId="0" borderId="0" xfId="59" applyFont="1">
      <alignment/>
      <protection/>
    </xf>
    <xf numFmtId="0" fontId="12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3" fontId="54" fillId="0" borderId="68" xfId="57" applyNumberFormat="1" applyFont="1" applyBorder="1">
      <alignment/>
      <protection/>
    </xf>
    <xf numFmtId="3" fontId="54" fillId="0" borderId="65" xfId="57" applyNumberFormat="1" applyFont="1" applyBorder="1">
      <alignment/>
      <protection/>
    </xf>
    <xf numFmtId="3" fontId="54" fillId="0" borderId="69" xfId="57" applyNumberFormat="1" applyFont="1" applyBorder="1">
      <alignment/>
      <protection/>
    </xf>
    <xf numFmtId="3" fontId="52" fillId="0" borderId="59" xfId="57" applyNumberFormat="1" applyFont="1" applyBorder="1" applyAlignment="1">
      <alignment horizontal="right" vertical="center"/>
      <protection/>
    </xf>
    <xf numFmtId="3" fontId="52" fillId="0" borderId="83" xfId="57" applyNumberFormat="1" applyFont="1" applyBorder="1" applyAlignment="1">
      <alignment horizontal="right" vertical="center"/>
      <protection/>
    </xf>
    <xf numFmtId="3" fontId="52" fillId="0" borderId="108" xfId="57" applyNumberFormat="1" applyFont="1" applyBorder="1">
      <alignment/>
      <protection/>
    </xf>
    <xf numFmtId="3" fontId="52" fillId="0" borderId="59" xfId="57" applyNumberFormat="1" applyFont="1" applyBorder="1">
      <alignment/>
      <protection/>
    </xf>
    <xf numFmtId="3" fontId="52" fillId="0" borderId="83" xfId="57" applyNumberFormat="1" applyFont="1" applyBorder="1">
      <alignment/>
      <protection/>
    </xf>
    <xf numFmtId="3" fontId="52" fillId="0" borderId="61" xfId="57" applyNumberFormat="1" applyFont="1" applyBorder="1" applyAlignment="1">
      <alignment horizontal="right" vertical="center"/>
      <protection/>
    </xf>
    <xf numFmtId="0" fontId="53" fillId="0" borderId="59" xfId="57" applyFont="1" applyBorder="1" applyAlignment="1">
      <alignment horizontal="right"/>
      <protection/>
    </xf>
    <xf numFmtId="0" fontId="0" fillId="0" borderId="36" xfId="0" applyBorder="1" applyAlignment="1">
      <alignment horizontal="right"/>
    </xf>
    <xf numFmtId="3" fontId="25" fillId="0" borderId="83" xfId="57" applyNumberFormat="1" applyFont="1" applyBorder="1" applyAlignment="1">
      <alignment horizontal="right"/>
      <protection/>
    </xf>
    <xf numFmtId="3" fontId="25" fillId="0" borderId="36" xfId="57" applyNumberFormat="1" applyFont="1" applyBorder="1">
      <alignment/>
      <protection/>
    </xf>
    <xf numFmtId="3" fontId="25" fillId="0" borderId="61" xfId="57" applyNumberFormat="1" applyFont="1" applyBorder="1">
      <alignment/>
      <protection/>
    </xf>
    <xf numFmtId="0" fontId="30" fillId="0" borderId="0" xfId="57" applyFont="1" applyBorder="1" applyAlignment="1">
      <alignment horizontal="left" wrapText="1"/>
      <protection/>
    </xf>
    <xf numFmtId="49" fontId="6" fillId="0" borderId="4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3" fontId="41" fillId="0" borderId="18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8" fillId="0" borderId="109" xfId="58" applyNumberFormat="1" applyFont="1" applyFill="1" applyBorder="1" applyAlignment="1">
      <alignment vertical="center"/>
      <protection/>
    </xf>
    <xf numFmtId="3" fontId="12" fillId="0" borderId="39" xfId="0" applyNumberFormat="1" applyFont="1" applyFill="1" applyBorder="1" applyAlignment="1">
      <alignment horizontal="right" vertical="center"/>
    </xf>
    <xf numFmtId="3" fontId="18" fillId="0" borderId="106" xfId="59" applyNumberFormat="1" applyFont="1" applyBorder="1">
      <alignment/>
      <protection/>
    </xf>
    <xf numFmtId="3" fontId="116" fillId="0" borderId="0" xfId="59" applyNumberFormat="1" applyFont="1">
      <alignment/>
      <protection/>
    </xf>
    <xf numFmtId="3" fontId="116" fillId="0" borderId="0" xfId="59" applyNumberFormat="1" applyFont="1" applyAlignment="1">
      <alignment vertical="center"/>
      <protection/>
    </xf>
    <xf numFmtId="0" fontId="16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vertical="center"/>
      <protection/>
    </xf>
    <xf numFmtId="0" fontId="17" fillId="0" borderId="25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65" fillId="0" borderId="25" xfId="56" applyFont="1" applyBorder="1">
      <alignment/>
      <protection/>
    </xf>
    <xf numFmtId="3" fontId="65" fillId="0" borderId="25" xfId="56" applyNumberFormat="1" applyFont="1" applyBorder="1">
      <alignment/>
      <protection/>
    </xf>
    <xf numFmtId="0" fontId="6" fillId="0" borderId="25" xfId="56" applyFont="1" applyBorder="1">
      <alignment/>
      <protection/>
    </xf>
    <xf numFmtId="3" fontId="6" fillId="0" borderId="25" xfId="56" applyNumberFormat="1" applyFont="1" applyBorder="1">
      <alignment/>
      <protection/>
    </xf>
    <xf numFmtId="3" fontId="2" fillId="0" borderId="25" xfId="56" applyNumberFormat="1" applyFont="1" applyBorder="1">
      <alignment/>
      <protection/>
    </xf>
    <xf numFmtId="0" fontId="56" fillId="0" borderId="25" xfId="56" applyFont="1" applyBorder="1">
      <alignment/>
      <protection/>
    </xf>
    <xf numFmtId="3" fontId="56" fillId="0" borderId="25" xfId="56" applyNumberFormat="1" applyFont="1" applyBorder="1">
      <alignment/>
      <protection/>
    </xf>
    <xf numFmtId="0" fontId="58" fillId="0" borderId="25" xfId="56" applyFont="1" applyBorder="1">
      <alignment/>
      <protection/>
    </xf>
    <xf numFmtId="0" fontId="58" fillId="0" borderId="0" xfId="56" applyFont="1">
      <alignment/>
      <protection/>
    </xf>
    <xf numFmtId="0" fontId="58" fillId="0" borderId="25" xfId="56" applyFont="1" applyBorder="1" applyAlignment="1">
      <alignment horizontal="left"/>
      <protection/>
    </xf>
    <xf numFmtId="3" fontId="58" fillId="0" borderId="25" xfId="56" applyNumberFormat="1" applyFont="1" applyBorder="1">
      <alignment/>
      <protection/>
    </xf>
    <xf numFmtId="0" fontId="4" fillId="0" borderId="25" xfId="56" applyFont="1" applyBorder="1">
      <alignment/>
      <protection/>
    </xf>
    <xf numFmtId="3" fontId="4" fillId="0" borderId="25" xfId="56" applyNumberFormat="1" applyFont="1" applyBorder="1">
      <alignment/>
      <protection/>
    </xf>
    <xf numFmtId="0" fontId="47" fillId="0" borderId="25" xfId="56" applyFont="1" applyBorder="1" applyAlignment="1">
      <alignment horizontal="left"/>
      <protection/>
    </xf>
    <xf numFmtId="3" fontId="7" fillId="0" borderId="25" xfId="56" applyNumberFormat="1" applyFont="1" applyBorder="1">
      <alignment/>
      <protection/>
    </xf>
    <xf numFmtId="3" fontId="4" fillId="0" borderId="25" xfId="56" applyNumberFormat="1" applyFont="1" applyFill="1" applyBorder="1">
      <alignment/>
      <protection/>
    </xf>
    <xf numFmtId="3" fontId="7" fillId="0" borderId="25" xfId="56" applyNumberFormat="1" applyFont="1" applyFill="1" applyBorder="1">
      <alignment/>
      <protection/>
    </xf>
    <xf numFmtId="3" fontId="5" fillId="0" borderId="25" xfId="56" applyNumberFormat="1" applyFont="1" applyBorder="1">
      <alignment/>
      <protection/>
    </xf>
    <xf numFmtId="0" fontId="47" fillId="0" borderId="25" xfId="56" applyFont="1" applyBorder="1">
      <alignment/>
      <protection/>
    </xf>
    <xf numFmtId="3" fontId="47" fillId="0" borderId="25" xfId="56" applyNumberFormat="1" applyFont="1" applyBorder="1">
      <alignment/>
      <protection/>
    </xf>
    <xf numFmtId="0" fontId="0" fillId="0" borderId="25" xfId="56" applyBorder="1">
      <alignment/>
      <protection/>
    </xf>
    <xf numFmtId="0" fontId="47" fillId="0" borderId="17" xfId="56" applyFont="1" applyBorder="1" applyAlignment="1">
      <alignment horizontal="left"/>
      <protection/>
    </xf>
    <xf numFmtId="0" fontId="47" fillId="0" borderId="20" xfId="56" applyFont="1" applyBorder="1" applyAlignment="1">
      <alignment horizontal="left"/>
      <protection/>
    </xf>
    <xf numFmtId="0" fontId="0" fillId="0" borderId="17" xfId="56" applyBorder="1">
      <alignment/>
      <protection/>
    </xf>
    <xf numFmtId="0" fontId="0" fillId="0" borderId="0" xfId="56">
      <alignment/>
      <protection/>
    </xf>
    <xf numFmtId="3" fontId="15" fillId="0" borderId="25" xfId="56" applyNumberFormat="1" applyFont="1" applyBorder="1">
      <alignment/>
      <protection/>
    </xf>
    <xf numFmtId="49" fontId="6" fillId="0" borderId="104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1" fillId="0" borderId="0" xfId="0" applyFont="1" applyAlignment="1">
      <alignment/>
    </xf>
    <xf numFmtId="49" fontId="6" fillId="0" borderId="104" xfId="58" applyNumberFormat="1" applyFont="1" applyFill="1" applyBorder="1" applyAlignment="1">
      <alignment horizontal="center" vertical="center"/>
      <protection/>
    </xf>
    <xf numFmtId="3" fontId="4" fillId="0" borderId="26" xfId="58" applyNumberFormat="1" applyFont="1" applyFill="1" applyBorder="1" applyAlignment="1">
      <alignment vertical="center" wrapText="1"/>
      <protection/>
    </xf>
    <xf numFmtId="0" fontId="5" fillId="0" borderId="17" xfId="58" applyFont="1" applyFill="1" applyBorder="1" applyAlignment="1">
      <alignment horizontal="left" vertical="center" wrapText="1"/>
      <protection/>
    </xf>
    <xf numFmtId="3" fontId="4" fillId="0" borderId="13" xfId="58" applyNumberFormat="1" applyFont="1" applyFill="1" applyBorder="1" applyAlignment="1">
      <alignment horizontal="left" vertical="center" wrapText="1"/>
      <protection/>
    </xf>
    <xf numFmtId="3" fontId="56" fillId="0" borderId="33" xfId="58" applyNumberFormat="1" applyFont="1" applyFill="1" applyBorder="1" applyAlignment="1">
      <alignment vertical="center"/>
      <protection/>
    </xf>
    <xf numFmtId="3" fontId="2" fillId="0" borderId="17" xfId="56" applyNumberFormat="1" applyFont="1" applyBorder="1">
      <alignment/>
      <protection/>
    </xf>
    <xf numFmtId="3" fontId="0" fillId="0" borderId="19" xfId="56" applyNumberFormat="1" applyBorder="1">
      <alignment/>
      <protection/>
    </xf>
    <xf numFmtId="3" fontId="2" fillId="0" borderId="20" xfId="56" applyNumberFormat="1" applyFont="1" applyBorder="1">
      <alignment/>
      <protection/>
    </xf>
    <xf numFmtId="3" fontId="30" fillId="0" borderId="0" xfId="57" applyNumberFormat="1" applyFont="1" applyBorder="1" applyAlignment="1">
      <alignment/>
      <protection/>
    </xf>
    <xf numFmtId="3" fontId="30" fillId="0" borderId="63" xfId="57" applyNumberFormat="1" applyFont="1" applyBorder="1" applyAlignment="1">
      <alignment/>
      <protection/>
    </xf>
    <xf numFmtId="0" fontId="12" fillId="0" borderId="25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0" fontId="47" fillId="0" borderId="25" xfId="0" applyFont="1" applyBorder="1" applyAlignment="1">
      <alignment horizontal="left" vertical="top"/>
    </xf>
    <xf numFmtId="3" fontId="47" fillId="0" borderId="60" xfId="0" applyNumberFormat="1" applyFont="1" applyFill="1" applyBorder="1" applyAlignment="1">
      <alignment/>
    </xf>
    <xf numFmtId="0" fontId="0" fillId="0" borderId="25" xfId="56" applyFont="1" applyBorder="1">
      <alignment/>
      <protection/>
    </xf>
    <xf numFmtId="3" fontId="117" fillId="0" borderId="25" xfId="0" applyNumberFormat="1" applyFont="1" applyBorder="1" applyAlignment="1">
      <alignment vertical="center"/>
    </xf>
    <xf numFmtId="3" fontId="4" fillId="0" borderId="12" xfId="58" applyNumberFormat="1" applyFont="1" applyFill="1" applyBorder="1" applyAlignment="1">
      <alignment horizontal="center" vertical="center" wrapText="1"/>
      <protection/>
    </xf>
    <xf numFmtId="0" fontId="30" fillId="0" borderId="74" xfId="57" applyFont="1" applyBorder="1" applyAlignment="1">
      <alignment horizontal="left" wrapText="1"/>
      <protection/>
    </xf>
    <xf numFmtId="0" fontId="30" fillId="0" borderId="24" xfId="57" applyFont="1" applyBorder="1" applyAlignment="1">
      <alignment horizontal="left" wrapText="1"/>
      <protection/>
    </xf>
    <xf numFmtId="0" fontId="70" fillId="0" borderId="24" xfId="57" applyFont="1" applyBorder="1">
      <alignment/>
      <protection/>
    </xf>
    <xf numFmtId="0" fontId="12" fillId="0" borderId="25" xfId="0" applyFont="1" applyFill="1" applyBorder="1" applyAlignment="1">
      <alignment vertical="center"/>
    </xf>
    <xf numFmtId="3" fontId="12" fillId="36" borderId="13" xfId="0" applyNumberFormat="1" applyFont="1" applyFill="1" applyBorder="1" applyAlignment="1">
      <alignment vertical="center"/>
    </xf>
    <xf numFmtId="0" fontId="17" fillId="0" borderId="10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vertical="center"/>
    </xf>
    <xf numFmtId="0" fontId="73" fillId="0" borderId="25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3" fontId="73" fillId="0" borderId="25" xfId="0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25" xfId="0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3" fontId="75" fillId="0" borderId="25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0" fontId="28" fillId="0" borderId="25" xfId="0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28" fillId="36" borderId="25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 wrapText="1"/>
    </xf>
    <xf numFmtId="0" fontId="23" fillId="0" borderId="114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/>
    </xf>
    <xf numFmtId="0" fontId="22" fillId="0" borderId="107" xfId="0" applyFont="1" applyBorder="1" applyAlignment="1">
      <alignment horizontal="center"/>
    </xf>
    <xf numFmtId="0" fontId="22" fillId="0" borderId="106" xfId="0" applyFont="1" applyBorder="1" applyAlignment="1">
      <alignment horizontal="center"/>
    </xf>
    <xf numFmtId="0" fontId="0" fillId="0" borderId="115" xfId="0" applyBorder="1" applyAlignment="1">
      <alignment/>
    </xf>
    <xf numFmtId="3" fontId="25" fillId="37" borderId="115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37" borderId="116" xfId="0" applyNumberFormat="1" applyFill="1" applyBorder="1" applyAlignment="1">
      <alignment/>
    </xf>
    <xf numFmtId="0" fontId="0" fillId="0" borderId="117" xfId="0" applyBorder="1" applyAlignment="1">
      <alignment/>
    </xf>
    <xf numFmtId="3" fontId="25" fillId="37" borderId="118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37" borderId="106" xfId="0" applyNumberFormat="1" applyFill="1" applyBorder="1" applyAlignment="1">
      <alignment/>
    </xf>
    <xf numFmtId="0" fontId="25" fillId="0" borderId="86" xfId="0" applyFont="1" applyBorder="1" applyAlignment="1">
      <alignment/>
    </xf>
    <xf numFmtId="3" fontId="25" fillId="37" borderId="47" xfId="0" applyNumberFormat="1" applyFont="1" applyFill="1" applyBorder="1" applyAlignment="1">
      <alignment/>
    </xf>
    <xf numFmtId="3" fontId="25" fillId="35" borderId="52" xfId="0" applyNumberFormat="1" applyFont="1" applyFill="1" applyBorder="1" applyAlignment="1">
      <alignment/>
    </xf>
    <xf numFmtId="3" fontId="25" fillId="35" borderId="109" xfId="0" applyNumberFormat="1" applyFont="1" applyFill="1" applyBorder="1" applyAlignment="1">
      <alignment/>
    </xf>
    <xf numFmtId="3" fontId="25" fillId="37" borderId="46" xfId="0" applyNumberFormat="1" applyFont="1" applyFill="1" applyBorder="1" applyAlignment="1">
      <alignment/>
    </xf>
    <xf numFmtId="3" fontId="25" fillId="37" borderId="86" xfId="0" applyNumberFormat="1" applyFont="1" applyFill="1" applyBorder="1" applyAlignment="1">
      <alignment/>
    </xf>
    <xf numFmtId="0" fontId="22" fillId="0" borderId="119" xfId="0" applyFont="1" applyBorder="1" applyAlignment="1">
      <alignment horizontal="center"/>
    </xf>
    <xf numFmtId="0" fontId="0" fillId="0" borderId="104" xfId="0" applyBorder="1" applyAlignment="1">
      <alignment horizontal="left"/>
    </xf>
    <xf numFmtId="3" fontId="0" fillId="37" borderId="40" xfId="0" applyNumberFormat="1" applyFill="1" applyBorder="1" applyAlignment="1">
      <alignment/>
    </xf>
    <xf numFmtId="0" fontId="0" fillId="0" borderId="27" xfId="0" applyBorder="1" applyAlignment="1">
      <alignment horizontal="center"/>
    </xf>
    <xf numFmtId="3" fontId="0" fillId="37" borderId="28" xfId="0" applyNumberFormat="1" applyFill="1" applyBorder="1" applyAlignment="1">
      <alignment/>
    </xf>
    <xf numFmtId="3" fontId="0" fillId="37" borderId="107" xfId="0" applyNumberFormat="1" applyFill="1" applyBorder="1" applyAlignment="1">
      <alignment/>
    </xf>
    <xf numFmtId="0" fontId="0" fillId="0" borderId="105" xfId="0" applyBorder="1" applyAlignment="1">
      <alignment horizontal="left"/>
    </xf>
    <xf numFmtId="0" fontId="0" fillId="0" borderId="25" xfId="0" applyBorder="1" applyAlignment="1">
      <alignment horizontal="center"/>
    </xf>
    <xf numFmtId="3" fontId="0" fillId="37" borderId="88" xfId="0" applyNumberFormat="1" applyFill="1" applyBorder="1" applyAlignment="1">
      <alignment/>
    </xf>
    <xf numFmtId="0" fontId="0" fillId="0" borderId="44" xfId="0" applyBorder="1" applyAlignment="1">
      <alignment horizontal="left"/>
    </xf>
    <xf numFmtId="3" fontId="0" fillId="36" borderId="25" xfId="0" applyNumberFormat="1" applyFill="1" applyBorder="1" applyAlignment="1">
      <alignment/>
    </xf>
    <xf numFmtId="3" fontId="0" fillId="37" borderId="32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0" fillId="37" borderId="119" xfId="0" applyNumberFormat="1" applyFill="1" applyBorder="1" applyAlignment="1">
      <alignment/>
    </xf>
    <xf numFmtId="0" fontId="22" fillId="0" borderId="113" xfId="0" applyFont="1" applyBorder="1" applyAlignment="1">
      <alignment horizontal="center" vertical="center"/>
    </xf>
    <xf numFmtId="0" fontId="25" fillId="0" borderId="79" xfId="0" applyFont="1" applyBorder="1" applyAlignment="1">
      <alignment/>
    </xf>
    <xf numFmtId="3" fontId="25" fillId="37" borderId="79" xfId="0" applyNumberFormat="1" applyFont="1" applyFill="1" applyBorder="1" applyAlignment="1">
      <alignment/>
    </xf>
    <xf numFmtId="3" fontId="25" fillId="35" borderId="81" xfId="0" applyNumberFormat="1" applyFont="1" applyFill="1" applyBorder="1" applyAlignment="1">
      <alignment/>
    </xf>
    <xf numFmtId="3" fontId="25" fillId="37" borderId="120" xfId="0" applyNumberFormat="1" applyFont="1" applyFill="1" applyBorder="1" applyAlignment="1">
      <alignment/>
    </xf>
    <xf numFmtId="3" fontId="25" fillId="37" borderId="99" xfId="0" applyNumberFormat="1" applyFont="1" applyFill="1" applyBorder="1" applyAlignment="1">
      <alignment/>
    </xf>
    <xf numFmtId="0" fontId="22" fillId="0" borderId="88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/>
    </xf>
    <xf numFmtId="0" fontId="0" fillId="0" borderId="122" xfId="0" applyBorder="1" applyAlignment="1">
      <alignment/>
    </xf>
    <xf numFmtId="3" fontId="18" fillId="37" borderId="40" xfId="0" applyNumberFormat="1" applyFont="1" applyFill="1" applyBorder="1" applyAlignment="1">
      <alignment horizontal="right"/>
    </xf>
    <xf numFmtId="3" fontId="18" fillId="37" borderId="104" xfId="0" applyNumberFormat="1" applyFont="1" applyFill="1" applyBorder="1" applyAlignment="1">
      <alignment horizontal="right"/>
    </xf>
    <xf numFmtId="0" fontId="22" fillId="0" borderId="106" xfId="0" applyFont="1" applyBorder="1" applyAlignment="1">
      <alignment horizontal="center" vertical="center"/>
    </xf>
    <xf numFmtId="3" fontId="18" fillId="37" borderId="44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25" fillId="37" borderId="123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37" borderId="123" xfId="0" applyNumberFormat="1" applyFill="1" applyBorder="1" applyAlignment="1">
      <alignment/>
    </xf>
    <xf numFmtId="0" fontId="0" fillId="0" borderId="4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4" xfId="0" applyBorder="1" applyAlignment="1">
      <alignment horizontal="left"/>
    </xf>
    <xf numFmtId="3" fontId="0" fillId="37" borderId="58" xfId="0" applyNumberFormat="1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125" xfId="0" applyBorder="1" applyAlignment="1">
      <alignment horizontal="center"/>
    </xf>
    <xf numFmtId="0" fontId="22" fillId="0" borderId="113" xfId="0" applyFont="1" applyBorder="1" applyAlignment="1">
      <alignment horizontal="center"/>
    </xf>
    <xf numFmtId="0" fontId="25" fillId="0" borderId="99" xfId="0" applyFont="1" applyBorder="1" applyAlignment="1">
      <alignment/>
    </xf>
    <xf numFmtId="0" fontId="22" fillId="0" borderId="88" xfId="0" applyFont="1" applyBorder="1" applyAlignment="1">
      <alignment horizontal="center"/>
    </xf>
    <xf numFmtId="3" fontId="0" fillId="0" borderId="126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127" xfId="0" applyBorder="1" applyAlignment="1">
      <alignment/>
    </xf>
    <xf numFmtId="0" fontId="25" fillId="0" borderId="58" xfId="0" applyFont="1" applyBorder="1" applyAlignment="1">
      <alignment/>
    </xf>
    <xf numFmtId="3" fontId="25" fillId="35" borderId="0" xfId="0" applyNumberFormat="1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18" fillId="0" borderId="25" xfId="0" applyFont="1" applyBorder="1" applyAlignment="1">
      <alignment/>
    </xf>
    <xf numFmtId="4" fontId="25" fillId="37" borderId="25" xfId="0" applyNumberFormat="1" applyFont="1" applyFill="1" applyBorder="1" applyAlignment="1">
      <alignment/>
    </xf>
    <xf numFmtId="4" fontId="25" fillId="35" borderId="25" xfId="0" applyNumberFormat="1" applyFont="1" applyFill="1" applyBorder="1" applyAlignment="1">
      <alignment/>
    </xf>
    <xf numFmtId="4" fontId="18" fillId="35" borderId="25" xfId="0" applyNumberFormat="1" applyFont="1" applyFill="1" applyBorder="1" applyAlignment="1">
      <alignment/>
    </xf>
    <xf numFmtId="3" fontId="18" fillId="37" borderId="25" xfId="0" applyNumberFormat="1" applyFont="1" applyFill="1" applyBorder="1" applyAlignment="1">
      <alignment/>
    </xf>
    <xf numFmtId="3" fontId="25" fillId="37" borderId="13" xfId="0" applyNumberFormat="1" applyFont="1" applyFill="1" applyBorder="1" applyAlignment="1">
      <alignment/>
    </xf>
    <xf numFmtId="4" fontId="18" fillId="35" borderId="17" xfId="0" applyNumberFormat="1" applyFon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25" fillId="37" borderId="11" xfId="0" applyNumberFormat="1" applyFont="1" applyFill="1" applyBorder="1" applyAlignment="1">
      <alignment/>
    </xf>
    <xf numFmtId="0" fontId="18" fillId="0" borderId="34" xfId="0" applyFont="1" applyBorder="1" applyAlignment="1">
      <alignment/>
    </xf>
    <xf numFmtId="4" fontId="25" fillId="37" borderId="34" xfId="0" applyNumberFormat="1" applyFont="1" applyFill="1" applyBorder="1" applyAlignment="1">
      <alignment/>
    </xf>
    <xf numFmtId="4" fontId="25" fillId="35" borderId="34" xfId="0" applyNumberFormat="1" applyFont="1" applyFill="1" applyBorder="1" applyAlignment="1">
      <alignment/>
    </xf>
    <xf numFmtId="4" fontId="18" fillId="35" borderId="34" xfId="0" applyNumberFormat="1" applyFont="1" applyFill="1" applyBorder="1" applyAlignment="1">
      <alignment/>
    </xf>
    <xf numFmtId="4" fontId="18" fillId="35" borderId="18" xfId="0" applyNumberFormat="1" applyFont="1" applyFill="1" applyBorder="1" applyAlignment="1">
      <alignment/>
    </xf>
    <xf numFmtId="3" fontId="0" fillId="37" borderId="21" xfId="0" applyNumberFormat="1" applyFill="1" applyBorder="1" applyAlignment="1">
      <alignment/>
    </xf>
    <xf numFmtId="3" fontId="25" fillId="37" borderId="15" xfId="0" applyNumberFormat="1" applyFont="1" applyFill="1" applyBorder="1" applyAlignment="1">
      <alignment/>
    </xf>
    <xf numFmtId="0" fontId="25" fillId="0" borderId="52" xfId="0" applyFont="1" applyBorder="1" applyAlignment="1">
      <alignment/>
    </xf>
    <xf numFmtId="4" fontId="25" fillId="37" borderId="52" xfId="0" applyNumberFormat="1" applyFont="1" applyFill="1" applyBorder="1" applyAlignment="1">
      <alignment/>
    </xf>
    <xf numFmtId="4" fontId="25" fillId="35" borderId="52" xfId="0" applyNumberFormat="1" applyFont="1" applyFill="1" applyBorder="1" applyAlignment="1">
      <alignment/>
    </xf>
    <xf numFmtId="3" fontId="25" fillId="37" borderId="52" xfId="0" applyNumberFormat="1" applyFont="1" applyFill="1" applyBorder="1" applyAlignment="1">
      <alignment/>
    </xf>
    <xf numFmtId="3" fontId="25" fillId="37" borderId="109" xfId="0" applyNumberFormat="1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3" fontId="25" fillId="37" borderId="25" xfId="0" applyNumberFormat="1" applyFont="1" applyFill="1" applyBorder="1" applyAlignment="1">
      <alignment/>
    </xf>
    <xf numFmtId="3" fontId="18" fillId="37" borderId="13" xfId="0" applyNumberFormat="1" applyFont="1" applyFill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8" fillId="0" borderId="41" xfId="0" applyFont="1" applyBorder="1" applyAlignment="1">
      <alignment/>
    </xf>
    <xf numFmtId="4" fontId="25" fillId="37" borderId="41" xfId="0" applyNumberFormat="1" applyFont="1" applyFill="1" applyBorder="1" applyAlignment="1">
      <alignment/>
    </xf>
    <xf numFmtId="4" fontId="25" fillId="35" borderId="41" xfId="0" applyNumberFormat="1" applyFont="1" applyFill="1" applyBorder="1" applyAlignment="1">
      <alignment/>
    </xf>
    <xf numFmtId="4" fontId="18" fillId="35" borderId="41" xfId="0" applyNumberFormat="1" applyFont="1" applyFill="1" applyBorder="1" applyAlignment="1">
      <alignment/>
    </xf>
    <xf numFmtId="3" fontId="25" fillId="37" borderId="41" xfId="0" applyNumberFormat="1" applyFont="1" applyFill="1" applyBorder="1" applyAlignment="1">
      <alignment/>
    </xf>
    <xf numFmtId="3" fontId="18" fillId="37" borderId="10" xfId="0" applyNumberFormat="1" applyFont="1" applyFill="1" applyBorder="1" applyAlignment="1">
      <alignment/>
    </xf>
    <xf numFmtId="3" fontId="2" fillId="36" borderId="0" xfId="59" applyNumberFormat="1" applyFont="1" applyFill="1" applyBorder="1">
      <alignment/>
      <protection/>
    </xf>
    <xf numFmtId="49" fontId="53" fillId="0" borderId="25" xfId="59" applyNumberFormat="1" applyFont="1" applyBorder="1" applyAlignment="1">
      <alignment vertical="center"/>
      <protection/>
    </xf>
    <xf numFmtId="0" fontId="53" fillId="0" borderId="25" xfId="59" applyFont="1" applyBorder="1">
      <alignment/>
      <protection/>
    </xf>
    <xf numFmtId="0" fontId="53" fillId="0" borderId="17" xfId="59" applyFont="1" applyBorder="1">
      <alignment/>
      <protection/>
    </xf>
    <xf numFmtId="3" fontId="53" fillId="0" borderId="28" xfId="59" applyNumberFormat="1" applyFont="1" applyBorder="1">
      <alignment/>
      <protection/>
    </xf>
    <xf numFmtId="3" fontId="53" fillId="0" borderId="25" xfId="59" applyNumberFormat="1" applyFont="1" applyBorder="1">
      <alignment/>
      <protection/>
    </xf>
    <xf numFmtId="3" fontId="53" fillId="0" borderId="13" xfId="59" applyNumberFormat="1" applyFont="1" applyBorder="1">
      <alignment/>
      <protection/>
    </xf>
    <xf numFmtId="3" fontId="53" fillId="0" borderId="20" xfId="59" applyNumberFormat="1" applyFont="1" applyBorder="1">
      <alignment/>
      <protection/>
    </xf>
    <xf numFmtId="3" fontId="53" fillId="0" borderId="106" xfId="59" applyNumberFormat="1" applyFont="1" applyBorder="1">
      <alignment/>
      <protection/>
    </xf>
    <xf numFmtId="3" fontId="53" fillId="0" borderId="0" xfId="59" applyNumberFormat="1" applyFont="1">
      <alignment/>
      <protection/>
    </xf>
    <xf numFmtId="0" fontId="53" fillId="0" borderId="0" xfId="59" applyFont="1">
      <alignment/>
      <protection/>
    </xf>
    <xf numFmtId="0" fontId="18" fillId="0" borderId="17" xfId="59" applyFont="1" applyBorder="1">
      <alignment/>
      <protection/>
    </xf>
    <xf numFmtId="49" fontId="18" fillId="0" borderId="34" xfId="59" applyNumberFormat="1" applyBorder="1" applyAlignment="1">
      <alignment vertical="center"/>
      <protection/>
    </xf>
    <xf numFmtId="0" fontId="18" fillId="0" borderId="18" xfId="59" applyFont="1" applyBorder="1" applyAlignment="1">
      <alignment wrapText="1"/>
      <protection/>
    </xf>
    <xf numFmtId="3" fontId="18" fillId="0" borderId="44" xfId="59" applyNumberFormat="1" applyBorder="1">
      <alignment/>
      <protection/>
    </xf>
    <xf numFmtId="3" fontId="18" fillId="0" borderId="34" xfId="59" applyNumberFormat="1" applyBorder="1">
      <alignment/>
      <protection/>
    </xf>
    <xf numFmtId="3" fontId="18" fillId="0" borderId="45" xfId="59" applyNumberFormat="1" applyBorder="1">
      <alignment/>
      <protection/>
    </xf>
    <xf numFmtId="4" fontId="18" fillId="0" borderId="44" xfId="59" applyNumberFormat="1" applyFill="1" applyBorder="1">
      <alignment/>
      <protection/>
    </xf>
    <xf numFmtId="3" fontId="18" fillId="0" borderId="30" xfId="59" applyNumberFormat="1" applyFill="1" applyBorder="1">
      <alignment/>
      <protection/>
    </xf>
    <xf numFmtId="2" fontId="18" fillId="0" borderId="30" xfId="59" applyNumberFormat="1" applyBorder="1">
      <alignment/>
      <protection/>
    </xf>
    <xf numFmtId="3" fontId="18" fillId="0" borderId="34" xfId="59" applyNumberFormat="1" applyFill="1" applyBorder="1">
      <alignment/>
      <protection/>
    </xf>
    <xf numFmtId="3" fontId="3" fillId="38" borderId="32" xfId="59" applyNumberFormat="1" applyFont="1" applyFill="1" applyBorder="1" applyAlignment="1">
      <alignment horizontal="center"/>
      <protection/>
    </xf>
    <xf numFmtId="3" fontId="3" fillId="38" borderId="21" xfId="59" applyNumberFormat="1" applyFont="1" applyFill="1" applyBorder="1" applyAlignment="1">
      <alignment horizontal="center"/>
      <protection/>
    </xf>
    <xf numFmtId="3" fontId="2" fillId="38" borderId="33" xfId="59" applyNumberFormat="1" applyFont="1" applyFill="1" applyBorder="1">
      <alignment/>
      <protection/>
    </xf>
    <xf numFmtId="3" fontId="3" fillId="38" borderId="23" xfId="59" applyNumberFormat="1" applyFont="1" applyFill="1" applyBorder="1" applyAlignment="1">
      <alignment horizontal="center"/>
      <protection/>
    </xf>
    <xf numFmtId="3" fontId="25" fillId="38" borderId="124" xfId="59" applyNumberFormat="1" applyFont="1" applyFill="1" applyBorder="1">
      <alignment/>
      <protection/>
    </xf>
    <xf numFmtId="3" fontId="3" fillId="36" borderId="0" xfId="59" applyNumberFormat="1" applyFont="1" applyFill="1" applyBorder="1">
      <alignment/>
      <protection/>
    </xf>
    <xf numFmtId="0" fontId="3" fillId="36" borderId="0" xfId="59" applyFont="1" applyFill="1" applyBorder="1">
      <alignment/>
      <protection/>
    </xf>
    <xf numFmtId="0" fontId="3" fillId="36" borderId="125" xfId="59" applyFont="1" applyFill="1" applyBorder="1" applyAlignment="1">
      <alignment horizontal="center"/>
      <protection/>
    </xf>
    <xf numFmtId="0" fontId="3" fillId="36" borderId="0" xfId="59" applyFont="1" applyFill="1" applyBorder="1" applyAlignment="1">
      <alignment horizontal="center"/>
      <protection/>
    </xf>
    <xf numFmtId="3" fontId="51" fillId="33" borderId="46" xfId="59" applyNumberFormat="1" applyFont="1" applyFill="1" applyBorder="1" applyAlignment="1">
      <alignment horizontal="center"/>
      <protection/>
    </xf>
    <xf numFmtId="3" fontId="51" fillId="33" borderId="52" xfId="59" applyNumberFormat="1" applyFont="1" applyFill="1" applyBorder="1" applyAlignment="1">
      <alignment horizontal="center"/>
      <protection/>
    </xf>
    <xf numFmtId="3" fontId="51" fillId="33" borderId="109" xfId="59" applyNumberFormat="1" applyFont="1" applyFill="1" applyBorder="1">
      <alignment/>
      <protection/>
    </xf>
    <xf numFmtId="3" fontId="51" fillId="33" borderId="128" xfId="59" applyNumberFormat="1" applyFont="1" applyFill="1" applyBorder="1" applyAlignment="1">
      <alignment horizontal="center"/>
      <protection/>
    </xf>
    <xf numFmtId="0" fontId="3" fillId="36" borderId="63" xfId="59" applyFont="1" applyFill="1" applyBorder="1" applyAlignment="1">
      <alignment horizontal="center"/>
      <protection/>
    </xf>
    <xf numFmtId="49" fontId="25" fillId="33" borderId="41" xfId="59" applyNumberFormat="1" applyFont="1" applyFill="1" applyBorder="1" applyAlignment="1">
      <alignment horizontal="center" vertical="center"/>
      <protection/>
    </xf>
    <xf numFmtId="0" fontId="25" fillId="33" borderId="41" xfId="59" applyFont="1" applyFill="1" applyBorder="1" applyAlignment="1">
      <alignment vertical="center"/>
      <protection/>
    </xf>
    <xf numFmtId="0" fontId="25" fillId="33" borderId="129" xfId="59" applyFont="1" applyFill="1" applyBorder="1" applyAlignment="1">
      <alignment vertical="center" wrapText="1"/>
      <protection/>
    </xf>
    <xf numFmtId="3" fontId="25" fillId="33" borderId="40" xfId="59" applyNumberFormat="1" applyFont="1" applyFill="1" applyBorder="1" applyAlignment="1">
      <alignment vertical="center"/>
      <protection/>
    </xf>
    <xf numFmtId="3" fontId="25" fillId="33" borderId="41" xfId="59" applyNumberFormat="1" applyFont="1" applyFill="1" applyBorder="1" applyAlignment="1">
      <alignment vertical="center"/>
      <protection/>
    </xf>
    <xf numFmtId="3" fontId="25" fillId="33" borderId="10" xfId="59" applyNumberFormat="1" applyFont="1" applyFill="1" applyBorder="1" applyAlignment="1">
      <alignment vertical="center"/>
      <protection/>
    </xf>
    <xf numFmtId="3" fontId="25" fillId="33" borderId="126" xfId="59" applyNumberFormat="1" applyFont="1" applyFill="1" applyBorder="1" applyAlignment="1">
      <alignment vertical="center"/>
      <protection/>
    </xf>
    <xf numFmtId="3" fontId="25" fillId="33" borderId="116" xfId="59" applyNumberFormat="1" applyFont="1" applyFill="1" applyBorder="1" applyAlignment="1">
      <alignment vertical="center"/>
      <protection/>
    </xf>
    <xf numFmtId="3" fontId="3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3" fontId="3" fillId="33" borderId="0" xfId="59" applyNumberFormat="1" applyFont="1" applyFill="1" applyBorder="1">
      <alignment/>
      <protection/>
    </xf>
    <xf numFmtId="0" fontId="18" fillId="0" borderId="73" xfId="57" applyBorder="1">
      <alignment/>
      <protection/>
    </xf>
    <xf numFmtId="3" fontId="30" fillId="0" borderId="98" xfId="57" applyNumberFormat="1" applyFont="1" applyFill="1" applyBorder="1">
      <alignment/>
      <protection/>
    </xf>
    <xf numFmtId="3" fontId="29" fillId="34" borderId="130" xfId="57" applyNumberFormat="1" applyFont="1" applyFill="1" applyBorder="1">
      <alignment/>
      <protection/>
    </xf>
    <xf numFmtId="0" fontId="118" fillId="0" borderId="0" xfId="0" applyFont="1" applyAlignment="1">
      <alignment/>
    </xf>
    <xf numFmtId="0" fontId="30" fillId="0" borderId="38" xfId="57" applyFont="1" applyBorder="1" applyAlignment="1">
      <alignment horizontal="left"/>
      <protection/>
    </xf>
    <xf numFmtId="3" fontId="56" fillId="0" borderId="25" xfId="56" applyNumberFormat="1" applyFont="1" applyFill="1" applyBorder="1">
      <alignment/>
      <protection/>
    </xf>
    <xf numFmtId="3" fontId="25" fillId="34" borderId="101" xfId="57" applyNumberFormat="1" applyFont="1" applyFill="1" applyBorder="1">
      <alignment/>
      <protection/>
    </xf>
    <xf numFmtId="3" fontId="54" fillId="0" borderId="66" xfId="57" applyNumberFormat="1" applyFont="1" applyBorder="1">
      <alignment/>
      <protection/>
    </xf>
    <xf numFmtId="0" fontId="30" fillId="34" borderId="80" xfId="57" applyFont="1" applyFill="1" applyBorder="1" applyAlignment="1">
      <alignment horizontal="left" wrapText="1"/>
      <protection/>
    </xf>
    <xf numFmtId="0" fontId="30" fillId="0" borderId="58" xfId="57" applyFont="1" applyBorder="1" applyAlignment="1">
      <alignment/>
      <protection/>
    </xf>
    <xf numFmtId="0" fontId="30" fillId="0" borderId="0" xfId="57" applyFont="1" applyBorder="1" applyAlignment="1">
      <alignment/>
      <protection/>
    </xf>
    <xf numFmtId="3" fontId="52" fillId="0" borderId="51" xfId="57" applyNumberFormat="1" applyFont="1" applyBorder="1" applyAlignment="1">
      <alignment horizontal="right"/>
      <protection/>
    </xf>
    <xf numFmtId="3" fontId="52" fillId="0" borderId="52" xfId="57" applyNumberFormat="1" applyFont="1" applyBorder="1" applyAlignment="1">
      <alignment horizontal="right"/>
      <protection/>
    </xf>
    <xf numFmtId="3" fontId="52" fillId="0" borderId="131" xfId="57" applyNumberFormat="1" applyFont="1" applyBorder="1">
      <alignment/>
      <protection/>
    </xf>
    <xf numFmtId="0" fontId="30" fillId="0" borderId="59" xfId="57" applyFont="1" applyBorder="1" applyAlignment="1">
      <alignment/>
      <protection/>
    </xf>
    <xf numFmtId="0" fontId="30" fillId="0" borderId="36" xfId="57" applyFont="1" applyBorder="1" applyAlignment="1">
      <alignment/>
      <protection/>
    </xf>
    <xf numFmtId="0" fontId="70" fillId="0" borderId="58" xfId="57" applyFont="1" applyBorder="1" applyAlignment="1">
      <alignment wrapText="1"/>
      <protection/>
    </xf>
    <xf numFmtId="0" fontId="70" fillId="0" borderId="0" xfId="57" applyFont="1" applyBorder="1" applyAlignment="1">
      <alignment wrapText="1"/>
      <protection/>
    </xf>
    <xf numFmtId="0" fontId="70" fillId="0" borderId="58" xfId="57" applyFont="1" applyBorder="1" applyAlignment="1">
      <alignment/>
      <protection/>
    </xf>
    <xf numFmtId="0" fontId="70" fillId="0" borderId="0" xfId="57" applyFont="1" applyBorder="1" applyAlignment="1">
      <alignment/>
      <protection/>
    </xf>
    <xf numFmtId="0" fontId="25" fillId="0" borderId="132" xfId="57" applyFont="1" applyBorder="1" applyAlignment="1">
      <alignment horizontal="center" vertical="center"/>
      <protection/>
    </xf>
    <xf numFmtId="0" fontId="25" fillId="0" borderId="74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52" xfId="57" applyFont="1" applyBorder="1" applyAlignment="1">
      <alignment vertical="center"/>
      <protection/>
    </xf>
    <xf numFmtId="0" fontId="25" fillId="0" borderId="50" xfId="57" applyFont="1" applyBorder="1" applyAlignment="1">
      <alignment horizontal="center" vertical="center"/>
      <protection/>
    </xf>
    <xf numFmtId="0" fontId="2" fillId="0" borderId="132" xfId="58" applyFont="1" applyFill="1" applyBorder="1" applyAlignment="1">
      <alignment horizontal="center" vertical="center" wrapText="1"/>
      <protection/>
    </xf>
    <xf numFmtId="0" fontId="25" fillId="0" borderId="133" xfId="57" applyFont="1" applyBorder="1" applyAlignment="1">
      <alignment horizontal="center" vertical="center"/>
      <protection/>
    </xf>
    <xf numFmtId="0" fontId="17" fillId="0" borderId="44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/>
    </xf>
    <xf numFmtId="3" fontId="25" fillId="0" borderId="39" xfId="0" applyNumberFormat="1" applyFont="1" applyFill="1" applyBorder="1" applyAlignment="1">
      <alignment/>
    </xf>
    <xf numFmtId="0" fontId="18" fillId="0" borderId="0" xfId="59" applyAlignment="1">
      <alignment/>
      <protection/>
    </xf>
    <xf numFmtId="0" fontId="51" fillId="0" borderId="37" xfId="58" applyFont="1" applyFill="1" applyBorder="1" applyAlignment="1">
      <alignment vertical="center" wrapText="1"/>
      <protection/>
    </xf>
    <xf numFmtId="3" fontId="14" fillId="0" borderId="13" xfId="0" applyNumberFormat="1" applyFont="1" applyFill="1" applyBorder="1" applyAlignment="1">
      <alignment horizontal="right" vertical="center"/>
    </xf>
    <xf numFmtId="3" fontId="13" fillId="0" borderId="33" xfId="0" applyNumberFormat="1" applyFont="1" applyFill="1" applyBorder="1" applyAlignment="1">
      <alignment vertical="center"/>
    </xf>
    <xf numFmtId="164" fontId="18" fillId="36" borderId="28" xfId="59" applyNumberFormat="1" applyFill="1" applyBorder="1">
      <alignment/>
      <protection/>
    </xf>
    <xf numFmtId="3" fontId="29" fillId="0" borderId="134" xfId="57" applyNumberFormat="1" applyFont="1" applyBorder="1" applyAlignment="1">
      <alignment horizontal="right" vertical="center"/>
      <protection/>
    </xf>
    <xf numFmtId="3" fontId="29" fillId="0" borderId="88" xfId="57" applyNumberFormat="1" applyFont="1" applyBorder="1" applyAlignment="1">
      <alignment horizontal="right" vertical="center"/>
      <protection/>
    </xf>
    <xf numFmtId="0" fontId="27" fillId="0" borderId="25" xfId="55" applyFont="1" applyBorder="1">
      <alignment/>
      <protection/>
    </xf>
    <xf numFmtId="3" fontId="70" fillId="0" borderId="135" xfId="57" applyNumberFormat="1" applyFont="1" applyFill="1" applyBorder="1">
      <alignment/>
      <protection/>
    </xf>
    <xf numFmtId="3" fontId="25" fillId="0" borderId="25" xfId="59" applyNumberFormat="1" applyFont="1" applyFill="1" applyBorder="1" applyAlignment="1">
      <alignment horizontal="right"/>
      <protection/>
    </xf>
    <xf numFmtId="3" fontId="25" fillId="0" borderId="28" xfId="59" applyNumberFormat="1" applyFont="1" applyFill="1" applyBorder="1" applyAlignment="1">
      <alignment horizontal="right"/>
      <protection/>
    </xf>
    <xf numFmtId="164" fontId="25" fillId="36" borderId="20" xfId="59" applyNumberFormat="1" applyFont="1" applyFill="1" applyBorder="1">
      <alignment/>
      <protection/>
    </xf>
    <xf numFmtId="4" fontId="18" fillId="36" borderId="28" xfId="59" applyNumberFormat="1" applyFill="1" applyBorder="1">
      <alignment/>
      <protection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wrapText="1"/>
    </xf>
    <xf numFmtId="0" fontId="24" fillId="0" borderId="0" xfId="60" applyFont="1" applyAlignment="1">
      <alignment horizontal="center" vertical="center"/>
      <protection/>
    </xf>
    <xf numFmtId="0" fontId="79" fillId="0" borderId="0" xfId="60" applyFont="1" applyAlignment="1">
      <alignment vertical="center"/>
      <protection/>
    </xf>
    <xf numFmtId="0" fontId="20" fillId="0" borderId="0" xfId="60" applyFont="1" applyAlignment="1">
      <alignment horizontal="right" vertical="center"/>
      <protection/>
    </xf>
    <xf numFmtId="0" fontId="19" fillId="0" borderId="0" xfId="60" applyFont="1" applyAlignment="1">
      <alignment horizontal="center" vertical="center" wrapText="1"/>
      <protection/>
    </xf>
    <xf numFmtId="0" fontId="24" fillId="0" borderId="28" xfId="60" applyFont="1" applyBorder="1" applyAlignment="1">
      <alignment horizontal="center" vertical="center"/>
      <protection/>
    </xf>
    <xf numFmtId="0" fontId="23" fillId="0" borderId="25" xfId="60" applyFont="1" applyBorder="1" applyAlignment="1">
      <alignment horizontal="center" vertical="center" wrapText="1"/>
      <protection/>
    </xf>
    <xf numFmtId="0" fontId="24" fillId="0" borderId="25" xfId="60" applyFont="1" applyBorder="1" applyAlignment="1">
      <alignment horizontal="center" vertical="center"/>
      <protection/>
    </xf>
    <xf numFmtId="3" fontId="24" fillId="0" borderId="25" xfId="60" applyNumberFormat="1" applyFont="1" applyBorder="1" applyAlignment="1">
      <alignment horizontal="center" vertical="center" wrapText="1"/>
      <protection/>
    </xf>
    <xf numFmtId="3" fontId="24" fillId="0" borderId="13" xfId="60" applyNumberFormat="1" applyFont="1" applyBorder="1" applyAlignment="1">
      <alignment horizontal="center" vertical="center" wrapText="1"/>
      <protection/>
    </xf>
    <xf numFmtId="0" fontId="19" fillId="0" borderId="25" xfId="60" applyFont="1" applyBorder="1" applyAlignment="1">
      <alignment horizontal="center" vertical="center"/>
      <protection/>
    </xf>
    <xf numFmtId="3" fontId="79" fillId="35" borderId="25" xfId="60" applyNumberFormat="1" applyFont="1" applyFill="1" applyBorder="1" applyAlignment="1">
      <alignment horizontal="right" vertical="center" wrapText="1"/>
      <protection/>
    </xf>
    <xf numFmtId="3" fontId="79" fillId="0" borderId="25" xfId="60" applyNumberFormat="1" applyFont="1" applyBorder="1" applyAlignment="1">
      <alignment horizontal="right" vertical="center" wrapText="1"/>
      <protection/>
    </xf>
    <xf numFmtId="3" fontId="79" fillId="36" borderId="25" xfId="60" applyNumberFormat="1" applyFont="1" applyFill="1" applyBorder="1" applyAlignment="1">
      <alignment horizontal="right" vertical="center" wrapText="1"/>
      <protection/>
    </xf>
    <xf numFmtId="3" fontId="19" fillId="0" borderId="13" xfId="60" applyNumberFormat="1" applyFont="1" applyBorder="1" applyAlignment="1">
      <alignment horizontal="right" vertical="center" wrapText="1"/>
      <protection/>
    </xf>
    <xf numFmtId="3" fontId="79" fillId="0" borderId="25" xfId="60" applyNumberFormat="1" applyFont="1" applyBorder="1" applyAlignment="1">
      <alignment horizontal="right" vertical="center"/>
      <protection/>
    </xf>
    <xf numFmtId="3" fontId="79" fillId="0" borderId="25" xfId="60" applyNumberFormat="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57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11" fillId="0" borderId="0" xfId="56" applyFont="1" applyFill="1" applyAlignment="1">
      <alignment horizontal="center" vertical="center"/>
      <protection/>
    </xf>
    <xf numFmtId="0" fontId="65" fillId="0" borderId="17" xfId="56" applyFont="1" applyBorder="1" applyAlignment="1">
      <alignment horizontal="left"/>
      <protection/>
    </xf>
    <xf numFmtId="0" fontId="65" fillId="0" borderId="19" xfId="56" applyFont="1" applyBorder="1" applyAlignment="1">
      <alignment horizontal="left"/>
      <protection/>
    </xf>
    <xf numFmtId="0" fontId="65" fillId="0" borderId="20" xfId="56" applyFont="1" applyBorder="1" applyAlignment="1">
      <alignment horizontal="left"/>
      <protection/>
    </xf>
    <xf numFmtId="0" fontId="6" fillId="0" borderId="17" xfId="56" applyFont="1" applyBorder="1" applyAlignment="1">
      <alignment horizontal="left"/>
      <protection/>
    </xf>
    <xf numFmtId="0" fontId="6" fillId="0" borderId="19" xfId="56" applyFont="1" applyBorder="1" applyAlignment="1">
      <alignment horizontal="left"/>
      <protection/>
    </xf>
    <xf numFmtId="0" fontId="6" fillId="0" borderId="20" xfId="56" applyFont="1" applyBorder="1" applyAlignment="1">
      <alignment horizontal="left"/>
      <protection/>
    </xf>
    <xf numFmtId="0" fontId="4" fillId="0" borderId="17" xfId="56" applyFont="1" applyBorder="1" applyAlignment="1">
      <alignment horizontal="left"/>
      <protection/>
    </xf>
    <xf numFmtId="0" fontId="4" fillId="0" borderId="20" xfId="56" applyFont="1" applyBorder="1" applyAlignment="1">
      <alignment horizontal="left"/>
      <protection/>
    </xf>
    <xf numFmtId="0" fontId="4" fillId="0" borderId="17" xfId="56" applyFont="1" applyBorder="1" applyAlignment="1">
      <alignment horizontal="left" vertical="center" wrapText="1"/>
      <protection/>
    </xf>
    <xf numFmtId="0" fontId="4" fillId="0" borderId="20" xfId="56" applyFont="1" applyBorder="1" applyAlignment="1">
      <alignment horizontal="left" vertical="center" wrapText="1"/>
      <protection/>
    </xf>
    <xf numFmtId="0" fontId="4" fillId="0" borderId="17" xfId="56" applyFont="1" applyBorder="1" applyAlignment="1">
      <alignment horizontal="left" wrapText="1"/>
      <protection/>
    </xf>
    <xf numFmtId="0" fontId="4" fillId="0" borderId="20" xfId="56" applyFont="1" applyBorder="1" applyAlignment="1">
      <alignment horizontal="left" wrapText="1"/>
      <protection/>
    </xf>
    <xf numFmtId="0" fontId="6" fillId="0" borderId="25" xfId="56" applyFont="1" applyBorder="1" applyAlignment="1">
      <alignment horizontal="left"/>
      <protection/>
    </xf>
    <xf numFmtId="0" fontId="0" fillId="0" borderId="0" xfId="56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65" fillId="0" borderId="25" xfId="56" applyFont="1" applyBorder="1" applyAlignment="1">
      <alignment horizontal="left"/>
      <protection/>
    </xf>
    <xf numFmtId="0" fontId="57" fillId="0" borderId="17" xfId="56" applyFont="1" applyFill="1" applyBorder="1" applyAlignment="1">
      <alignment horizontal="center" vertical="center" wrapText="1"/>
      <protection/>
    </xf>
    <xf numFmtId="0" fontId="9" fillId="0" borderId="19" xfId="56" applyFont="1" applyFill="1" applyBorder="1" applyAlignment="1">
      <alignment horizontal="center" vertical="center" wrapText="1"/>
      <protection/>
    </xf>
    <xf numFmtId="0" fontId="9" fillId="0" borderId="20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71" fillId="0" borderId="19" xfId="56" applyFont="1" applyBorder="1" applyAlignment="1">
      <alignment horizontal="center" vertical="center" wrapText="1"/>
      <protection/>
    </xf>
    <xf numFmtId="0" fontId="71" fillId="0" borderId="20" xfId="56" applyFont="1" applyBorder="1" applyAlignment="1">
      <alignment horizontal="center" vertical="center" wrapText="1"/>
      <protection/>
    </xf>
    <xf numFmtId="0" fontId="15" fillId="0" borderId="17" xfId="56" applyFont="1" applyBorder="1" applyAlignment="1">
      <alignment horizontal="left"/>
      <protection/>
    </xf>
    <xf numFmtId="0" fontId="15" fillId="0" borderId="19" xfId="56" applyFont="1" applyBorder="1" applyAlignment="1">
      <alignment horizontal="left"/>
      <protection/>
    </xf>
    <xf numFmtId="0" fontId="15" fillId="0" borderId="20" xfId="56" applyFont="1" applyBorder="1" applyAlignment="1">
      <alignment horizontal="left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right" vertical="center"/>
    </xf>
    <xf numFmtId="0" fontId="71" fillId="0" borderId="0" xfId="0" applyFont="1" applyAlignment="1">
      <alignment horizontal="right"/>
    </xf>
    <xf numFmtId="0" fontId="19" fillId="0" borderId="0" xfId="55" applyFont="1" applyAlignment="1">
      <alignment horizontal="center"/>
      <protection/>
    </xf>
    <xf numFmtId="0" fontId="19" fillId="0" borderId="25" xfId="55" applyFont="1" applyBorder="1" applyAlignment="1">
      <alignment horizontal="center" vertical="center"/>
      <protection/>
    </xf>
    <xf numFmtId="0" fontId="24" fillId="0" borderId="25" xfId="55" applyFont="1" applyBorder="1" applyAlignment="1">
      <alignment horizontal="center" vertical="center"/>
      <protection/>
    </xf>
    <xf numFmtId="0" fontId="24" fillId="0" borderId="17" xfId="55" applyFont="1" applyBorder="1" applyAlignment="1">
      <alignment horizontal="center"/>
      <protection/>
    </xf>
    <xf numFmtId="0" fontId="24" fillId="0" borderId="19" xfId="55" applyFont="1" applyBorder="1" applyAlignment="1">
      <alignment horizontal="center"/>
      <protection/>
    </xf>
    <xf numFmtId="0" fontId="24" fillId="0" borderId="20" xfId="55" applyFont="1" applyBorder="1" applyAlignment="1">
      <alignment horizontal="center"/>
      <protection/>
    </xf>
    <xf numFmtId="0" fontId="21" fillId="0" borderId="17" xfId="55" applyFont="1" applyBorder="1" applyAlignment="1">
      <alignment horizontal="right" vertical="center"/>
      <protection/>
    </xf>
    <xf numFmtId="0" fontId="21" fillId="0" borderId="19" xfId="55" applyFont="1" applyBorder="1" applyAlignment="1">
      <alignment horizontal="right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138" xfId="0" applyFont="1" applyFill="1" applyBorder="1" applyAlignment="1">
      <alignment horizontal="center" vertical="center" wrapText="1"/>
    </xf>
    <xf numFmtId="0" fontId="42" fillId="0" borderId="125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139" xfId="0" applyNumberFormat="1" applyFont="1" applyFill="1" applyBorder="1" applyAlignment="1">
      <alignment horizontal="center" vertical="center"/>
    </xf>
    <xf numFmtId="49" fontId="5" fillId="0" borderId="105" xfId="0" applyNumberFormat="1" applyFont="1" applyFill="1" applyBorder="1" applyAlignment="1">
      <alignment horizontal="center" vertical="center"/>
    </xf>
    <xf numFmtId="49" fontId="5" fillId="0" borderId="10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textRotation="90"/>
    </xf>
    <xf numFmtId="49" fontId="6" fillId="0" borderId="44" xfId="0" applyNumberFormat="1" applyFont="1" applyFill="1" applyBorder="1" applyAlignment="1">
      <alignment horizontal="center" vertical="center" textRotation="90"/>
    </xf>
    <xf numFmtId="49" fontId="6" fillId="0" borderId="105" xfId="0" applyNumberFormat="1" applyFont="1" applyFill="1" applyBorder="1" applyAlignment="1">
      <alignment horizontal="center" vertical="center" textRotation="90"/>
    </xf>
    <xf numFmtId="0" fontId="49" fillId="0" borderId="118" xfId="58" applyFont="1" applyFill="1" applyBorder="1" applyAlignment="1">
      <alignment horizontal="left" vertical="center"/>
      <protection/>
    </xf>
    <xf numFmtId="0" fontId="49" fillId="0" borderId="31" xfId="58" applyFont="1" applyFill="1" applyBorder="1" applyAlignment="1">
      <alignment horizontal="left" vertical="center"/>
      <protection/>
    </xf>
    <xf numFmtId="0" fontId="49" fillId="0" borderId="16" xfId="58" applyFont="1" applyFill="1" applyBorder="1" applyAlignment="1">
      <alignment horizontal="left" vertical="center"/>
      <protection/>
    </xf>
    <xf numFmtId="0" fontId="48" fillId="0" borderId="47" xfId="58" applyFont="1" applyFill="1" applyBorder="1" applyAlignment="1">
      <alignment horizontal="left" vertical="center"/>
      <protection/>
    </xf>
    <xf numFmtId="0" fontId="48" fillId="0" borderId="84" xfId="58" applyFont="1" applyFill="1" applyBorder="1" applyAlignment="1">
      <alignment horizontal="left" vertical="center"/>
      <protection/>
    </xf>
    <xf numFmtId="0" fontId="48" fillId="0" borderId="85" xfId="58" applyFont="1" applyFill="1" applyBorder="1" applyAlignment="1">
      <alignment horizontal="left" vertical="center"/>
      <protection/>
    </xf>
    <xf numFmtId="0" fontId="5" fillId="0" borderId="26" xfId="58" applyFont="1" applyFill="1" applyBorder="1" applyAlignment="1">
      <alignment horizontal="center" vertical="center" wrapText="1"/>
      <protection/>
    </xf>
    <xf numFmtId="0" fontId="5" fillId="0" borderId="27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20" xfId="58" applyFont="1" applyFill="1" applyBorder="1" applyAlignment="1">
      <alignment horizontal="center" vertical="center" wrapText="1"/>
      <protection/>
    </xf>
    <xf numFmtId="0" fontId="5" fillId="0" borderId="25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83" xfId="58" applyFont="1" applyFill="1" applyBorder="1" applyAlignment="1">
      <alignment horizontal="center" vertical="center"/>
      <protection/>
    </xf>
    <xf numFmtId="0" fontId="5" fillId="0" borderId="60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49" fontId="5" fillId="0" borderId="139" xfId="58" applyNumberFormat="1" applyFont="1" applyFill="1" applyBorder="1" applyAlignment="1">
      <alignment horizontal="center" vertical="center"/>
      <protection/>
    </xf>
    <xf numFmtId="49" fontId="5" fillId="0" borderId="105" xfId="58" applyNumberFormat="1" applyFont="1" applyFill="1" applyBorder="1" applyAlignment="1">
      <alignment horizontal="center" vertical="center"/>
      <protection/>
    </xf>
    <xf numFmtId="49" fontId="5" fillId="0" borderId="140" xfId="58" applyNumberFormat="1" applyFont="1" applyFill="1" applyBorder="1" applyAlignment="1">
      <alignment horizontal="center" vertical="center"/>
      <protection/>
    </xf>
    <xf numFmtId="0" fontId="15" fillId="0" borderId="84" xfId="58" applyFont="1" applyFill="1" applyBorder="1" applyAlignment="1">
      <alignment horizontal="center" vertical="center"/>
      <protection/>
    </xf>
    <xf numFmtId="0" fontId="15" fillId="0" borderId="85" xfId="58" applyFont="1" applyFill="1" applyBorder="1" applyAlignment="1">
      <alignment horizontal="center" vertical="center"/>
      <protection/>
    </xf>
    <xf numFmtId="0" fontId="44" fillId="0" borderId="138" xfId="58" applyFont="1" applyFill="1" applyBorder="1" applyAlignment="1">
      <alignment horizontal="left" vertical="center"/>
      <protection/>
    </xf>
    <xf numFmtId="0" fontId="44" fillId="0" borderId="84" xfId="58" applyFont="1" applyFill="1" applyBorder="1" applyAlignment="1">
      <alignment horizontal="left" vertical="center"/>
      <protection/>
    </xf>
    <xf numFmtId="0" fontId="44" fillId="0" borderId="85" xfId="58" applyFont="1" applyFill="1" applyBorder="1" applyAlignment="1">
      <alignment horizontal="left" vertical="center"/>
      <protection/>
    </xf>
    <xf numFmtId="3" fontId="4" fillId="0" borderId="45" xfId="58" applyNumberFormat="1" applyFont="1" applyFill="1" applyBorder="1" applyAlignment="1">
      <alignment horizontal="center" vertical="center" wrapText="1"/>
      <protection/>
    </xf>
    <xf numFmtId="3" fontId="4" fillId="0" borderId="136" xfId="58" applyNumberFormat="1" applyFont="1" applyFill="1" applyBorder="1" applyAlignment="1">
      <alignment horizontal="center" vertical="center" wrapText="1"/>
      <protection/>
    </xf>
    <xf numFmtId="3" fontId="4" fillId="0" borderId="12" xfId="58" applyNumberFormat="1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right" vertical="center"/>
      <protection/>
    </xf>
    <xf numFmtId="0" fontId="0" fillId="0" borderId="0" xfId="58" applyAlignment="1">
      <alignment horizontal="right"/>
      <protection/>
    </xf>
    <xf numFmtId="0" fontId="3" fillId="0" borderId="134" xfId="58" applyFont="1" applyFill="1" applyBorder="1" applyAlignment="1">
      <alignment horizontal="center" vertical="center" wrapText="1"/>
      <protection/>
    </xf>
    <xf numFmtId="0" fontId="3" fillId="0" borderId="88" xfId="58" applyFont="1" applyFill="1" applyBorder="1" applyAlignment="1">
      <alignment horizontal="center" vertical="center" wrapText="1"/>
      <protection/>
    </xf>
    <xf numFmtId="0" fontId="3" fillId="0" borderId="141" xfId="58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5" fillId="0" borderId="63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98" xfId="58" applyFont="1" applyFill="1" applyBorder="1" applyAlignment="1">
      <alignment horizontal="center" vertical="center" wrapText="1"/>
      <protection/>
    </xf>
    <xf numFmtId="0" fontId="30" fillId="0" borderId="54" xfId="57" applyFont="1" applyBorder="1" applyAlignment="1">
      <alignment horizontal="left" wrapText="1"/>
      <protection/>
    </xf>
    <xf numFmtId="0" fontId="30" fillId="0" borderId="0" xfId="57" applyFont="1" applyBorder="1" applyAlignment="1">
      <alignment horizontal="left" wrapText="1"/>
      <protection/>
    </xf>
    <xf numFmtId="0" fontId="49" fillId="0" borderId="142" xfId="58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122" xfId="0" applyBorder="1" applyAlignment="1">
      <alignment/>
    </xf>
    <xf numFmtId="0" fontId="0" fillId="0" borderId="74" xfId="0" applyBorder="1" applyAlignment="1">
      <alignment/>
    </xf>
    <xf numFmtId="0" fontId="0" fillId="0" borderId="24" xfId="0" applyBorder="1" applyAlignment="1">
      <alignment/>
    </xf>
    <xf numFmtId="0" fontId="0" fillId="0" borderId="98" xfId="0" applyBorder="1" applyAlignment="1">
      <alignment/>
    </xf>
    <xf numFmtId="3" fontId="29" fillId="0" borderId="134" xfId="57" applyNumberFormat="1" applyFont="1" applyBorder="1" applyAlignment="1">
      <alignment horizontal="right" vertical="center"/>
      <protection/>
    </xf>
    <xf numFmtId="3" fontId="29" fillId="0" borderId="88" xfId="57" applyNumberFormat="1" applyFont="1" applyBorder="1" applyAlignment="1">
      <alignment horizontal="right" vertical="center"/>
      <protection/>
    </xf>
    <xf numFmtId="0" fontId="29" fillId="0" borderId="141" xfId="57" applyFont="1" applyBorder="1" applyAlignment="1">
      <alignment horizontal="right" vertical="center"/>
      <protection/>
    </xf>
    <xf numFmtId="0" fontId="52" fillId="34" borderId="100" xfId="57" applyFont="1" applyFill="1" applyBorder="1" applyAlignment="1">
      <alignment/>
      <protection/>
    </xf>
    <xf numFmtId="0" fontId="52" fillId="34" borderId="143" xfId="57" applyFont="1" applyFill="1" applyBorder="1" applyAlignment="1">
      <alignment/>
      <protection/>
    </xf>
    <xf numFmtId="0" fontId="30" fillId="0" borderId="58" xfId="57" applyFont="1" applyBorder="1" applyAlignment="1">
      <alignment horizontal="left"/>
      <protection/>
    </xf>
    <xf numFmtId="0" fontId="30" fillId="0" borderId="0" xfId="57" applyFont="1" applyBorder="1" applyAlignment="1">
      <alignment horizontal="left"/>
      <protection/>
    </xf>
    <xf numFmtId="0" fontId="30" fillId="0" borderId="54" xfId="57" applyFont="1" applyBorder="1" applyAlignment="1">
      <alignment horizontal="left" vertical="center" wrapText="1"/>
      <protection/>
    </xf>
    <xf numFmtId="0" fontId="30" fillId="0" borderId="0" xfId="57" applyFont="1" applyBorder="1" applyAlignment="1">
      <alignment horizontal="left" vertical="center" wrapText="1"/>
      <protection/>
    </xf>
    <xf numFmtId="0" fontId="30" fillId="0" borderId="144" xfId="57" applyFont="1" applyBorder="1" applyAlignment="1">
      <alignment horizontal="left"/>
      <protection/>
    </xf>
    <xf numFmtId="0" fontId="30" fillId="0" borderId="36" xfId="57" applyFont="1" applyBorder="1" applyAlignment="1">
      <alignment horizontal="left"/>
      <protection/>
    </xf>
    <xf numFmtId="0" fontId="52" fillId="34" borderId="37" xfId="57" applyFont="1" applyFill="1" applyBorder="1" applyAlignment="1">
      <alignment/>
      <protection/>
    </xf>
    <xf numFmtId="0" fontId="52" fillId="34" borderId="135" xfId="57" applyFont="1" applyFill="1" applyBorder="1" applyAlignment="1">
      <alignment/>
      <protection/>
    </xf>
    <xf numFmtId="0" fontId="49" fillId="0" borderId="35" xfId="58" applyFont="1" applyFill="1" applyBorder="1" applyAlignment="1">
      <alignment horizontal="center" vertical="center" wrapText="1"/>
      <protection/>
    </xf>
    <xf numFmtId="0" fontId="49" fillId="0" borderId="145" xfId="58" applyFont="1" applyFill="1" applyBorder="1" applyAlignment="1">
      <alignment horizontal="center" vertical="center" wrapText="1"/>
      <protection/>
    </xf>
    <xf numFmtId="0" fontId="49" fillId="0" borderId="74" xfId="58" applyFont="1" applyFill="1" applyBorder="1" applyAlignment="1">
      <alignment horizontal="center" vertical="center" wrapText="1"/>
      <protection/>
    </xf>
    <xf numFmtId="0" fontId="49" fillId="0" borderId="24" xfId="58" applyFont="1" applyFill="1" applyBorder="1" applyAlignment="1">
      <alignment horizontal="center" vertical="center" wrapText="1"/>
      <protection/>
    </xf>
    <xf numFmtId="0" fontId="49" fillId="0" borderId="146" xfId="58" applyFont="1" applyFill="1" applyBorder="1" applyAlignment="1">
      <alignment horizontal="center" vertical="center" wrapText="1"/>
      <protection/>
    </xf>
    <xf numFmtId="3" fontId="29" fillId="0" borderId="147" xfId="57" applyNumberFormat="1" applyFont="1" applyBorder="1" applyAlignment="1">
      <alignment horizontal="right" vertical="center"/>
      <protection/>
    </xf>
    <xf numFmtId="3" fontId="29" fillId="0" borderId="89" xfId="57" applyNumberFormat="1" applyFont="1" applyBorder="1" applyAlignment="1">
      <alignment horizontal="right" vertical="center"/>
      <protection/>
    </xf>
    <xf numFmtId="0" fontId="30" fillId="0" borderId="58" xfId="57" applyFont="1" applyBorder="1" applyAlignment="1">
      <alignment horizontal="left" wrapText="1"/>
      <protection/>
    </xf>
    <xf numFmtId="3" fontId="30" fillId="0" borderId="63" xfId="57" applyNumberFormat="1" applyFont="1" applyBorder="1" applyAlignment="1">
      <alignment horizontal="right"/>
      <protection/>
    </xf>
    <xf numFmtId="3" fontId="30" fillId="0" borderId="39" xfId="57" applyNumberFormat="1" applyFont="1" applyBorder="1" applyAlignment="1">
      <alignment horizontal="right"/>
      <protection/>
    </xf>
    <xf numFmtId="3" fontId="29" fillId="0" borderId="134" xfId="57" applyNumberFormat="1" applyFont="1" applyBorder="1" applyAlignment="1">
      <alignment horizontal="right" vertical="center" wrapText="1"/>
      <protection/>
    </xf>
    <xf numFmtId="3" fontId="29" fillId="0" borderId="88" xfId="57" applyNumberFormat="1" applyFont="1" applyBorder="1" applyAlignment="1">
      <alignment horizontal="right" vertical="center" wrapText="1"/>
      <protection/>
    </xf>
    <xf numFmtId="0" fontId="30" fillId="0" borderId="54" xfId="57" applyFont="1" applyBorder="1" applyAlignment="1">
      <alignment horizontal="left"/>
      <protection/>
    </xf>
    <xf numFmtId="0" fontId="30" fillId="0" borderId="58" xfId="57" applyFont="1" applyBorder="1" applyAlignment="1">
      <alignment horizontal="left" vertical="center" wrapText="1"/>
      <protection/>
    </xf>
    <xf numFmtId="3" fontId="30" fillId="0" borderId="39" xfId="57" applyNumberFormat="1" applyFont="1" applyBorder="1" applyAlignment="1">
      <alignment horizontal="right" vertical="center"/>
      <protection/>
    </xf>
    <xf numFmtId="0" fontId="12" fillId="0" borderId="0" xfId="58" applyFont="1" applyFill="1" applyAlignment="1">
      <alignment horizontal="right" vertical="center"/>
      <protection/>
    </xf>
    <xf numFmtId="0" fontId="71" fillId="0" borderId="0" xfId="58" applyFont="1" applyAlignment="1">
      <alignment horizontal="right"/>
      <protection/>
    </xf>
    <xf numFmtId="0" fontId="71" fillId="0" borderId="0" xfId="0" applyFont="1" applyAlignment="1">
      <alignment/>
    </xf>
    <xf numFmtId="0" fontId="15" fillId="0" borderId="148" xfId="58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0" fontId="15" fillId="0" borderId="150" xfId="58" applyFont="1" applyFill="1" applyBorder="1" applyAlignment="1">
      <alignment horizontal="center" vertical="center" wrapText="1"/>
      <protection/>
    </xf>
    <xf numFmtId="0" fontId="0" fillId="0" borderId="151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52" fillId="0" borderId="153" xfId="57" applyFont="1" applyBorder="1" applyAlignment="1">
      <alignment horizontal="center" wrapText="1"/>
      <protection/>
    </xf>
    <xf numFmtId="0" fontId="52" fillId="0" borderId="35" xfId="57" applyFont="1" applyBorder="1" applyAlignment="1">
      <alignment horizontal="center" wrapText="1"/>
      <protection/>
    </xf>
    <xf numFmtId="0" fontId="52" fillId="0" borderId="50" xfId="57" applyFont="1" applyBorder="1" applyAlignment="1">
      <alignment horizontal="center" wrapText="1"/>
      <protection/>
    </xf>
    <xf numFmtId="0" fontId="52" fillId="0" borderId="24" xfId="57" applyFont="1" applyBorder="1" applyAlignment="1">
      <alignment horizontal="center" wrapText="1"/>
      <protection/>
    </xf>
    <xf numFmtId="0" fontId="49" fillId="0" borderId="122" xfId="58" applyFont="1" applyFill="1" applyBorder="1" applyAlignment="1">
      <alignment horizontal="center" vertical="center" wrapText="1"/>
      <protection/>
    </xf>
    <xf numFmtId="0" fontId="49" fillId="0" borderId="98" xfId="58" applyFont="1" applyFill="1" applyBorder="1" applyAlignment="1">
      <alignment horizontal="center" vertical="center" wrapText="1"/>
      <protection/>
    </xf>
    <xf numFmtId="0" fontId="15" fillId="0" borderId="154" xfId="58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/>
    </xf>
    <xf numFmtId="0" fontId="0" fillId="0" borderId="155" xfId="0" applyBorder="1" applyAlignment="1">
      <alignment/>
    </xf>
    <xf numFmtId="0" fontId="52" fillId="0" borderId="153" xfId="57" applyFont="1" applyBorder="1" applyAlignment="1">
      <alignment horizontal="center" vertical="center"/>
      <protection/>
    </xf>
    <xf numFmtId="0" fontId="18" fillId="0" borderId="35" xfId="57" applyBorder="1" applyAlignment="1">
      <alignment horizontal="center" vertical="center"/>
      <protection/>
    </xf>
    <xf numFmtId="0" fontId="18" fillId="0" borderId="122" xfId="57" applyBorder="1" applyAlignment="1">
      <alignment horizontal="center" vertical="center"/>
      <protection/>
    </xf>
    <xf numFmtId="0" fontId="18" fillId="0" borderId="50" xfId="57" applyBorder="1" applyAlignment="1">
      <alignment horizontal="center" vertical="center"/>
      <protection/>
    </xf>
    <xf numFmtId="0" fontId="18" fillId="0" borderId="24" xfId="57" applyBorder="1" applyAlignment="1">
      <alignment horizontal="center" vertical="center"/>
      <protection/>
    </xf>
    <xf numFmtId="0" fontId="18" fillId="0" borderId="98" xfId="57" applyBorder="1" applyAlignment="1">
      <alignment horizontal="center" vertical="center"/>
      <protection/>
    </xf>
    <xf numFmtId="0" fontId="51" fillId="0" borderId="0" xfId="58" applyFont="1" applyFill="1" applyAlignment="1">
      <alignment horizontal="center" vertical="center" wrapText="1"/>
      <protection/>
    </xf>
    <xf numFmtId="0" fontId="30" fillId="0" borderId="59" xfId="57" applyFont="1" applyBorder="1" applyAlignment="1">
      <alignment horizontal="left" wrapText="1"/>
      <protection/>
    </xf>
    <xf numFmtId="0" fontId="30" fillId="0" borderId="36" xfId="57" applyFont="1" applyBorder="1" applyAlignment="1">
      <alignment horizontal="left" wrapText="1"/>
      <protection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15" fillId="0" borderId="156" xfId="58" applyFont="1" applyFill="1" applyBorder="1" applyAlignment="1">
      <alignment horizontal="center" vertical="center" wrapText="1"/>
      <protection/>
    </xf>
    <xf numFmtId="0" fontId="30" fillId="0" borderId="64" xfId="57" applyFont="1" applyBorder="1" applyAlignment="1">
      <alignment horizontal="left"/>
      <protection/>
    </xf>
    <xf numFmtId="0" fontId="30" fillId="0" borderId="38" xfId="57" applyFont="1" applyBorder="1" applyAlignment="1">
      <alignment horizontal="left"/>
      <protection/>
    </xf>
    <xf numFmtId="3" fontId="29" fillId="0" borderId="62" xfId="57" applyNumberFormat="1" applyFont="1" applyBorder="1" applyAlignment="1">
      <alignment horizontal="right" vertical="center"/>
      <protection/>
    </xf>
    <xf numFmtId="0" fontId="70" fillId="0" borderId="58" xfId="57" applyFont="1" applyBorder="1" applyAlignment="1">
      <alignment horizontal="left"/>
      <protection/>
    </xf>
    <xf numFmtId="0" fontId="70" fillId="0" borderId="0" xfId="57" applyFont="1" applyBorder="1" applyAlignment="1">
      <alignment horizontal="left"/>
      <protection/>
    </xf>
    <xf numFmtId="3" fontId="29" fillId="0" borderId="142" xfId="57" applyNumberFormat="1" applyFont="1" applyBorder="1" applyAlignment="1">
      <alignment horizontal="right" vertical="center"/>
      <protection/>
    </xf>
    <xf numFmtId="3" fontId="29" fillId="0" borderId="58" xfId="57" applyNumberFormat="1" applyFont="1" applyBorder="1" applyAlignment="1">
      <alignment horizontal="right" vertical="center"/>
      <protection/>
    </xf>
    <xf numFmtId="3" fontId="29" fillId="0" borderId="74" xfId="57" applyNumberFormat="1" applyFont="1" applyBorder="1" applyAlignment="1">
      <alignment horizontal="right" vertical="center"/>
      <protection/>
    </xf>
    <xf numFmtId="0" fontId="30" fillId="0" borderId="74" xfId="57" applyFont="1" applyBorder="1" applyAlignment="1">
      <alignment horizontal="left"/>
      <protection/>
    </xf>
    <xf numFmtId="0" fontId="30" fillId="0" borderId="24" xfId="57" applyFont="1" applyBorder="1" applyAlignment="1">
      <alignment horizontal="left"/>
      <protection/>
    </xf>
    <xf numFmtId="0" fontId="30" fillId="0" borderId="59" xfId="57" applyFont="1" applyBorder="1" applyAlignment="1">
      <alignment horizontal="left"/>
      <protection/>
    </xf>
    <xf numFmtId="0" fontId="70" fillId="0" borderId="68" xfId="57" applyFont="1" applyBorder="1" applyAlignment="1">
      <alignment horizontal="left"/>
      <protection/>
    </xf>
    <xf numFmtId="0" fontId="70" fillId="0" borderId="38" xfId="57" applyFont="1" applyBorder="1" applyAlignment="1">
      <alignment horizontal="left"/>
      <protection/>
    </xf>
    <xf numFmtId="3" fontId="29" fillId="0" borderId="157" xfId="57" applyNumberFormat="1" applyFont="1" applyBorder="1" applyAlignment="1">
      <alignment horizontal="right" vertical="center"/>
      <protection/>
    </xf>
    <xf numFmtId="3" fontId="29" fillId="0" borderId="141" xfId="57" applyNumberFormat="1" applyFont="1" applyBorder="1" applyAlignment="1">
      <alignment horizontal="right" vertical="center"/>
      <protection/>
    </xf>
    <xf numFmtId="0" fontId="18" fillId="0" borderId="77" xfId="57" applyBorder="1" applyAlignment="1">
      <alignment horizontal="left" wrapText="1"/>
      <protection/>
    </xf>
    <xf numFmtId="0" fontId="18" fillId="0" borderId="37" xfId="57" applyBorder="1" applyAlignment="1">
      <alignment horizontal="left" wrapText="1"/>
      <protection/>
    </xf>
    <xf numFmtId="0" fontId="53" fillId="0" borderId="38" xfId="57" applyFont="1" applyBorder="1" applyAlignment="1">
      <alignment horizontal="right"/>
      <protection/>
    </xf>
    <xf numFmtId="0" fontId="53" fillId="0" borderId="94" xfId="57" applyFont="1" applyBorder="1" applyAlignment="1">
      <alignment horizontal="right"/>
      <protection/>
    </xf>
    <xf numFmtId="0" fontId="53" fillId="0" borderId="0" xfId="57" applyFont="1" applyBorder="1" applyAlignment="1">
      <alignment horizontal="right"/>
      <protection/>
    </xf>
    <xf numFmtId="0" fontId="53" fillId="0" borderId="56" xfId="57" applyFont="1" applyBorder="1" applyAlignment="1">
      <alignment horizontal="right"/>
      <protection/>
    </xf>
    <xf numFmtId="0" fontId="53" fillId="0" borderId="58" xfId="57" applyFont="1" applyBorder="1" applyAlignment="1">
      <alignment horizontal="right"/>
      <protection/>
    </xf>
    <xf numFmtId="0" fontId="29" fillId="34" borderId="90" xfId="57" applyFont="1" applyFill="1" applyBorder="1" applyAlignment="1">
      <alignment horizontal="right"/>
      <protection/>
    </xf>
    <xf numFmtId="0" fontId="0" fillId="34" borderId="37" xfId="0" applyFill="1" applyBorder="1" applyAlignment="1">
      <alignment horizontal="right"/>
    </xf>
    <xf numFmtId="0" fontId="0" fillId="34" borderId="158" xfId="0" applyFill="1" applyBorder="1" applyAlignment="1">
      <alignment horizontal="right"/>
    </xf>
    <xf numFmtId="0" fontId="29" fillId="34" borderId="37" xfId="57" applyFont="1" applyFill="1" applyBorder="1" applyAlignment="1">
      <alignment/>
      <protection/>
    </xf>
    <xf numFmtId="0" fontId="29" fillId="34" borderId="37" xfId="0" applyFont="1" applyFill="1" applyBorder="1" applyAlignment="1">
      <alignment/>
    </xf>
    <xf numFmtId="0" fontId="29" fillId="34" borderId="135" xfId="0" applyFont="1" applyFill="1" applyBorder="1" applyAlignment="1">
      <alignment/>
    </xf>
    <xf numFmtId="3" fontId="29" fillId="0" borderId="63" xfId="57" applyNumberFormat="1" applyFont="1" applyBorder="1" applyAlignment="1">
      <alignment horizontal="right" vertical="center"/>
      <protection/>
    </xf>
    <xf numFmtId="0" fontId="0" fillId="0" borderId="159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30" fillId="0" borderId="144" xfId="57" applyFont="1" applyBorder="1" applyAlignment="1">
      <alignment horizontal="left" wrapText="1"/>
      <protection/>
    </xf>
    <xf numFmtId="0" fontId="30" fillId="0" borderId="0" xfId="57" applyFont="1" applyAlignment="1">
      <alignment horizontal="left" wrapText="1"/>
      <protection/>
    </xf>
    <xf numFmtId="3" fontId="29" fillId="0" borderId="147" xfId="57" applyNumberFormat="1" applyFont="1" applyBorder="1" applyAlignment="1">
      <alignment horizontal="center" vertical="center"/>
      <protection/>
    </xf>
    <xf numFmtId="3" fontId="29" fillId="0" borderId="89" xfId="57" applyNumberFormat="1" applyFont="1" applyBorder="1" applyAlignment="1">
      <alignment horizontal="center" vertical="center"/>
      <protection/>
    </xf>
    <xf numFmtId="3" fontId="29" fillId="0" borderId="160" xfId="57" applyNumberFormat="1" applyFont="1" applyBorder="1" applyAlignment="1">
      <alignment horizontal="center" vertical="center"/>
      <protection/>
    </xf>
    <xf numFmtId="0" fontId="52" fillId="0" borderId="35" xfId="57" applyFont="1" applyBorder="1" applyAlignment="1">
      <alignment horizontal="center" vertical="center"/>
      <protection/>
    </xf>
    <xf numFmtId="0" fontId="52" fillId="0" borderId="122" xfId="57" applyFont="1" applyBorder="1" applyAlignment="1">
      <alignment horizontal="center" vertical="center"/>
      <protection/>
    </xf>
    <xf numFmtId="0" fontId="52" fillId="0" borderId="50" xfId="57" applyFont="1" applyBorder="1" applyAlignment="1">
      <alignment horizontal="center" vertical="center"/>
      <protection/>
    </xf>
    <xf numFmtId="0" fontId="52" fillId="0" borderId="24" xfId="57" applyFont="1" applyBorder="1" applyAlignment="1">
      <alignment horizontal="center" vertical="center"/>
      <protection/>
    </xf>
    <xf numFmtId="0" fontId="52" fillId="0" borderId="98" xfId="57" applyFont="1" applyBorder="1" applyAlignment="1">
      <alignment horizontal="center" vertical="center"/>
      <protection/>
    </xf>
    <xf numFmtId="0" fontId="25" fillId="0" borderId="0" xfId="57" applyFont="1" applyAlignment="1">
      <alignment horizontal="center"/>
      <protection/>
    </xf>
    <xf numFmtId="0" fontId="0" fillId="0" borderId="0" xfId="0" applyAlignment="1">
      <alignment/>
    </xf>
    <xf numFmtId="0" fontId="18" fillId="0" borderId="0" xfId="57" applyAlignment="1">
      <alignment horizontal="center"/>
      <protection/>
    </xf>
    <xf numFmtId="0" fontId="52" fillId="34" borderId="68" xfId="57" applyFont="1" applyFill="1" applyBorder="1" applyAlignment="1">
      <alignment wrapText="1"/>
      <protection/>
    </xf>
    <xf numFmtId="0" fontId="61" fillId="34" borderId="38" xfId="0" applyFont="1" applyFill="1" applyBorder="1" applyAlignment="1">
      <alignment wrapText="1"/>
    </xf>
    <xf numFmtId="0" fontId="61" fillId="34" borderId="94" xfId="0" applyFont="1" applyFill="1" applyBorder="1" applyAlignment="1">
      <alignment wrapText="1"/>
    </xf>
    <xf numFmtId="0" fontId="29" fillId="34" borderId="100" xfId="57" applyFont="1" applyFill="1" applyBorder="1" applyAlignment="1">
      <alignment/>
      <protection/>
    </xf>
    <xf numFmtId="0" fontId="29" fillId="34" borderId="100" xfId="0" applyFont="1" applyFill="1" applyBorder="1" applyAlignment="1">
      <alignment/>
    </xf>
    <xf numFmtId="0" fontId="29" fillId="34" borderId="143" xfId="0" applyFont="1" applyFill="1" applyBorder="1" applyAlignment="1">
      <alignment/>
    </xf>
    <xf numFmtId="0" fontId="18" fillId="0" borderId="0" xfId="0" applyFont="1" applyAlignment="1">
      <alignment/>
    </xf>
    <xf numFmtId="0" fontId="54" fillId="0" borderId="68" xfId="57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94" xfId="0" applyBorder="1" applyAlignment="1">
      <alignment horizontal="center"/>
    </xf>
    <xf numFmtId="0" fontId="29" fillId="0" borderId="37" xfId="57" applyFont="1" applyBorder="1" applyAlignment="1">
      <alignment/>
      <protection/>
    </xf>
    <xf numFmtId="0" fontId="29" fillId="0" borderId="37" xfId="0" applyFont="1" applyBorder="1" applyAlignment="1">
      <alignment/>
    </xf>
    <xf numFmtId="0" fontId="29" fillId="0" borderId="135" xfId="0" applyFont="1" applyBorder="1" applyAlignment="1">
      <alignment/>
    </xf>
    <xf numFmtId="0" fontId="52" fillId="0" borderId="37" xfId="57" applyFont="1" applyBorder="1" applyAlignment="1">
      <alignment/>
      <protection/>
    </xf>
    <xf numFmtId="0" fontId="52" fillId="0" borderId="135" xfId="57" applyFont="1" applyBorder="1" applyAlignment="1">
      <alignment/>
      <protection/>
    </xf>
    <xf numFmtId="0" fontId="53" fillId="0" borderId="54" xfId="57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56" xfId="0" applyBorder="1" applyAlignment="1">
      <alignment horizontal="right"/>
    </xf>
    <xf numFmtId="0" fontId="53" fillId="0" borderId="84" xfId="57" applyFont="1" applyBorder="1" applyAlignment="1">
      <alignment horizontal="right"/>
      <protection/>
    </xf>
    <xf numFmtId="0" fontId="53" fillId="0" borderId="128" xfId="57" applyFont="1" applyBorder="1" applyAlignment="1">
      <alignment horizontal="right"/>
      <protection/>
    </xf>
    <xf numFmtId="0" fontId="30" fillId="0" borderId="84" xfId="57" applyFont="1" applyBorder="1" applyAlignment="1">
      <alignment horizontal="left"/>
      <protection/>
    </xf>
    <xf numFmtId="0" fontId="64" fillId="0" borderId="96" xfId="57" applyFont="1" applyBorder="1" applyAlignment="1">
      <alignment horizontal="left" wrapText="1"/>
      <protection/>
    </xf>
    <xf numFmtId="0" fontId="18" fillId="0" borderId="0" xfId="57" applyFont="1" applyAlignment="1">
      <alignment horizontal="left"/>
      <protection/>
    </xf>
    <xf numFmtId="0" fontId="25" fillId="0" borderId="0" xfId="57" applyFont="1" applyAlignment="1">
      <alignment horizontal="left"/>
      <protection/>
    </xf>
    <xf numFmtId="0" fontId="30" fillId="0" borderId="63" xfId="57" applyFont="1" applyBorder="1" applyAlignment="1">
      <alignment horizontal="center"/>
      <protection/>
    </xf>
    <xf numFmtId="0" fontId="30" fillId="0" borderId="39" xfId="57" applyFont="1" applyBorder="1" applyAlignment="1">
      <alignment horizontal="center"/>
      <protection/>
    </xf>
    <xf numFmtId="0" fontId="17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129" xfId="0" applyFont="1" applyFill="1" applyBorder="1" applyAlignment="1">
      <alignment horizontal="left" vertical="center"/>
    </xf>
    <xf numFmtId="0" fontId="13" fillId="0" borderId="137" xfId="0" applyFont="1" applyFill="1" applyBorder="1" applyAlignment="1">
      <alignment horizontal="left" vertical="center"/>
    </xf>
    <xf numFmtId="0" fontId="13" fillId="0" borderId="16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12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9" fillId="0" borderId="0" xfId="60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4" fillId="0" borderId="40" xfId="60" applyFont="1" applyBorder="1" applyAlignment="1">
      <alignment horizontal="center" vertical="center"/>
      <protection/>
    </xf>
    <xf numFmtId="0" fontId="24" fillId="0" borderId="28" xfId="60" applyFont="1" applyBorder="1" applyAlignment="1">
      <alignment horizontal="center" vertical="center"/>
      <protection/>
    </xf>
    <xf numFmtId="0" fontId="19" fillId="0" borderId="41" xfId="60" applyFont="1" applyBorder="1" applyAlignment="1">
      <alignment horizontal="center" vertical="center" wrapText="1"/>
      <protection/>
    </xf>
    <xf numFmtId="0" fontId="19" fillId="0" borderId="25" xfId="60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 wrapText="1"/>
      <protection/>
    </xf>
    <xf numFmtId="0" fontId="52" fillId="0" borderId="162" xfId="0" applyFont="1" applyBorder="1" applyAlignment="1">
      <alignment horizontal="left"/>
    </xf>
    <xf numFmtId="0" fontId="52" fillId="0" borderId="151" xfId="0" applyFont="1" applyBorder="1" applyAlignment="1">
      <alignment horizontal="left"/>
    </xf>
    <xf numFmtId="0" fontId="52" fillId="0" borderId="163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73" fillId="0" borderId="0" xfId="0" applyFont="1" applyAlignment="1">
      <alignment horizontal="center" wrapText="1"/>
    </xf>
    <xf numFmtId="0" fontId="23" fillId="0" borderId="134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53" fillId="0" borderId="144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27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129" xfId="0" applyFont="1" applyBorder="1" applyAlignment="1">
      <alignment horizontal="center" vertical="center" wrapText="1"/>
    </xf>
    <xf numFmtId="0" fontId="78" fillId="0" borderId="134" xfId="0" applyFont="1" applyBorder="1" applyAlignment="1">
      <alignment horizontal="center" vertical="center" wrapText="1"/>
    </xf>
    <xf numFmtId="0" fontId="78" fillId="0" borderId="88" xfId="0" applyFont="1" applyBorder="1" applyAlignment="1">
      <alignment horizontal="center" vertical="center" wrapText="1"/>
    </xf>
    <xf numFmtId="0" fontId="78" fillId="0" borderId="10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2" fillId="0" borderId="164" xfId="0" applyFont="1" applyBorder="1" applyAlignment="1">
      <alignment horizontal="left"/>
    </xf>
    <xf numFmtId="0" fontId="52" fillId="0" borderId="165" xfId="0" applyFont="1" applyBorder="1" applyAlignment="1">
      <alignment horizontal="left"/>
    </xf>
    <xf numFmtId="0" fontId="52" fillId="0" borderId="154" xfId="0" applyFont="1" applyBorder="1" applyAlignment="1">
      <alignment horizontal="left"/>
    </xf>
    <xf numFmtId="0" fontId="54" fillId="39" borderId="64" xfId="0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0" fontId="54" fillId="39" borderId="166" xfId="0" applyFont="1" applyFill="1" applyBorder="1" applyAlignment="1">
      <alignment horizontal="center" vertical="center"/>
    </xf>
    <xf numFmtId="0" fontId="52" fillId="0" borderId="167" xfId="0" applyFont="1" applyBorder="1" applyAlignment="1">
      <alignment horizontal="left"/>
    </xf>
    <xf numFmtId="0" fontId="52" fillId="0" borderId="168" xfId="0" applyFont="1" applyBorder="1" applyAlignment="1">
      <alignment horizontal="left"/>
    </xf>
    <xf numFmtId="0" fontId="52" fillId="0" borderId="169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3" xfId="0" applyBorder="1" applyAlignment="1">
      <alignment horizontal="center"/>
    </xf>
    <xf numFmtId="0" fontId="25" fillId="0" borderId="142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22" xfId="0" applyFont="1" applyBorder="1" applyAlignment="1">
      <alignment horizontal="center"/>
    </xf>
    <xf numFmtId="3" fontId="0" fillId="0" borderId="41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8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" fontId="0" fillId="0" borderId="83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25" fillId="0" borderId="138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3" fontId="25" fillId="0" borderId="129" xfId="0" applyNumberFormat="1" applyFont="1" applyFill="1" applyBorder="1" applyAlignment="1">
      <alignment horizontal="center"/>
    </xf>
    <xf numFmtId="3" fontId="25" fillId="0" borderId="137" xfId="0" applyNumberFormat="1" applyFont="1" applyFill="1" applyBorder="1" applyAlignment="1">
      <alignment horizontal="center"/>
    </xf>
    <xf numFmtId="3" fontId="25" fillId="0" borderId="126" xfId="0" applyNumberFormat="1" applyFont="1" applyFill="1" applyBorder="1" applyAlignment="1">
      <alignment horizontal="center"/>
    </xf>
    <xf numFmtId="3" fontId="25" fillId="0" borderId="161" xfId="0" applyNumberFormat="1" applyFont="1" applyFill="1" applyBorder="1" applyAlignment="1">
      <alignment horizontal="center"/>
    </xf>
    <xf numFmtId="0" fontId="2" fillId="0" borderId="0" xfId="59" applyFont="1" applyAlignment="1">
      <alignment horizontal="center" wrapText="1"/>
      <protection/>
    </xf>
    <xf numFmtId="0" fontId="2" fillId="0" borderId="0" xfId="59" applyFont="1" applyAlignment="1">
      <alignment horizontal="center"/>
      <protection/>
    </xf>
    <xf numFmtId="0" fontId="2" fillId="0" borderId="41" xfId="59" applyFont="1" applyBorder="1" applyAlignment="1">
      <alignment horizontal="center" vertical="center"/>
      <protection/>
    </xf>
    <xf numFmtId="0" fontId="2" fillId="0" borderId="129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 wrapText="1"/>
      <protection/>
    </xf>
    <xf numFmtId="0" fontId="2" fillId="0" borderId="126" xfId="59" applyFont="1" applyBorder="1" applyAlignment="1">
      <alignment horizontal="center" vertical="center" wrapText="1"/>
      <protection/>
    </xf>
    <xf numFmtId="0" fontId="2" fillId="0" borderId="4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51" fillId="33" borderId="52" xfId="59" applyFont="1" applyFill="1" applyBorder="1" applyAlignment="1">
      <alignment horizontal="left"/>
      <protection/>
    </xf>
    <xf numFmtId="0" fontId="51" fillId="33" borderId="170" xfId="59" applyFont="1" applyFill="1" applyBorder="1" applyAlignment="1">
      <alignment horizontal="left"/>
      <protection/>
    </xf>
    <xf numFmtId="0" fontId="2" fillId="0" borderId="134" xfId="59" applyFont="1" applyBorder="1" applyAlignment="1">
      <alignment horizontal="center" vertical="center" wrapText="1"/>
      <protection/>
    </xf>
    <xf numFmtId="0" fontId="18" fillId="0" borderId="107" xfId="59" applyBorder="1" applyAlignment="1">
      <alignment horizontal="center" vertical="center" wrapText="1"/>
      <protection/>
    </xf>
    <xf numFmtId="0" fontId="3" fillId="38" borderId="21" xfId="59" applyFont="1" applyFill="1" applyBorder="1" applyAlignment="1">
      <alignment horizontal="right"/>
      <protection/>
    </xf>
    <xf numFmtId="0" fontId="3" fillId="38" borderId="132" xfId="59" applyFont="1" applyFill="1" applyBorder="1" applyAlignment="1">
      <alignment horizontal="right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_Kötelező, önként vállalt, állami feladatok szerinti bontás" xfId="57"/>
    <cellStyle name="Normál_Munka1" xfId="58"/>
    <cellStyle name="Normál_NORM09" xfId="59"/>
    <cellStyle name="Normál_TABLAK_táblák2012előter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I2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8.37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2.75">
      <c r="A1" s="133"/>
      <c r="B1" s="1"/>
      <c r="C1" s="1"/>
      <c r="D1" s="1"/>
      <c r="E1" s="2"/>
      <c r="F1" s="883" t="s">
        <v>1192</v>
      </c>
      <c r="G1" s="884"/>
      <c r="H1" s="884"/>
      <c r="I1" s="884"/>
    </row>
    <row r="2" spans="1:9" ht="15.75">
      <c r="A2" s="888" t="s">
        <v>811</v>
      </c>
      <c r="B2" s="888"/>
      <c r="C2" s="888"/>
      <c r="D2" s="888"/>
      <c r="E2" s="888"/>
      <c r="F2" s="888"/>
      <c r="G2" s="888"/>
      <c r="H2" s="888"/>
      <c r="I2" s="888"/>
    </row>
    <row r="3" spans="1:9" ht="12.75">
      <c r="A3" s="133"/>
      <c r="B3" s="3"/>
      <c r="C3" s="3"/>
      <c r="D3" s="3"/>
      <c r="E3" s="3"/>
      <c r="F3" s="1"/>
      <c r="G3" s="1"/>
      <c r="H3" s="1"/>
      <c r="I3" s="1"/>
    </row>
    <row r="4" spans="1:9" ht="12.75">
      <c r="A4" s="133"/>
      <c r="B4" s="1"/>
      <c r="C4" s="1"/>
      <c r="D4" s="1"/>
      <c r="E4" s="1"/>
      <c r="F4" s="1"/>
      <c r="G4" s="1"/>
      <c r="H4" s="1"/>
      <c r="I4" s="2" t="s">
        <v>564</v>
      </c>
    </row>
    <row r="5" spans="1:9" ht="36">
      <c r="A5" s="893" t="s">
        <v>0</v>
      </c>
      <c r="B5" s="894"/>
      <c r="C5" s="894"/>
      <c r="D5" s="894"/>
      <c r="E5" s="895"/>
      <c r="F5" s="120" t="s">
        <v>1</v>
      </c>
      <c r="G5" s="120" t="s">
        <v>2</v>
      </c>
      <c r="H5" s="120" t="s">
        <v>779</v>
      </c>
      <c r="I5" s="120" t="s">
        <v>555</v>
      </c>
    </row>
    <row r="6" spans="1:9" s="526" customFormat="1" ht="15">
      <c r="A6" s="527" t="s">
        <v>626</v>
      </c>
      <c r="B6" s="885" t="s">
        <v>627</v>
      </c>
      <c r="C6" s="886"/>
      <c r="D6" s="886"/>
      <c r="E6" s="887"/>
      <c r="F6" s="528" t="s">
        <v>628</v>
      </c>
      <c r="G6" s="528" t="s">
        <v>629</v>
      </c>
      <c r="H6" s="528" t="s">
        <v>630</v>
      </c>
      <c r="I6" s="528" t="s">
        <v>631</v>
      </c>
    </row>
    <row r="7" spans="1:9" s="266" customFormat="1" ht="12.75">
      <c r="A7" s="264" t="s">
        <v>373</v>
      </c>
      <c r="B7" s="891" t="s">
        <v>374</v>
      </c>
      <c r="C7" s="891"/>
      <c r="D7" s="891"/>
      <c r="E7" s="891"/>
      <c r="F7" s="265">
        <f>SUM(F8+F15+F16+F17+F28+F29)</f>
        <v>746132</v>
      </c>
      <c r="G7" s="265">
        <f>SUM(G8+G15+G16+G17+G28+G29)</f>
        <v>0</v>
      </c>
      <c r="H7" s="265">
        <f>SUM(H8+H15+H16+H17+H28+H29)</f>
        <v>0</v>
      </c>
      <c r="I7" s="265">
        <f>SUM(F7:H7)</f>
        <v>746132</v>
      </c>
    </row>
    <row r="8" spans="1:9" ht="12.75">
      <c r="A8" s="242"/>
      <c r="B8" s="242" t="s">
        <v>375</v>
      </c>
      <c r="C8" s="889" t="s">
        <v>376</v>
      </c>
      <c r="D8" s="889"/>
      <c r="E8" s="889"/>
      <c r="F8" s="243">
        <f>SUM(F9:F14)</f>
        <v>541112</v>
      </c>
      <c r="G8" s="243">
        <f>SUM(G9:G14)</f>
        <v>0</v>
      </c>
      <c r="H8" s="243">
        <f>SUM(H9:H14)</f>
        <v>0</v>
      </c>
      <c r="I8" s="263">
        <f aca="true" t="shared" si="0" ref="I8:I71">SUM(F8:H8)</f>
        <v>541112</v>
      </c>
    </row>
    <row r="9" spans="1:9" ht="12.75">
      <c r="A9" s="247"/>
      <c r="B9" s="247"/>
      <c r="C9" s="247" t="s">
        <v>377</v>
      </c>
      <c r="D9" s="247"/>
      <c r="E9" s="247" t="s">
        <v>750</v>
      </c>
      <c r="F9" s="248">
        <f>203895+520</f>
        <v>204415</v>
      </c>
      <c r="G9" s="248">
        <v>0</v>
      </c>
      <c r="H9" s="248">
        <v>0</v>
      </c>
      <c r="I9" s="261">
        <f t="shared" si="0"/>
        <v>204415</v>
      </c>
    </row>
    <row r="10" spans="1:9" ht="12.75">
      <c r="A10" s="247"/>
      <c r="B10" s="267"/>
      <c r="C10" s="247" t="s">
        <v>378</v>
      </c>
      <c r="D10" s="247"/>
      <c r="E10" s="247" t="s">
        <v>379</v>
      </c>
      <c r="F10" s="248">
        <f>130224+6038-277</f>
        <v>135985</v>
      </c>
      <c r="G10" s="248">
        <v>0</v>
      </c>
      <c r="H10" s="248">
        <v>0</v>
      </c>
      <c r="I10" s="261">
        <f t="shared" si="0"/>
        <v>135985</v>
      </c>
    </row>
    <row r="11" spans="1:9" ht="12.75">
      <c r="A11" s="247"/>
      <c r="B11" s="247"/>
      <c r="C11" s="247" t="s">
        <v>380</v>
      </c>
      <c r="D11" s="247"/>
      <c r="E11" s="247" t="s">
        <v>870</v>
      </c>
      <c r="F11" s="248">
        <f>180567+1721</f>
        <v>182288</v>
      </c>
      <c r="G11" s="248">
        <v>0</v>
      </c>
      <c r="H11" s="248">
        <v>0</v>
      </c>
      <c r="I11" s="261">
        <f t="shared" si="0"/>
        <v>182288</v>
      </c>
    </row>
    <row r="12" spans="1:9" ht="12.75">
      <c r="A12" s="247"/>
      <c r="B12" s="247"/>
      <c r="C12" s="247" t="s">
        <v>381</v>
      </c>
      <c r="D12" s="247"/>
      <c r="E12" s="247" t="s">
        <v>382</v>
      </c>
      <c r="F12" s="248">
        <f>10499+416</f>
        <v>10915</v>
      </c>
      <c r="G12" s="248">
        <v>0</v>
      </c>
      <c r="H12" s="248">
        <v>0</v>
      </c>
      <c r="I12" s="261">
        <f t="shared" si="0"/>
        <v>10915</v>
      </c>
    </row>
    <row r="13" spans="1:9" ht="12.75">
      <c r="A13" s="247"/>
      <c r="B13" s="247"/>
      <c r="C13" s="247" t="s">
        <v>383</v>
      </c>
      <c r="D13" s="247"/>
      <c r="E13" s="247" t="s">
        <v>871</v>
      </c>
      <c r="F13" s="248">
        <f>1589+520+4960+960-520</f>
        <v>7509</v>
      </c>
      <c r="G13" s="248">
        <v>0</v>
      </c>
      <c r="H13" s="248">
        <v>0</v>
      </c>
      <c r="I13" s="261">
        <f t="shared" si="0"/>
        <v>7509</v>
      </c>
    </row>
    <row r="14" spans="1:9" ht="12.75">
      <c r="A14" s="252"/>
      <c r="B14" s="252"/>
      <c r="C14" s="247" t="s">
        <v>384</v>
      </c>
      <c r="D14" s="252"/>
      <c r="E14" s="247" t="s">
        <v>872</v>
      </c>
      <c r="F14" s="248">
        <v>0</v>
      </c>
      <c r="G14" s="248">
        <v>0</v>
      </c>
      <c r="H14" s="248">
        <v>0</v>
      </c>
      <c r="I14" s="261">
        <f t="shared" si="0"/>
        <v>0</v>
      </c>
    </row>
    <row r="15" spans="1:9" ht="12.75">
      <c r="A15" s="242"/>
      <c r="B15" s="242" t="s">
        <v>385</v>
      </c>
      <c r="C15" s="889" t="s">
        <v>386</v>
      </c>
      <c r="D15" s="889"/>
      <c r="E15" s="889"/>
      <c r="F15" s="243">
        <f>9549+3234</f>
        <v>12783</v>
      </c>
      <c r="G15" s="243">
        <v>0</v>
      </c>
      <c r="H15" s="243">
        <v>0</v>
      </c>
      <c r="I15" s="263">
        <f t="shared" si="0"/>
        <v>12783</v>
      </c>
    </row>
    <row r="16" spans="1:9" ht="12.75">
      <c r="A16" s="242"/>
      <c r="B16" s="242" t="s">
        <v>387</v>
      </c>
      <c r="C16" s="889" t="s">
        <v>388</v>
      </c>
      <c r="D16" s="889"/>
      <c r="E16" s="889"/>
      <c r="F16" s="243">
        <v>0</v>
      </c>
      <c r="G16" s="243">
        <v>0</v>
      </c>
      <c r="H16" s="243">
        <v>0</v>
      </c>
      <c r="I16" s="263">
        <f>SUM(F16:H16)</f>
        <v>0</v>
      </c>
    </row>
    <row r="17" spans="1:9" ht="12.75">
      <c r="A17" s="242"/>
      <c r="B17" s="242" t="s">
        <v>389</v>
      </c>
      <c r="C17" s="889" t="s">
        <v>390</v>
      </c>
      <c r="D17" s="889"/>
      <c r="E17" s="889"/>
      <c r="F17" s="243">
        <f>SUM(F18:F27)</f>
        <v>42197</v>
      </c>
      <c r="G17" s="243">
        <f>SUM(G18:G27)</f>
        <v>0</v>
      </c>
      <c r="H17" s="243">
        <f>SUM(H18:H27)</f>
        <v>0</v>
      </c>
      <c r="I17" s="263">
        <f t="shared" si="0"/>
        <v>42197</v>
      </c>
    </row>
    <row r="18" spans="1:9" ht="12.75">
      <c r="A18" s="250"/>
      <c r="B18" s="250"/>
      <c r="C18" s="249" t="s">
        <v>20</v>
      </c>
      <c r="D18" s="249" t="s">
        <v>281</v>
      </c>
      <c r="E18" s="249" t="s">
        <v>282</v>
      </c>
      <c r="F18" s="251">
        <v>0</v>
      </c>
      <c r="G18" s="251">
        <v>0</v>
      </c>
      <c r="H18" s="251">
        <v>0</v>
      </c>
      <c r="I18" s="253">
        <f t="shared" si="0"/>
        <v>0</v>
      </c>
    </row>
    <row r="19" spans="1:9" ht="12.75">
      <c r="A19" s="250"/>
      <c r="B19" s="250"/>
      <c r="C19" s="249"/>
      <c r="D19" s="249" t="s">
        <v>283</v>
      </c>
      <c r="E19" s="249" t="s">
        <v>284</v>
      </c>
      <c r="F19" s="251">
        <v>0</v>
      </c>
      <c r="G19" s="251">
        <v>0</v>
      </c>
      <c r="H19" s="251">
        <v>0</v>
      </c>
      <c r="I19" s="253">
        <f t="shared" si="0"/>
        <v>0</v>
      </c>
    </row>
    <row r="20" spans="1:9" ht="12.75">
      <c r="A20" s="250"/>
      <c r="B20" s="250"/>
      <c r="C20" s="249"/>
      <c r="D20" s="249" t="s">
        <v>285</v>
      </c>
      <c r="E20" s="249" t="s">
        <v>391</v>
      </c>
      <c r="F20" s="251">
        <v>0</v>
      </c>
      <c r="G20" s="251">
        <v>0</v>
      </c>
      <c r="H20" s="251">
        <v>0</v>
      </c>
      <c r="I20" s="253">
        <f t="shared" si="0"/>
        <v>0</v>
      </c>
    </row>
    <row r="21" spans="1:9" ht="12.75">
      <c r="A21" s="250"/>
      <c r="B21" s="250"/>
      <c r="C21" s="249"/>
      <c r="D21" s="249" t="s">
        <v>287</v>
      </c>
      <c r="E21" s="249" t="s">
        <v>288</v>
      </c>
      <c r="F21" s="251">
        <v>0</v>
      </c>
      <c r="G21" s="251">
        <v>0</v>
      </c>
      <c r="H21" s="251">
        <v>0</v>
      </c>
      <c r="I21" s="253">
        <f t="shared" si="0"/>
        <v>0</v>
      </c>
    </row>
    <row r="22" spans="1:9" ht="12.75">
      <c r="A22" s="250"/>
      <c r="B22" s="250"/>
      <c r="C22" s="249"/>
      <c r="D22" s="249" t="s">
        <v>289</v>
      </c>
      <c r="E22" s="249" t="s">
        <v>290</v>
      </c>
      <c r="F22" s="251">
        <v>0</v>
      </c>
      <c r="G22" s="251">
        <v>0</v>
      </c>
      <c r="H22" s="251">
        <v>0</v>
      </c>
      <c r="I22" s="253">
        <f t="shared" si="0"/>
        <v>0</v>
      </c>
    </row>
    <row r="23" spans="1:9" ht="12.75">
      <c r="A23" s="250"/>
      <c r="B23" s="250"/>
      <c r="C23" s="249"/>
      <c r="D23" s="249" t="s">
        <v>291</v>
      </c>
      <c r="E23" s="249" t="s">
        <v>292</v>
      </c>
      <c r="F23" s="251">
        <v>0</v>
      </c>
      <c r="G23" s="251">
        <v>0</v>
      </c>
      <c r="H23" s="251">
        <v>0</v>
      </c>
      <c r="I23" s="253">
        <f t="shared" si="0"/>
        <v>0</v>
      </c>
    </row>
    <row r="24" spans="1:9" ht="12.75">
      <c r="A24" s="250"/>
      <c r="B24" s="250"/>
      <c r="C24" s="249"/>
      <c r="D24" s="249" t="s">
        <v>293</v>
      </c>
      <c r="E24" s="249" t="s">
        <v>294</v>
      </c>
      <c r="F24" s="251">
        <v>0</v>
      </c>
      <c r="G24" s="251">
        <v>0</v>
      </c>
      <c r="H24" s="251">
        <v>0</v>
      </c>
      <c r="I24" s="253">
        <f t="shared" si="0"/>
        <v>0</v>
      </c>
    </row>
    <row r="25" spans="1:9" ht="12.75">
      <c r="A25" s="250"/>
      <c r="B25" s="250"/>
      <c r="C25" s="249"/>
      <c r="D25" s="249" t="s">
        <v>295</v>
      </c>
      <c r="E25" s="249" t="s">
        <v>296</v>
      </c>
      <c r="F25" s="251">
        <f>842+39900+1455</f>
        <v>42197</v>
      </c>
      <c r="G25" s="251">
        <v>0</v>
      </c>
      <c r="H25" s="251">
        <v>0</v>
      </c>
      <c r="I25" s="253">
        <f t="shared" si="0"/>
        <v>42197</v>
      </c>
    </row>
    <row r="26" spans="1:9" ht="12.75">
      <c r="A26" s="250"/>
      <c r="B26" s="250"/>
      <c r="C26" s="249"/>
      <c r="D26" s="249" t="s">
        <v>297</v>
      </c>
      <c r="E26" s="249" t="s">
        <v>298</v>
      </c>
      <c r="F26" s="251">
        <v>0</v>
      </c>
      <c r="G26" s="251">
        <v>0</v>
      </c>
      <c r="H26" s="251">
        <v>0</v>
      </c>
      <c r="I26" s="253">
        <f t="shared" si="0"/>
        <v>0</v>
      </c>
    </row>
    <row r="27" spans="1:9" ht="12.75">
      <c r="A27" s="250"/>
      <c r="B27" s="250"/>
      <c r="C27" s="249"/>
      <c r="D27" s="249" t="s">
        <v>299</v>
      </c>
      <c r="E27" s="249" t="s">
        <v>300</v>
      </c>
      <c r="F27" s="251">
        <v>0</v>
      </c>
      <c r="G27" s="251">
        <v>0</v>
      </c>
      <c r="H27" s="251">
        <v>0</v>
      </c>
      <c r="I27" s="253">
        <f t="shared" si="0"/>
        <v>0</v>
      </c>
    </row>
    <row r="28" spans="1:9" ht="12.75">
      <c r="A28" s="242"/>
      <c r="B28" s="242" t="s">
        <v>392</v>
      </c>
      <c r="C28" s="889" t="s">
        <v>393</v>
      </c>
      <c r="D28" s="889"/>
      <c r="E28" s="889"/>
      <c r="F28" s="243">
        <v>0</v>
      </c>
      <c r="G28" s="243">
        <v>0</v>
      </c>
      <c r="H28" s="243">
        <v>0</v>
      </c>
      <c r="I28" s="263">
        <f t="shared" si="0"/>
        <v>0</v>
      </c>
    </row>
    <row r="29" spans="1:9" ht="12.75">
      <c r="A29" s="242"/>
      <c r="B29" s="242" t="s">
        <v>394</v>
      </c>
      <c r="C29" s="889" t="s">
        <v>395</v>
      </c>
      <c r="D29" s="889"/>
      <c r="E29" s="889"/>
      <c r="F29" s="243">
        <f>SUM(F30:F39)</f>
        <v>150040</v>
      </c>
      <c r="G29" s="243">
        <f>SUM(G30:G39)</f>
        <v>0</v>
      </c>
      <c r="H29" s="243">
        <f>SUM(H30:H39)</f>
        <v>0</v>
      </c>
      <c r="I29" s="263">
        <f t="shared" si="0"/>
        <v>150040</v>
      </c>
    </row>
    <row r="30" spans="1:9" ht="12.75">
      <c r="A30" s="250"/>
      <c r="B30" s="250"/>
      <c r="C30" s="249" t="s">
        <v>20</v>
      </c>
      <c r="D30" s="249" t="s">
        <v>281</v>
      </c>
      <c r="E30" s="249" t="s">
        <v>282</v>
      </c>
      <c r="F30" s="251">
        <v>0</v>
      </c>
      <c r="G30" s="251">
        <v>0</v>
      </c>
      <c r="H30" s="251">
        <v>0</v>
      </c>
      <c r="I30" s="253">
        <f t="shared" si="0"/>
        <v>0</v>
      </c>
    </row>
    <row r="31" spans="1:9" ht="12.75">
      <c r="A31" s="250"/>
      <c r="B31" s="250"/>
      <c r="C31" s="249"/>
      <c r="D31" s="249" t="s">
        <v>283</v>
      </c>
      <c r="E31" s="249" t="s">
        <v>284</v>
      </c>
      <c r="F31" s="251">
        <v>0</v>
      </c>
      <c r="G31" s="251">
        <v>0</v>
      </c>
      <c r="H31" s="251">
        <v>0</v>
      </c>
      <c r="I31" s="253">
        <f t="shared" si="0"/>
        <v>0</v>
      </c>
    </row>
    <row r="32" spans="1:9" ht="12.75">
      <c r="A32" s="254"/>
      <c r="B32" s="254"/>
      <c r="C32" s="255"/>
      <c r="D32" s="255" t="s">
        <v>285</v>
      </c>
      <c r="E32" s="255" t="s">
        <v>391</v>
      </c>
      <c r="F32" s="251">
        <f>15388+1428+1095+3971</f>
        <v>21882</v>
      </c>
      <c r="G32" s="251">
        <v>0</v>
      </c>
      <c r="H32" s="251"/>
      <c r="I32" s="253">
        <f t="shared" si="0"/>
        <v>21882</v>
      </c>
    </row>
    <row r="33" spans="1:9" ht="12.75">
      <c r="A33" s="250"/>
      <c r="B33" s="250"/>
      <c r="C33" s="249"/>
      <c r="D33" s="249" t="s">
        <v>287</v>
      </c>
      <c r="E33" s="249" t="s">
        <v>288</v>
      </c>
      <c r="F33" s="251">
        <f>49418+3000+280</f>
        <v>52698</v>
      </c>
      <c r="G33" s="251">
        <v>0</v>
      </c>
      <c r="H33" s="251">
        <v>0</v>
      </c>
      <c r="I33" s="253">
        <f t="shared" si="0"/>
        <v>52698</v>
      </c>
    </row>
    <row r="34" spans="1:9" ht="12.75">
      <c r="A34" s="250"/>
      <c r="B34" s="250"/>
      <c r="C34" s="249"/>
      <c r="D34" s="249" t="s">
        <v>289</v>
      </c>
      <c r="E34" s="249" t="s">
        <v>290</v>
      </c>
      <c r="F34" s="251">
        <f>39922-5429+20</f>
        <v>34513</v>
      </c>
      <c r="G34" s="251">
        <v>0</v>
      </c>
      <c r="H34" s="251">
        <v>0</v>
      </c>
      <c r="I34" s="253">
        <f t="shared" si="0"/>
        <v>34513</v>
      </c>
    </row>
    <row r="35" spans="1:9" ht="12.75">
      <c r="A35" s="250"/>
      <c r="B35" s="250"/>
      <c r="C35" s="249"/>
      <c r="D35" s="249" t="s">
        <v>291</v>
      </c>
      <c r="E35" s="249" t="s">
        <v>292</v>
      </c>
      <c r="F35" s="251">
        <f>49412+96734-96734+700-5663-6462</f>
        <v>37987</v>
      </c>
      <c r="G35" s="251">
        <v>0</v>
      </c>
      <c r="H35" s="251">
        <v>0</v>
      </c>
      <c r="I35" s="253">
        <f t="shared" si="0"/>
        <v>37987</v>
      </c>
    </row>
    <row r="36" spans="1:9" ht="12.75">
      <c r="A36" s="250"/>
      <c r="B36" s="250"/>
      <c r="C36" s="249"/>
      <c r="D36" s="249" t="s">
        <v>293</v>
      </c>
      <c r="E36" s="249" t="s">
        <v>294</v>
      </c>
      <c r="F36" s="251">
        <v>2960</v>
      </c>
      <c r="G36" s="251">
        <v>0</v>
      </c>
      <c r="H36" s="251">
        <v>0</v>
      </c>
      <c r="I36" s="253">
        <f t="shared" si="0"/>
        <v>2960</v>
      </c>
    </row>
    <row r="37" spans="1:9" ht="12.75">
      <c r="A37" s="250"/>
      <c r="B37" s="250"/>
      <c r="C37" s="249"/>
      <c r="D37" s="249" t="s">
        <v>295</v>
      </c>
      <c r="E37" s="249" t="s">
        <v>296</v>
      </c>
      <c r="F37" s="251">
        <v>0</v>
      </c>
      <c r="G37" s="251">
        <v>0</v>
      </c>
      <c r="H37" s="251">
        <v>0</v>
      </c>
      <c r="I37" s="253">
        <f t="shared" si="0"/>
        <v>0</v>
      </c>
    </row>
    <row r="38" spans="1:9" ht="12.75">
      <c r="A38" s="250"/>
      <c r="B38" s="250"/>
      <c r="C38" s="249"/>
      <c r="D38" s="249" t="s">
        <v>297</v>
      </c>
      <c r="E38" s="249" t="s">
        <v>298</v>
      </c>
      <c r="F38" s="251">
        <v>0</v>
      </c>
      <c r="G38" s="251">
        <v>0</v>
      </c>
      <c r="H38" s="251">
        <v>0</v>
      </c>
      <c r="I38" s="253">
        <f t="shared" si="0"/>
        <v>0</v>
      </c>
    </row>
    <row r="39" spans="1:9" ht="12.75">
      <c r="A39" s="250"/>
      <c r="B39" s="250"/>
      <c r="C39" s="249"/>
      <c r="D39" s="249" t="s">
        <v>299</v>
      </c>
      <c r="E39" s="249" t="s">
        <v>300</v>
      </c>
      <c r="F39" s="251">
        <v>0</v>
      </c>
      <c r="G39" s="251">
        <v>0</v>
      </c>
      <c r="H39" s="251">
        <v>0</v>
      </c>
      <c r="I39" s="253">
        <f t="shared" si="0"/>
        <v>0</v>
      </c>
    </row>
    <row r="40" spans="1:9" s="266" customFormat="1" ht="12.75">
      <c r="A40" s="264" t="s">
        <v>396</v>
      </c>
      <c r="B40" s="891" t="s">
        <v>397</v>
      </c>
      <c r="C40" s="891"/>
      <c r="D40" s="891"/>
      <c r="E40" s="891"/>
      <c r="F40" s="265">
        <f>SUM(F41:F45)</f>
        <v>1064618</v>
      </c>
      <c r="G40" s="265">
        <f>SUM(G41:G45)</f>
        <v>0</v>
      </c>
      <c r="H40" s="265">
        <f>SUM(H41:H45)</f>
        <v>0</v>
      </c>
      <c r="I40" s="265">
        <f t="shared" si="0"/>
        <v>1064618</v>
      </c>
    </row>
    <row r="41" spans="1:9" ht="12.75">
      <c r="A41" s="242"/>
      <c r="B41" s="242" t="s">
        <v>398</v>
      </c>
      <c r="C41" s="889" t="s">
        <v>399</v>
      </c>
      <c r="D41" s="889"/>
      <c r="E41" s="889"/>
      <c r="F41" s="243">
        <f>12750+978+420</f>
        <v>14148</v>
      </c>
      <c r="G41" s="243">
        <v>0</v>
      </c>
      <c r="H41" s="243">
        <v>0</v>
      </c>
      <c r="I41" s="263">
        <f t="shared" si="0"/>
        <v>14148</v>
      </c>
    </row>
    <row r="42" spans="1:9" ht="12.75">
      <c r="A42" s="242"/>
      <c r="B42" s="242" t="s">
        <v>400</v>
      </c>
      <c r="C42" s="889" t="s">
        <v>401</v>
      </c>
      <c r="D42" s="889"/>
      <c r="E42" s="889"/>
      <c r="F42" s="243">
        <v>0</v>
      </c>
      <c r="G42" s="243">
        <v>0</v>
      </c>
      <c r="H42" s="243">
        <v>0</v>
      </c>
      <c r="I42" s="263">
        <f t="shared" si="0"/>
        <v>0</v>
      </c>
    </row>
    <row r="43" spans="1:9" ht="12.75">
      <c r="A43" s="242"/>
      <c r="B43" s="242" t="s">
        <v>402</v>
      </c>
      <c r="C43" s="889" t="s">
        <v>403</v>
      </c>
      <c r="D43" s="889"/>
      <c r="E43" s="889"/>
      <c r="F43" s="243">
        <v>2199</v>
      </c>
      <c r="G43" s="243">
        <v>0</v>
      </c>
      <c r="H43" s="243">
        <v>0</v>
      </c>
      <c r="I43" s="263">
        <f t="shared" si="0"/>
        <v>2199</v>
      </c>
    </row>
    <row r="44" spans="1:9" ht="12.75">
      <c r="A44" s="242"/>
      <c r="B44" s="242" t="s">
        <v>404</v>
      </c>
      <c r="C44" s="889" t="s">
        <v>405</v>
      </c>
      <c r="D44" s="889"/>
      <c r="E44" s="889"/>
      <c r="F44" s="243">
        <v>0</v>
      </c>
      <c r="G44" s="243">
        <v>0</v>
      </c>
      <c r="H44" s="243">
        <v>0</v>
      </c>
      <c r="I44" s="263">
        <f t="shared" si="0"/>
        <v>0</v>
      </c>
    </row>
    <row r="45" spans="1:9" ht="12.75">
      <c r="A45" s="242"/>
      <c r="B45" s="242" t="s">
        <v>406</v>
      </c>
      <c r="C45" s="889" t="s">
        <v>407</v>
      </c>
      <c r="D45" s="889"/>
      <c r="E45" s="889"/>
      <c r="F45" s="243">
        <f>SUM(F46:F55)</f>
        <v>1048271</v>
      </c>
      <c r="G45" s="243">
        <f>SUM(G46:G55)</f>
        <v>0</v>
      </c>
      <c r="H45" s="243">
        <f>SUM(H46:H55)</f>
        <v>0</v>
      </c>
      <c r="I45" s="263">
        <f t="shared" si="0"/>
        <v>1048271</v>
      </c>
    </row>
    <row r="46" spans="1:9" ht="12.75">
      <c r="A46" s="250"/>
      <c r="B46" s="250"/>
      <c r="C46" s="249" t="s">
        <v>20</v>
      </c>
      <c r="D46" s="249" t="s">
        <v>281</v>
      </c>
      <c r="E46" s="249" t="s">
        <v>282</v>
      </c>
      <c r="F46" s="251">
        <v>0</v>
      </c>
      <c r="G46" s="251">
        <v>0</v>
      </c>
      <c r="H46" s="251">
        <v>0</v>
      </c>
      <c r="I46" s="253">
        <f t="shared" si="0"/>
        <v>0</v>
      </c>
    </row>
    <row r="47" spans="1:9" ht="12.75">
      <c r="A47" s="250"/>
      <c r="B47" s="250"/>
      <c r="C47" s="249"/>
      <c r="D47" s="249" t="s">
        <v>283</v>
      </c>
      <c r="E47" s="249" t="s">
        <v>284</v>
      </c>
      <c r="F47" s="251">
        <v>0</v>
      </c>
      <c r="G47" s="251">
        <v>0</v>
      </c>
      <c r="H47" s="251">
        <v>0</v>
      </c>
      <c r="I47" s="253">
        <f t="shared" si="0"/>
        <v>0</v>
      </c>
    </row>
    <row r="48" spans="1:9" ht="12.75">
      <c r="A48" s="254"/>
      <c r="B48" s="254"/>
      <c r="C48" s="255"/>
      <c r="D48" s="255" t="s">
        <v>285</v>
      </c>
      <c r="E48" s="255" t="s">
        <v>391</v>
      </c>
      <c r="F48" s="251">
        <f>958761+9540+2609+6751+4360</f>
        <v>982021</v>
      </c>
      <c r="G48" s="251">
        <v>0</v>
      </c>
      <c r="H48" s="251">
        <v>0</v>
      </c>
      <c r="I48" s="253">
        <f t="shared" si="0"/>
        <v>982021</v>
      </c>
    </row>
    <row r="49" spans="1:9" ht="12.75">
      <c r="A49" s="250"/>
      <c r="B49" s="250"/>
      <c r="C49" s="249"/>
      <c r="D49" s="249" t="s">
        <v>287</v>
      </c>
      <c r="E49" s="249" t="s">
        <v>288</v>
      </c>
      <c r="F49" s="251">
        <f>65850+400</f>
        <v>66250</v>
      </c>
      <c r="G49" s="251">
        <v>0</v>
      </c>
      <c r="H49" s="251">
        <v>0</v>
      </c>
      <c r="I49" s="253">
        <f t="shared" si="0"/>
        <v>66250</v>
      </c>
    </row>
    <row r="50" spans="1:9" ht="12.75">
      <c r="A50" s="250"/>
      <c r="B50" s="250"/>
      <c r="C50" s="249"/>
      <c r="D50" s="249" t="s">
        <v>289</v>
      </c>
      <c r="E50" s="249" t="s">
        <v>290</v>
      </c>
      <c r="F50" s="251">
        <v>0</v>
      </c>
      <c r="G50" s="251">
        <v>0</v>
      </c>
      <c r="H50" s="251">
        <v>0</v>
      </c>
      <c r="I50" s="253">
        <f t="shared" si="0"/>
        <v>0</v>
      </c>
    </row>
    <row r="51" spans="1:9" ht="12.75">
      <c r="A51" s="250"/>
      <c r="B51" s="250"/>
      <c r="C51" s="249"/>
      <c r="D51" s="249" t="s">
        <v>291</v>
      </c>
      <c r="E51" s="249" t="s">
        <v>292</v>
      </c>
      <c r="F51" s="251">
        <f>8223-8223</f>
        <v>0</v>
      </c>
      <c r="G51" s="251">
        <v>0</v>
      </c>
      <c r="H51" s="251">
        <v>0</v>
      </c>
      <c r="I51" s="253">
        <f t="shared" si="0"/>
        <v>0</v>
      </c>
    </row>
    <row r="52" spans="1:9" ht="12.75">
      <c r="A52" s="250"/>
      <c r="B52" s="250"/>
      <c r="C52" s="249"/>
      <c r="D52" s="249" t="s">
        <v>293</v>
      </c>
      <c r="E52" s="249" t="s">
        <v>294</v>
      </c>
      <c r="F52" s="251">
        <v>0</v>
      </c>
      <c r="G52" s="251">
        <v>0</v>
      </c>
      <c r="H52" s="251">
        <v>0</v>
      </c>
      <c r="I52" s="253">
        <f t="shared" si="0"/>
        <v>0</v>
      </c>
    </row>
    <row r="53" spans="1:9" ht="12.75">
      <c r="A53" s="250"/>
      <c r="B53" s="250"/>
      <c r="C53" s="249"/>
      <c r="D53" s="249" t="s">
        <v>295</v>
      </c>
      <c r="E53" s="249" t="s">
        <v>296</v>
      </c>
      <c r="F53" s="251">
        <v>0</v>
      </c>
      <c r="G53" s="251">
        <v>0</v>
      </c>
      <c r="H53" s="251">
        <v>0</v>
      </c>
      <c r="I53" s="253">
        <f t="shared" si="0"/>
        <v>0</v>
      </c>
    </row>
    <row r="54" spans="1:9" ht="12.75">
      <c r="A54" s="250"/>
      <c r="B54" s="250"/>
      <c r="C54" s="249"/>
      <c r="D54" s="249" t="s">
        <v>297</v>
      </c>
      <c r="E54" s="249" t="s">
        <v>298</v>
      </c>
      <c r="F54" s="251">
        <v>0</v>
      </c>
      <c r="G54" s="251">
        <v>0</v>
      </c>
      <c r="H54" s="251">
        <v>0</v>
      </c>
      <c r="I54" s="253">
        <f t="shared" si="0"/>
        <v>0</v>
      </c>
    </row>
    <row r="55" spans="1:9" ht="12.75">
      <c r="A55" s="250"/>
      <c r="B55" s="250"/>
      <c r="C55" s="249"/>
      <c r="D55" s="249" t="s">
        <v>299</v>
      </c>
      <c r="E55" s="249" t="s">
        <v>300</v>
      </c>
      <c r="F55" s="251">
        <v>0</v>
      </c>
      <c r="G55" s="251">
        <v>0</v>
      </c>
      <c r="H55" s="251">
        <v>0</v>
      </c>
      <c r="I55" s="253">
        <f t="shared" si="0"/>
        <v>0</v>
      </c>
    </row>
    <row r="56" spans="1:9" s="266" customFormat="1" ht="12.75">
      <c r="A56" s="264" t="s">
        <v>408</v>
      </c>
      <c r="B56" s="891" t="s">
        <v>409</v>
      </c>
      <c r="C56" s="891"/>
      <c r="D56" s="891"/>
      <c r="E56" s="891"/>
      <c r="F56" s="265">
        <f>SUM(F57+F58+F59+F60+F63+F74)</f>
        <v>170870</v>
      </c>
      <c r="G56" s="265">
        <f>SUM(G57+G58+G59+G60+G63+G74)</f>
        <v>100</v>
      </c>
      <c r="H56" s="265">
        <f>SUM(H57+H58+H59+H60+H63+H74)</f>
        <v>0</v>
      </c>
      <c r="I56" s="265">
        <f t="shared" si="0"/>
        <v>170970</v>
      </c>
    </row>
    <row r="57" spans="1:9" ht="12.75">
      <c r="A57" s="242"/>
      <c r="B57" s="242" t="s">
        <v>410</v>
      </c>
      <c r="C57" s="889" t="s">
        <v>411</v>
      </c>
      <c r="D57" s="889"/>
      <c r="E57" s="889"/>
      <c r="F57" s="243">
        <v>0</v>
      </c>
      <c r="G57" s="243">
        <v>0</v>
      </c>
      <c r="H57" s="243">
        <v>0</v>
      </c>
      <c r="I57" s="263">
        <f t="shared" si="0"/>
        <v>0</v>
      </c>
    </row>
    <row r="58" spans="1:9" ht="12.75">
      <c r="A58" s="242"/>
      <c r="B58" s="242" t="s">
        <v>412</v>
      </c>
      <c r="C58" s="889" t="s">
        <v>413</v>
      </c>
      <c r="D58" s="889"/>
      <c r="E58" s="889"/>
      <c r="F58" s="243">
        <v>0</v>
      </c>
      <c r="G58" s="243">
        <v>0</v>
      </c>
      <c r="H58" s="243">
        <v>0</v>
      </c>
      <c r="I58" s="263">
        <f t="shared" si="0"/>
        <v>0</v>
      </c>
    </row>
    <row r="59" spans="1:9" ht="12.75">
      <c r="A59" s="242"/>
      <c r="B59" s="242" t="s">
        <v>414</v>
      </c>
      <c r="C59" s="889" t="s">
        <v>415</v>
      </c>
      <c r="D59" s="889"/>
      <c r="E59" s="889"/>
      <c r="F59" s="243">
        <v>0</v>
      </c>
      <c r="G59" s="243">
        <v>0</v>
      </c>
      <c r="H59" s="243">
        <v>0</v>
      </c>
      <c r="I59" s="263">
        <f t="shared" si="0"/>
        <v>0</v>
      </c>
    </row>
    <row r="60" spans="1:9" ht="12.75">
      <c r="A60" s="242"/>
      <c r="B60" s="242" t="s">
        <v>416</v>
      </c>
      <c r="C60" s="889" t="s">
        <v>417</v>
      </c>
      <c r="D60" s="889"/>
      <c r="E60" s="889"/>
      <c r="F60" s="243">
        <f>SUM(F61:F62)</f>
        <v>26500</v>
      </c>
      <c r="G60" s="243">
        <f>SUM(G61:G62)</f>
        <v>0</v>
      </c>
      <c r="H60" s="243">
        <v>0</v>
      </c>
      <c r="I60" s="263">
        <f t="shared" si="0"/>
        <v>26500</v>
      </c>
    </row>
    <row r="61" spans="1:9" ht="12.75">
      <c r="A61" s="250"/>
      <c r="B61" s="250"/>
      <c r="C61" s="249"/>
      <c r="D61" s="249"/>
      <c r="E61" s="249" t="s">
        <v>418</v>
      </c>
      <c r="F61" s="251">
        <v>25500</v>
      </c>
      <c r="G61" s="251">
        <v>0</v>
      </c>
      <c r="H61" s="251">
        <v>0</v>
      </c>
      <c r="I61" s="253">
        <f t="shared" si="0"/>
        <v>25500</v>
      </c>
    </row>
    <row r="62" spans="1:9" ht="12.75">
      <c r="A62" s="250"/>
      <c r="B62" s="250"/>
      <c r="C62" s="249"/>
      <c r="D62" s="249"/>
      <c r="E62" s="249" t="s">
        <v>419</v>
      </c>
      <c r="F62" s="251">
        <v>1000</v>
      </c>
      <c r="G62" s="251">
        <v>0</v>
      </c>
      <c r="H62" s="251">
        <v>0</v>
      </c>
      <c r="I62" s="253">
        <f t="shared" si="0"/>
        <v>1000</v>
      </c>
    </row>
    <row r="63" spans="1:9" ht="12.75">
      <c r="A63" s="242"/>
      <c r="B63" s="242" t="s">
        <v>420</v>
      </c>
      <c r="C63" s="889" t="s">
        <v>421</v>
      </c>
      <c r="D63" s="889"/>
      <c r="E63" s="889"/>
      <c r="F63" s="243">
        <f>SUM(F64+F67+F68+F69+F71)</f>
        <v>142670</v>
      </c>
      <c r="G63" s="243">
        <f>SUM(G64+G67+G68+G69+G71)</f>
        <v>0</v>
      </c>
      <c r="H63" s="243">
        <v>0</v>
      </c>
      <c r="I63" s="263">
        <f t="shared" si="0"/>
        <v>142670</v>
      </c>
    </row>
    <row r="64" spans="1:9" ht="12.75">
      <c r="A64" s="247"/>
      <c r="B64" s="247"/>
      <c r="C64" s="247" t="s">
        <v>422</v>
      </c>
      <c r="D64" s="247" t="s">
        <v>423</v>
      </c>
      <c r="E64" s="247"/>
      <c r="F64" s="248">
        <f>SUM(F65:F66)</f>
        <v>122470</v>
      </c>
      <c r="G64" s="248">
        <f>SUM(G65:G66)</f>
        <v>0</v>
      </c>
      <c r="H64" s="248">
        <v>0</v>
      </c>
      <c r="I64" s="261">
        <f t="shared" si="0"/>
        <v>122470</v>
      </c>
    </row>
    <row r="65" spans="1:9" ht="12.75">
      <c r="A65" s="250"/>
      <c r="B65" s="250"/>
      <c r="C65" s="249"/>
      <c r="D65" s="249"/>
      <c r="E65" s="249" t="s">
        <v>424</v>
      </c>
      <c r="F65" s="251">
        <f>120000+1970</f>
        <v>121970</v>
      </c>
      <c r="G65" s="251">
        <v>0</v>
      </c>
      <c r="H65" s="251">
        <v>0</v>
      </c>
      <c r="I65" s="253">
        <f t="shared" si="0"/>
        <v>121970</v>
      </c>
    </row>
    <row r="66" spans="1:9" ht="12.75">
      <c r="A66" s="250"/>
      <c r="B66" s="250"/>
      <c r="C66" s="249"/>
      <c r="D66" s="249"/>
      <c r="E66" s="249" t="s">
        <v>425</v>
      </c>
      <c r="F66" s="251">
        <v>500</v>
      </c>
      <c r="G66" s="251">
        <v>0</v>
      </c>
      <c r="H66" s="251">
        <v>0</v>
      </c>
      <c r="I66" s="253">
        <f t="shared" si="0"/>
        <v>500</v>
      </c>
    </row>
    <row r="67" spans="1:9" ht="12.75">
      <c r="A67" s="247"/>
      <c r="B67" s="247"/>
      <c r="C67" s="247" t="s">
        <v>426</v>
      </c>
      <c r="D67" s="247" t="s">
        <v>427</v>
      </c>
      <c r="E67" s="247"/>
      <c r="F67" s="248">
        <v>0</v>
      </c>
      <c r="G67" s="248">
        <v>0</v>
      </c>
      <c r="H67" s="248">
        <v>0</v>
      </c>
      <c r="I67" s="261">
        <f t="shared" si="0"/>
        <v>0</v>
      </c>
    </row>
    <row r="68" spans="1:9" ht="12.75">
      <c r="A68" s="247"/>
      <c r="B68" s="247"/>
      <c r="C68" s="247" t="s">
        <v>428</v>
      </c>
      <c r="D68" s="247" t="s">
        <v>429</v>
      </c>
      <c r="E68" s="247"/>
      <c r="F68" s="248">
        <v>0</v>
      </c>
      <c r="G68" s="248">
        <v>0</v>
      </c>
      <c r="H68" s="248">
        <v>0</v>
      </c>
      <c r="I68" s="261">
        <f t="shared" si="0"/>
        <v>0</v>
      </c>
    </row>
    <row r="69" spans="1:9" ht="12.75">
      <c r="A69" s="247"/>
      <c r="B69" s="247"/>
      <c r="C69" s="247" t="s">
        <v>430</v>
      </c>
      <c r="D69" s="247" t="s">
        <v>431</v>
      </c>
      <c r="E69" s="247"/>
      <c r="F69" s="248">
        <f>SUM(F70)</f>
        <v>20000</v>
      </c>
      <c r="G69" s="248">
        <f>SUM(G70:G70)</f>
        <v>0</v>
      </c>
      <c r="H69" s="248">
        <v>0</v>
      </c>
      <c r="I69" s="261">
        <f t="shared" si="0"/>
        <v>20000</v>
      </c>
    </row>
    <row r="70" spans="1:9" ht="12.75">
      <c r="A70" s="250"/>
      <c r="B70" s="250"/>
      <c r="C70" s="250"/>
      <c r="D70" s="249"/>
      <c r="E70" s="249" t="s">
        <v>432</v>
      </c>
      <c r="F70" s="251">
        <v>20000</v>
      </c>
      <c r="G70" s="251">
        <v>0</v>
      </c>
      <c r="H70" s="251">
        <v>0</v>
      </c>
      <c r="I70" s="253">
        <f t="shared" si="0"/>
        <v>20000</v>
      </c>
    </row>
    <row r="71" spans="1:9" ht="12.75">
      <c r="A71" s="247"/>
      <c r="B71" s="247"/>
      <c r="C71" s="247" t="s">
        <v>433</v>
      </c>
      <c r="D71" s="247" t="s">
        <v>434</v>
      </c>
      <c r="E71" s="247"/>
      <c r="F71" s="248">
        <f>SUM(F72:F73)</f>
        <v>200</v>
      </c>
      <c r="G71" s="248">
        <v>0</v>
      </c>
      <c r="H71" s="248">
        <v>0</v>
      </c>
      <c r="I71" s="261">
        <f t="shared" si="0"/>
        <v>200</v>
      </c>
    </row>
    <row r="72" spans="1:9" ht="12.75">
      <c r="A72" s="250"/>
      <c r="B72" s="250"/>
      <c r="C72" s="250"/>
      <c r="D72" s="249"/>
      <c r="E72" s="249" t="s">
        <v>435</v>
      </c>
      <c r="F72" s="251">
        <v>200</v>
      </c>
      <c r="G72" s="251">
        <v>0</v>
      </c>
      <c r="H72" s="251">
        <v>0</v>
      </c>
      <c r="I72" s="253">
        <f aca="true" t="shared" si="1" ref="I72:I169">SUM(F72:H72)</f>
        <v>200</v>
      </c>
    </row>
    <row r="73" spans="1:9" ht="12.75">
      <c r="A73" s="250"/>
      <c r="B73" s="250"/>
      <c r="C73" s="250"/>
      <c r="D73" s="249"/>
      <c r="E73" s="249" t="s">
        <v>436</v>
      </c>
      <c r="F73" s="251">
        <v>0</v>
      </c>
      <c r="G73" s="251">
        <v>0</v>
      </c>
      <c r="H73" s="251">
        <v>0</v>
      </c>
      <c r="I73" s="253">
        <f t="shared" si="1"/>
        <v>0</v>
      </c>
    </row>
    <row r="74" spans="1:9" ht="12.75">
      <c r="A74" s="242"/>
      <c r="B74" s="242" t="s">
        <v>437</v>
      </c>
      <c r="C74" s="889" t="s">
        <v>438</v>
      </c>
      <c r="D74" s="889"/>
      <c r="E74" s="889"/>
      <c r="F74" s="243">
        <f>SUM(F75:F83)</f>
        <v>1700</v>
      </c>
      <c r="G74" s="243">
        <f>SUM(G75:G83)</f>
        <v>100</v>
      </c>
      <c r="H74" s="243">
        <f>SUM(H75:H83)</f>
        <v>0</v>
      </c>
      <c r="I74" s="263">
        <f t="shared" si="1"/>
        <v>1800</v>
      </c>
    </row>
    <row r="75" spans="1:9" ht="12.75">
      <c r="A75" s="256"/>
      <c r="B75" s="256"/>
      <c r="C75" s="256"/>
      <c r="D75" s="249"/>
      <c r="E75" s="249" t="s">
        <v>439</v>
      </c>
      <c r="F75" s="251">
        <v>0</v>
      </c>
      <c r="G75" s="251">
        <v>0</v>
      </c>
      <c r="H75" s="251">
        <v>0</v>
      </c>
      <c r="I75" s="253">
        <f t="shared" si="1"/>
        <v>0</v>
      </c>
    </row>
    <row r="76" spans="1:9" ht="12.75">
      <c r="A76" s="250"/>
      <c r="B76" s="250"/>
      <c r="C76" s="250"/>
      <c r="D76" s="249"/>
      <c r="E76" s="249" t="s">
        <v>440</v>
      </c>
      <c r="F76" s="251">
        <v>0</v>
      </c>
      <c r="G76" s="251">
        <v>50</v>
      </c>
      <c r="H76" s="251">
        <v>0</v>
      </c>
      <c r="I76" s="253">
        <f t="shared" si="1"/>
        <v>50</v>
      </c>
    </row>
    <row r="77" spans="1:9" ht="12.75">
      <c r="A77" s="256"/>
      <c r="B77" s="256"/>
      <c r="C77" s="256"/>
      <c r="D77" s="249"/>
      <c r="E77" s="249" t="s">
        <v>441</v>
      </c>
      <c r="F77" s="251">
        <v>0</v>
      </c>
      <c r="G77" s="251">
        <v>0</v>
      </c>
      <c r="H77" s="251">
        <v>0</v>
      </c>
      <c r="I77" s="253">
        <f t="shared" si="1"/>
        <v>0</v>
      </c>
    </row>
    <row r="78" spans="1:9" ht="12.75">
      <c r="A78" s="256"/>
      <c r="B78" s="256"/>
      <c r="C78" s="256"/>
      <c r="D78" s="249"/>
      <c r="E78" s="249" t="s">
        <v>442</v>
      </c>
      <c r="F78" s="251">
        <v>0</v>
      </c>
      <c r="G78" s="251">
        <v>0</v>
      </c>
      <c r="H78" s="251">
        <v>0</v>
      </c>
      <c r="I78" s="253">
        <f t="shared" si="1"/>
        <v>0</v>
      </c>
    </row>
    <row r="79" spans="1:9" ht="12.75">
      <c r="A79" s="256"/>
      <c r="B79" s="256"/>
      <c r="C79" s="256"/>
      <c r="D79" s="249"/>
      <c r="E79" s="249" t="s">
        <v>443</v>
      </c>
      <c r="F79" s="251">
        <v>0</v>
      </c>
      <c r="G79" s="251">
        <v>0</v>
      </c>
      <c r="H79" s="251">
        <v>0</v>
      </c>
      <c r="I79" s="253">
        <f t="shared" si="1"/>
        <v>0</v>
      </c>
    </row>
    <row r="80" spans="1:9" ht="12.75">
      <c r="A80" s="256"/>
      <c r="B80" s="256"/>
      <c r="C80" s="256"/>
      <c r="D80" s="249"/>
      <c r="E80" s="249" t="s">
        <v>444</v>
      </c>
      <c r="F80" s="251">
        <v>0</v>
      </c>
      <c r="G80" s="251">
        <v>50</v>
      </c>
      <c r="H80" s="251">
        <v>0</v>
      </c>
      <c r="I80" s="253">
        <f t="shared" si="1"/>
        <v>50</v>
      </c>
    </row>
    <row r="81" spans="1:9" ht="40.5" customHeight="1">
      <c r="A81" s="250"/>
      <c r="B81" s="250"/>
      <c r="C81" s="250"/>
      <c r="D81" s="250"/>
      <c r="E81" s="525" t="s">
        <v>445</v>
      </c>
      <c r="F81" s="251">
        <v>200</v>
      </c>
      <c r="G81" s="251">
        <v>0</v>
      </c>
      <c r="H81" s="251">
        <v>0</v>
      </c>
      <c r="I81" s="253">
        <f t="shared" si="1"/>
        <v>200</v>
      </c>
    </row>
    <row r="82" spans="1:9" ht="12.75">
      <c r="A82" s="256"/>
      <c r="B82" s="256"/>
      <c r="C82" s="256"/>
      <c r="D82" s="256"/>
      <c r="E82" s="249" t="s">
        <v>446</v>
      </c>
      <c r="F82" s="251">
        <v>0</v>
      </c>
      <c r="G82" s="251">
        <v>0</v>
      </c>
      <c r="H82" s="251">
        <v>0</v>
      </c>
      <c r="I82" s="253">
        <f t="shared" si="1"/>
        <v>0</v>
      </c>
    </row>
    <row r="83" spans="1:9" ht="12.75">
      <c r="A83" s="250"/>
      <c r="B83" s="250"/>
      <c r="C83" s="250"/>
      <c r="D83" s="250"/>
      <c r="E83" s="255" t="s">
        <v>447</v>
      </c>
      <c r="F83" s="251">
        <v>1500</v>
      </c>
      <c r="G83" s="251">
        <v>0</v>
      </c>
      <c r="H83" s="251">
        <v>0</v>
      </c>
      <c r="I83" s="253">
        <f t="shared" si="1"/>
        <v>1500</v>
      </c>
    </row>
    <row r="84" spans="1:9" s="266" customFormat="1" ht="12.75">
      <c r="A84" s="264" t="s">
        <v>448</v>
      </c>
      <c r="B84" s="891" t="s">
        <v>449</v>
      </c>
      <c r="C84" s="891"/>
      <c r="D84" s="891"/>
      <c r="E84" s="891"/>
      <c r="F84" s="265">
        <f>SUM(F85+F86+F89+F91+F98+F99+F100+F101+F105+F106+F107)</f>
        <v>124113</v>
      </c>
      <c r="G84" s="265">
        <f>SUM(G85+G86+G89+G91+G98+G99+G100+G101+G105+G106+G107)</f>
        <v>9330</v>
      </c>
      <c r="H84" s="265">
        <f>SUM(H85+H86+H89+H91+H98+H99+H100+H101+H105+H106+H107)</f>
        <v>8220</v>
      </c>
      <c r="I84" s="265">
        <f t="shared" si="1"/>
        <v>141663</v>
      </c>
    </row>
    <row r="85" spans="1:9" ht="12.75">
      <c r="A85" s="247"/>
      <c r="B85" s="247"/>
      <c r="C85" s="247" t="s">
        <v>450</v>
      </c>
      <c r="D85" s="247" t="s">
        <v>873</v>
      </c>
      <c r="E85" s="247"/>
      <c r="F85" s="248">
        <f>8037+14+63+81+66</f>
        <v>8261</v>
      </c>
      <c r="G85" s="248">
        <v>0</v>
      </c>
      <c r="H85" s="248">
        <v>0</v>
      </c>
      <c r="I85" s="261">
        <f t="shared" si="1"/>
        <v>8261</v>
      </c>
    </row>
    <row r="86" spans="1:9" ht="12.75">
      <c r="A86" s="247"/>
      <c r="B86" s="247"/>
      <c r="C86" s="247" t="s">
        <v>451</v>
      </c>
      <c r="D86" s="247" t="s">
        <v>543</v>
      </c>
      <c r="E86" s="247"/>
      <c r="F86" s="248">
        <f>83692+195</f>
        <v>83887</v>
      </c>
      <c r="G86" s="248">
        <v>1716</v>
      </c>
      <c r="H86" s="248">
        <v>108</v>
      </c>
      <c r="I86" s="261">
        <f t="shared" si="1"/>
        <v>85711</v>
      </c>
    </row>
    <row r="87" spans="1:9" ht="12.75">
      <c r="A87" s="250"/>
      <c r="B87" s="250"/>
      <c r="C87" s="249" t="s">
        <v>20</v>
      </c>
      <c r="D87" s="249"/>
      <c r="E87" s="249" t="s">
        <v>452</v>
      </c>
      <c r="F87" s="251">
        <f>10878+115</f>
        <v>10993</v>
      </c>
      <c r="G87" s="251">
        <v>0</v>
      </c>
      <c r="H87" s="251">
        <v>108</v>
      </c>
      <c r="I87" s="253">
        <f t="shared" si="1"/>
        <v>11101</v>
      </c>
    </row>
    <row r="88" spans="1:9" ht="12.75">
      <c r="A88" s="250"/>
      <c r="B88" s="250"/>
      <c r="C88" s="249"/>
      <c r="D88" s="249"/>
      <c r="E88" s="249" t="s">
        <v>911</v>
      </c>
      <c r="F88" s="251">
        <v>0</v>
      </c>
      <c r="G88" s="251">
        <v>0</v>
      </c>
      <c r="H88" s="251">
        <v>0</v>
      </c>
      <c r="I88" s="253">
        <f>SUM(F88:H88)</f>
        <v>0</v>
      </c>
    </row>
    <row r="89" spans="1:9" ht="12.75">
      <c r="A89" s="247"/>
      <c r="B89" s="247"/>
      <c r="C89" s="247" t="s">
        <v>453</v>
      </c>
      <c r="D89" s="247" t="s">
        <v>454</v>
      </c>
      <c r="E89" s="247"/>
      <c r="F89" s="248">
        <f>3884+171</f>
        <v>4055</v>
      </c>
      <c r="G89" s="248">
        <v>6951</v>
      </c>
      <c r="H89" s="248">
        <v>0</v>
      </c>
      <c r="I89" s="261">
        <f t="shared" si="1"/>
        <v>11006</v>
      </c>
    </row>
    <row r="90" spans="1:9" ht="12.75">
      <c r="A90" s="250"/>
      <c r="B90" s="250"/>
      <c r="C90" s="249" t="s">
        <v>20</v>
      </c>
      <c r="D90" s="249"/>
      <c r="E90" s="249" t="s">
        <v>67</v>
      </c>
      <c r="F90" s="251">
        <v>2824</v>
      </c>
      <c r="G90" s="251">
        <v>4651</v>
      </c>
      <c r="H90" s="251">
        <v>0</v>
      </c>
      <c r="I90" s="253">
        <f t="shared" si="1"/>
        <v>7475</v>
      </c>
    </row>
    <row r="91" spans="1:9" ht="12.75">
      <c r="A91" s="247"/>
      <c r="B91" s="247"/>
      <c r="C91" s="247" t="s">
        <v>455</v>
      </c>
      <c r="D91" s="247" t="s">
        <v>456</v>
      </c>
      <c r="E91" s="247"/>
      <c r="F91" s="248">
        <f>695+134</f>
        <v>829</v>
      </c>
      <c r="G91" s="248">
        <v>0</v>
      </c>
      <c r="H91" s="248">
        <v>0</v>
      </c>
      <c r="I91" s="261">
        <f t="shared" si="1"/>
        <v>829</v>
      </c>
    </row>
    <row r="92" spans="1:9" ht="12.75">
      <c r="A92" s="250"/>
      <c r="B92" s="250"/>
      <c r="C92" s="249" t="s">
        <v>20</v>
      </c>
      <c r="D92" s="249"/>
      <c r="E92" s="249" t="s">
        <v>457</v>
      </c>
      <c r="F92" s="251">
        <v>0</v>
      </c>
      <c r="G92" s="251">
        <v>0</v>
      </c>
      <c r="H92" s="251">
        <v>0</v>
      </c>
      <c r="I92" s="253">
        <f t="shared" si="1"/>
        <v>0</v>
      </c>
    </row>
    <row r="93" spans="1:9" ht="12.75">
      <c r="A93" s="250"/>
      <c r="B93" s="250"/>
      <c r="C93" s="249"/>
      <c r="D93" s="249"/>
      <c r="E93" s="249" t="s">
        <v>874</v>
      </c>
      <c r="F93" s="251">
        <v>0</v>
      </c>
      <c r="G93" s="251">
        <v>0</v>
      </c>
      <c r="H93" s="251">
        <v>0</v>
      </c>
      <c r="I93" s="253">
        <f>SUM(F93:H93)</f>
        <v>0</v>
      </c>
    </row>
    <row r="94" spans="1:9" ht="12.75">
      <c r="A94" s="250"/>
      <c r="B94" s="250"/>
      <c r="C94" s="249"/>
      <c r="D94" s="249"/>
      <c r="E94" s="249" t="s">
        <v>458</v>
      </c>
      <c r="F94" s="251">
        <f>695+134</f>
        <v>829</v>
      </c>
      <c r="G94" s="251">
        <v>0</v>
      </c>
      <c r="H94" s="251">
        <v>0</v>
      </c>
      <c r="I94" s="253">
        <f>SUM(F94:H94)</f>
        <v>829</v>
      </c>
    </row>
    <row r="95" spans="1:9" ht="12.75">
      <c r="A95" s="250"/>
      <c r="B95" s="250"/>
      <c r="C95" s="249"/>
      <c r="D95" s="249"/>
      <c r="E95" s="249" t="s">
        <v>876</v>
      </c>
      <c r="F95" s="251">
        <v>0</v>
      </c>
      <c r="G95" s="251">
        <v>0</v>
      </c>
      <c r="H95" s="251">
        <v>0</v>
      </c>
      <c r="I95" s="253">
        <f>SUM(F95:H95)</f>
        <v>0</v>
      </c>
    </row>
    <row r="96" spans="1:9" ht="12.75">
      <c r="A96" s="250"/>
      <c r="B96" s="250"/>
      <c r="C96" s="249"/>
      <c r="D96" s="249"/>
      <c r="E96" s="249" t="s">
        <v>875</v>
      </c>
      <c r="F96" s="251">
        <v>0</v>
      </c>
      <c r="G96" s="251">
        <v>0</v>
      </c>
      <c r="H96" s="251">
        <v>0</v>
      </c>
      <c r="I96" s="253">
        <f>SUM(F96:H96)</f>
        <v>0</v>
      </c>
    </row>
    <row r="97" spans="1:9" ht="12.75">
      <c r="A97" s="250"/>
      <c r="B97" s="250"/>
      <c r="C97" s="249"/>
      <c r="D97" s="249"/>
      <c r="E97" s="249" t="s">
        <v>877</v>
      </c>
      <c r="F97" s="251">
        <v>0</v>
      </c>
      <c r="G97" s="251">
        <v>0</v>
      </c>
      <c r="H97" s="251">
        <v>0</v>
      </c>
      <c r="I97" s="253">
        <f t="shared" si="1"/>
        <v>0</v>
      </c>
    </row>
    <row r="98" spans="1:9" ht="12.75">
      <c r="A98" s="247"/>
      <c r="B98" s="247"/>
      <c r="C98" s="247" t="s">
        <v>459</v>
      </c>
      <c r="D98" s="247" t="s">
        <v>460</v>
      </c>
      <c r="E98" s="247"/>
      <c r="F98" s="248">
        <v>3876</v>
      </c>
      <c r="G98" s="248">
        <v>0</v>
      </c>
      <c r="H98" s="248">
        <f>6868-561</f>
        <v>6307</v>
      </c>
      <c r="I98" s="261">
        <f t="shared" si="1"/>
        <v>10183</v>
      </c>
    </row>
    <row r="99" spans="1:9" ht="12.75">
      <c r="A99" s="247"/>
      <c r="B99" s="247"/>
      <c r="C99" s="247" t="s">
        <v>461</v>
      </c>
      <c r="D99" s="247" t="s">
        <v>462</v>
      </c>
      <c r="E99" s="247"/>
      <c r="F99" s="248">
        <f>21363+22+4+17+22+18+36+46</f>
        <v>21528</v>
      </c>
      <c r="G99" s="248">
        <v>648</v>
      </c>
      <c r="H99" s="248">
        <f>1854-151</f>
        <v>1703</v>
      </c>
      <c r="I99" s="261">
        <f t="shared" si="1"/>
        <v>23879</v>
      </c>
    </row>
    <row r="100" spans="1:9" ht="12.75">
      <c r="A100" s="247"/>
      <c r="B100" s="247"/>
      <c r="C100" s="247" t="s">
        <v>463</v>
      </c>
      <c r="D100" s="247" t="s">
        <v>464</v>
      </c>
      <c r="E100" s="247"/>
      <c r="F100" s="248">
        <f>284628+4762-284628-4762</f>
        <v>0</v>
      </c>
      <c r="G100" s="248">
        <v>0</v>
      </c>
      <c r="H100" s="248">
        <v>77</v>
      </c>
      <c r="I100" s="261">
        <f t="shared" si="1"/>
        <v>77</v>
      </c>
    </row>
    <row r="101" spans="1:9" ht="12.75">
      <c r="A101" s="247"/>
      <c r="B101" s="247"/>
      <c r="C101" s="247" t="s">
        <v>465</v>
      </c>
      <c r="D101" s="247" t="s">
        <v>878</v>
      </c>
      <c r="E101" s="247"/>
      <c r="F101" s="248">
        <v>447</v>
      </c>
      <c r="G101" s="248">
        <v>15</v>
      </c>
      <c r="H101" s="248">
        <v>25</v>
      </c>
      <c r="I101" s="261">
        <f t="shared" si="1"/>
        <v>487</v>
      </c>
    </row>
    <row r="102" spans="1:9" ht="12.75">
      <c r="A102" s="247"/>
      <c r="B102" s="247"/>
      <c r="C102" s="249" t="s">
        <v>20</v>
      </c>
      <c r="D102" s="249"/>
      <c r="E102" s="249" t="s">
        <v>67</v>
      </c>
      <c r="F102" s="251">
        <v>48</v>
      </c>
      <c r="G102" s="251">
        <v>0</v>
      </c>
      <c r="H102" s="251">
        <v>0</v>
      </c>
      <c r="I102" s="253">
        <f t="shared" si="1"/>
        <v>48</v>
      </c>
    </row>
    <row r="103" spans="1:9" ht="12.75">
      <c r="A103" s="247"/>
      <c r="B103" s="247"/>
      <c r="C103" s="247"/>
      <c r="D103" s="247"/>
      <c r="E103" s="249" t="s">
        <v>879</v>
      </c>
      <c r="F103" s="251">
        <v>0</v>
      </c>
      <c r="G103" s="251">
        <v>0</v>
      </c>
      <c r="H103" s="251">
        <v>0</v>
      </c>
      <c r="I103" s="253">
        <f>SUM(F103:H103)</f>
        <v>0</v>
      </c>
    </row>
    <row r="104" spans="1:9" ht="12.75">
      <c r="A104" s="247"/>
      <c r="B104" s="247"/>
      <c r="C104" s="247"/>
      <c r="D104" s="247"/>
      <c r="E104" s="249" t="s">
        <v>880</v>
      </c>
      <c r="F104" s="251">
        <v>0</v>
      </c>
      <c r="G104" s="251">
        <v>0</v>
      </c>
      <c r="H104" s="251">
        <v>0</v>
      </c>
      <c r="I104" s="253">
        <f>SUM(F104:H104)</f>
        <v>0</v>
      </c>
    </row>
    <row r="105" spans="1:9" ht="12.75">
      <c r="A105" s="247"/>
      <c r="B105" s="247"/>
      <c r="C105" s="247" t="s">
        <v>466</v>
      </c>
      <c r="D105" s="247" t="s">
        <v>467</v>
      </c>
      <c r="E105" s="247"/>
      <c r="F105" s="248">
        <v>104</v>
      </c>
      <c r="G105" s="248">
        <v>0</v>
      </c>
      <c r="H105" s="248">
        <v>0</v>
      </c>
      <c r="I105" s="261">
        <f t="shared" si="1"/>
        <v>104</v>
      </c>
    </row>
    <row r="106" spans="1:9" ht="12.75">
      <c r="A106" s="247"/>
      <c r="B106" s="247"/>
      <c r="C106" s="247" t="s">
        <v>468</v>
      </c>
      <c r="D106" s="247" t="s">
        <v>881</v>
      </c>
      <c r="E106" s="247"/>
      <c r="F106" s="248">
        <f>30+24</f>
        <v>54</v>
      </c>
      <c r="G106" s="248">
        <v>0</v>
      </c>
      <c r="H106" s="248">
        <v>0</v>
      </c>
      <c r="I106" s="261">
        <f t="shared" si="1"/>
        <v>54</v>
      </c>
    </row>
    <row r="107" spans="1:9" ht="22.5" customHeight="1">
      <c r="A107" s="247"/>
      <c r="B107" s="247"/>
      <c r="C107" s="247" t="s">
        <v>882</v>
      </c>
      <c r="D107" s="896" t="s">
        <v>883</v>
      </c>
      <c r="E107" s="896"/>
      <c r="F107" s="248">
        <f>270+410+47+330+15</f>
        <v>1072</v>
      </c>
      <c r="G107" s="248">
        <v>0</v>
      </c>
      <c r="H107" s="248">
        <v>0</v>
      </c>
      <c r="I107" s="261">
        <f t="shared" si="1"/>
        <v>1072</v>
      </c>
    </row>
    <row r="108" spans="1:9" ht="45.75" customHeight="1">
      <c r="A108" s="252"/>
      <c r="B108" s="252"/>
      <c r="C108" s="638" t="s">
        <v>20</v>
      </c>
      <c r="D108" s="525" t="s">
        <v>641</v>
      </c>
      <c r="E108" s="525" t="s">
        <v>912</v>
      </c>
      <c r="F108" s="251">
        <v>0</v>
      </c>
      <c r="G108" s="251">
        <v>0</v>
      </c>
      <c r="H108" s="251">
        <v>0</v>
      </c>
      <c r="I108" s="253">
        <f t="shared" si="1"/>
        <v>0</v>
      </c>
    </row>
    <row r="109" spans="1:9" ht="13.5" customHeight="1">
      <c r="A109" s="250"/>
      <c r="B109" s="250"/>
      <c r="C109" s="250"/>
      <c r="D109" s="249" t="s">
        <v>641</v>
      </c>
      <c r="E109" s="257" t="s">
        <v>469</v>
      </c>
      <c r="F109" s="251">
        <v>680</v>
      </c>
      <c r="G109" s="251">
        <v>0</v>
      </c>
      <c r="H109" s="251">
        <v>0</v>
      </c>
      <c r="I109" s="253">
        <f t="shared" si="1"/>
        <v>680</v>
      </c>
    </row>
    <row r="110" spans="1:9" s="266" customFormat="1" ht="12.75">
      <c r="A110" s="264" t="s">
        <v>470</v>
      </c>
      <c r="B110" s="891" t="s">
        <v>471</v>
      </c>
      <c r="C110" s="891"/>
      <c r="D110" s="891"/>
      <c r="E110" s="891"/>
      <c r="F110" s="265">
        <f>SUM(F111+F112+F114+F115+F116)</f>
        <v>43282</v>
      </c>
      <c r="G110" s="265">
        <f>SUM(G111+G112+G114+G115+G116)</f>
        <v>0</v>
      </c>
      <c r="H110" s="265">
        <f>SUM(H111+H112+H114+H115+H116)</f>
        <v>0</v>
      </c>
      <c r="I110" s="265">
        <f t="shared" si="1"/>
        <v>43282</v>
      </c>
    </row>
    <row r="111" spans="1:9" ht="12.75">
      <c r="A111" s="242"/>
      <c r="B111" s="242" t="s">
        <v>472</v>
      </c>
      <c r="C111" s="889" t="s">
        <v>544</v>
      </c>
      <c r="D111" s="889"/>
      <c r="E111" s="889"/>
      <c r="F111" s="243">
        <v>0</v>
      </c>
      <c r="G111" s="243">
        <v>0</v>
      </c>
      <c r="H111" s="243">
        <v>0</v>
      </c>
      <c r="I111" s="263">
        <f t="shared" si="1"/>
        <v>0</v>
      </c>
    </row>
    <row r="112" spans="1:9" ht="12.75">
      <c r="A112" s="242"/>
      <c r="B112" s="242" t="s">
        <v>473</v>
      </c>
      <c r="C112" s="889" t="s">
        <v>474</v>
      </c>
      <c r="D112" s="889"/>
      <c r="E112" s="889"/>
      <c r="F112" s="243">
        <f>16000+10000+17272</f>
        <v>43272</v>
      </c>
      <c r="G112" s="243">
        <v>0</v>
      </c>
      <c r="H112" s="243">
        <v>0</v>
      </c>
      <c r="I112" s="263">
        <f t="shared" si="1"/>
        <v>43272</v>
      </c>
    </row>
    <row r="113" spans="1:9" ht="12.75">
      <c r="A113" s="250"/>
      <c r="B113" s="250"/>
      <c r="C113" s="249" t="s">
        <v>20</v>
      </c>
      <c r="D113" s="249" t="s">
        <v>641</v>
      </c>
      <c r="E113" s="249" t="s">
        <v>475</v>
      </c>
      <c r="F113" s="251"/>
      <c r="G113" s="251">
        <v>0</v>
      </c>
      <c r="H113" s="251">
        <v>0</v>
      </c>
      <c r="I113" s="253">
        <f t="shared" si="1"/>
        <v>0</v>
      </c>
    </row>
    <row r="114" spans="1:9" ht="12.75">
      <c r="A114" s="242"/>
      <c r="B114" s="242" t="s">
        <v>476</v>
      </c>
      <c r="C114" s="889" t="s">
        <v>477</v>
      </c>
      <c r="D114" s="889"/>
      <c r="E114" s="889"/>
      <c r="F114" s="243">
        <v>0</v>
      </c>
      <c r="G114" s="243">
        <v>0</v>
      </c>
      <c r="H114" s="243">
        <v>0</v>
      </c>
      <c r="I114" s="263">
        <f t="shared" si="1"/>
        <v>0</v>
      </c>
    </row>
    <row r="115" spans="1:9" ht="12.75">
      <c r="A115" s="242"/>
      <c r="B115" s="242" t="s">
        <v>478</v>
      </c>
      <c r="C115" s="889" t="s">
        <v>479</v>
      </c>
      <c r="D115" s="889"/>
      <c r="E115" s="889"/>
      <c r="F115" s="243">
        <v>10</v>
      </c>
      <c r="G115" s="243">
        <v>0</v>
      </c>
      <c r="H115" s="243">
        <v>0</v>
      </c>
      <c r="I115" s="263">
        <f t="shared" si="1"/>
        <v>10</v>
      </c>
    </row>
    <row r="116" spans="1:9" ht="12.75">
      <c r="A116" s="242"/>
      <c r="B116" s="242" t="s">
        <v>480</v>
      </c>
      <c r="C116" s="889" t="s">
        <v>481</v>
      </c>
      <c r="D116" s="889"/>
      <c r="E116" s="889"/>
      <c r="F116" s="243">
        <v>0</v>
      </c>
      <c r="G116" s="243">
        <v>0</v>
      </c>
      <c r="H116" s="243">
        <v>0</v>
      </c>
      <c r="I116" s="263">
        <f t="shared" si="1"/>
        <v>0</v>
      </c>
    </row>
    <row r="117" spans="1:9" s="266" customFormat="1" ht="12.75">
      <c r="A117" s="264" t="s">
        <v>482</v>
      </c>
      <c r="B117" s="891" t="s">
        <v>483</v>
      </c>
      <c r="C117" s="891"/>
      <c r="D117" s="891"/>
      <c r="E117" s="891"/>
      <c r="F117" s="265">
        <f>SUM(F118+F119+F120+F121+F131)</f>
        <v>24778</v>
      </c>
      <c r="G117" s="265">
        <f>SUM(G118+G119+G120+G121+G131)</f>
        <v>0</v>
      </c>
      <c r="H117" s="265">
        <f>SUM(H118+H119+H120+H121+H131)</f>
        <v>0</v>
      </c>
      <c r="I117" s="265">
        <f t="shared" si="1"/>
        <v>24778</v>
      </c>
    </row>
    <row r="118" spans="1:9" ht="12.75">
      <c r="A118" s="242"/>
      <c r="B118" s="242" t="s">
        <v>484</v>
      </c>
      <c r="C118" s="889" t="s">
        <v>485</v>
      </c>
      <c r="D118" s="889"/>
      <c r="E118" s="889"/>
      <c r="F118" s="243">
        <v>0</v>
      </c>
      <c r="G118" s="243">
        <v>0</v>
      </c>
      <c r="H118" s="243">
        <v>0</v>
      </c>
      <c r="I118" s="263">
        <f t="shared" si="1"/>
        <v>0</v>
      </c>
    </row>
    <row r="119" spans="1:9" ht="12.75">
      <c r="A119" s="242"/>
      <c r="B119" s="242" t="s">
        <v>486</v>
      </c>
      <c r="C119" s="889" t="s">
        <v>885</v>
      </c>
      <c r="D119" s="889"/>
      <c r="E119" s="889"/>
      <c r="F119" s="243">
        <v>0</v>
      </c>
      <c r="G119" s="243">
        <v>0</v>
      </c>
      <c r="H119" s="243">
        <v>0</v>
      </c>
      <c r="I119" s="263">
        <f t="shared" si="1"/>
        <v>0</v>
      </c>
    </row>
    <row r="120" spans="1:9" ht="26.25" customHeight="1">
      <c r="A120" s="242"/>
      <c r="B120" s="242" t="s">
        <v>495</v>
      </c>
      <c r="C120" s="892" t="s">
        <v>886</v>
      </c>
      <c r="D120" s="892"/>
      <c r="E120" s="892"/>
      <c r="F120" s="243">
        <v>0</v>
      </c>
      <c r="G120" s="243">
        <v>0</v>
      </c>
      <c r="H120" s="243">
        <v>0</v>
      </c>
      <c r="I120" s="263">
        <f t="shared" si="1"/>
        <v>0</v>
      </c>
    </row>
    <row r="121" spans="1:9" ht="12.75">
      <c r="A121" s="242"/>
      <c r="B121" s="242" t="s">
        <v>884</v>
      </c>
      <c r="C121" s="889" t="s">
        <v>494</v>
      </c>
      <c r="D121" s="889"/>
      <c r="E121" s="889"/>
      <c r="F121" s="243">
        <f>SUM(F122:F130)</f>
        <v>24547</v>
      </c>
      <c r="G121" s="243">
        <v>0</v>
      </c>
      <c r="H121" s="243">
        <v>0</v>
      </c>
      <c r="I121" s="263">
        <f t="shared" si="1"/>
        <v>24547</v>
      </c>
    </row>
    <row r="122" spans="1:9" ht="12.75">
      <c r="A122" s="252"/>
      <c r="B122" s="252"/>
      <c r="C122" s="249" t="s">
        <v>20</v>
      </c>
      <c r="D122" s="249" t="s">
        <v>281</v>
      </c>
      <c r="E122" s="249" t="s">
        <v>308</v>
      </c>
      <c r="F122" s="251">
        <v>0</v>
      </c>
      <c r="G122" s="251">
        <v>0</v>
      </c>
      <c r="H122" s="251">
        <v>0</v>
      </c>
      <c r="I122" s="253">
        <f t="shared" si="1"/>
        <v>0</v>
      </c>
    </row>
    <row r="123" spans="1:9" ht="12.75">
      <c r="A123" s="252"/>
      <c r="B123" s="252"/>
      <c r="C123" s="249"/>
      <c r="D123" s="249" t="s">
        <v>283</v>
      </c>
      <c r="E123" s="249" t="s">
        <v>913</v>
      </c>
      <c r="F123" s="251">
        <v>7000</v>
      </c>
      <c r="G123" s="251">
        <v>0</v>
      </c>
      <c r="H123" s="251">
        <v>0</v>
      </c>
      <c r="I123" s="253">
        <f t="shared" si="1"/>
        <v>7000</v>
      </c>
    </row>
    <row r="124" spans="1:9" ht="12.75">
      <c r="A124" s="252"/>
      <c r="B124" s="252"/>
      <c r="C124" s="249"/>
      <c r="D124" s="249" t="s">
        <v>285</v>
      </c>
      <c r="E124" s="249" t="s">
        <v>309</v>
      </c>
      <c r="F124" s="251">
        <v>0</v>
      </c>
      <c r="G124" s="251">
        <v>0</v>
      </c>
      <c r="H124" s="251">
        <v>0</v>
      </c>
      <c r="I124" s="253">
        <f t="shared" si="1"/>
        <v>0</v>
      </c>
    </row>
    <row r="125" spans="1:9" ht="12.75">
      <c r="A125" s="252"/>
      <c r="B125" s="252"/>
      <c r="C125" s="249"/>
      <c r="D125" s="249" t="s">
        <v>287</v>
      </c>
      <c r="E125" s="249" t="s">
        <v>310</v>
      </c>
      <c r="F125" s="251">
        <v>0</v>
      </c>
      <c r="G125" s="251">
        <v>0</v>
      </c>
      <c r="H125" s="251">
        <v>0</v>
      </c>
      <c r="I125" s="253">
        <f t="shared" si="1"/>
        <v>0</v>
      </c>
    </row>
    <row r="126" spans="1:9" ht="12.75">
      <c r="A126" s="252"/>
      <c r="B126" s="252"/>
      <c r="C126" s="249"/>
      <c r="D126" s="249" t="s">
        <v>289</v>
      </c>
      <c r="E126" s="249" t="s">
        <v>311</v>
      </c>
      <c r="F126" s="251">
        <v>0</v>
      </c>
      <c r="G126" s="251">
        <v>0</v>
      </c>
      <c r="H126" s="251">
        <v>0</v>
      </c>
      <c r="I126" s="253">
        <f t="shared" si="1"/>
        <v>0</v>
      </c>
    </row>
    <row r="127" spans="1:9" ht="12.75">
      <c r="A127" s="252"/>
      <c r="B127" s="252"/>
      <c r="C127" s="249"/>
      <c r="D127" s="249" t="s">
        <v>291</v>
      </c>
      <c r="E127" s="249" t="s">
        <v>809</v>
      </c>
      <c r="F127" s="251">
        <v>0</v>
      </c>
      <c r="G127" s="251">
        <v>0</v>
      </c>
      <c r="H127" s="251">
        <v>0</v>
      </c>
      <c r="I127" s="253">
        <f t="shared" si="1"/>
        <v>0</v>
      </c>
    </row>
    <row r="128" spans="1:9" ht="12.75">
      <c r="A128" s="252"/>
      <c r="B128" s="252"/>
      <c r="C128" s="249"/>
      <c r="D128" s="249" t="s">
        <v>293</v>
      </c>
      <c r="E128" s="249" t="s">
        <v>808</v>
      </c>
      <c r="F128" s="639">
        <v>2879</v>
      </c>
      <c r="G128" s="251">
        <v>0</v>
      </c>
      <c r="H128" s="251">
        <v>0</v>
      </c>
      <c r="I128" s="253">
        <f t="shared" si="1"/>
        <v>2879</v>
      </c>
    </row>
    <row r="129" spans="1:9" ht="12.75">
      <c r="A129" s="252"/>
      <c r="B129" s="252"/>
      <c r="C129" s="249"/>
      <c r="D129" s="249" t="s">
        <v>295</v>
      </c>
      <c r="E129" s="249" t="s">
        <v>314</v>
      </c>
      <c r="F129" s="251">
        <v>14668</v>
      </c>
      <c r="G129" s="251">
        <v>0</v>
      </c>
      <c r="H129" s="251">
        <v>0</v>
      </c>
      <c r="I129" s="253">
        <f>SUM(F129:H129)</f>
        <v>14668</v>
      </c>
    </row>
    <row r="130" spans="1:9" ht="12.75">
      <c r="A130" s="252"/>
      <c r="B130" s="252"/>
      <c r="C130" s="249"/>
      <c r="D130" s="249" t="s">
        <v>297</v>
      </c>
      <c r="E130" s="249" t="s">
        <v>914</v>
      </c>
      <c r="F130" s="251">
        <v>0</v>
      </c>
      <c r="G130" s="251">
        <v>0</v>
      </c>
      <c r="H130" s="251">
        <v>0</v>
      </c>
      <c r="I130" s="253">
        <f t="shared" si="1"/>
        <v>0</v>
      </c>
    </row>
    <row r="131" spans="1:9" ht="12.75">
      <c r="A131" s="242"/>
      <c r="B131" s="242" t="s">
        <v>887</v>
      </c>
      <c r="C131" s="889" t="s">
        <v>496</v>
      </c>
      <c r="D131" s="889"/>
      <c r="E131" s="889"/>
      <c r="F131" s="243">
        <f>217+230+1-217</f>
        <v>231</v>
      </c>
      <c r="G131" s="243">
        <v>0</v>
      </c>
      <c r="H131" s="243">
        <v>0</v>
      </c>
      <c r="I131" s="263">
        <f t="shared" si="1"/>
        <v>231</v>
      </c>
    </row>
    <row r="132" spans="1:9" s="266" customFormat="1" ht="12.75">
      <c r="A132" s="264" t="s">
        <v>497</v>
      </c>
      <c r="B132" s="891" t="s">
        <v>498</v>
      </c>
      <c r="C132" s="891"/>
      <c r="D132" s="891"/>
      <c r="E132" s="891"/>
      <c r="F132" s="265">
        <f>SUM(F133+F134+F135+F136+F146)</f>
        <v>216458</v>
      </c>
      <c r="G132" s="265">
        <f>SUM(G133+G134+G135+G136+G146)</f>
        <v>0</v>
      </c>
      <c r="H132" s="265">
        <f>SUM(H133+H134+H135+H136+H146)</f>
        <v>0</v>
      </c>
      <c r="I132" s="265">
        <f t="shared" si="1"/>
        <v>216458</v>
      </c>
    </row>
    <row r="133" spans="1:9" ht="12.75">
      <c r="A133" s="242"/>
      <c r="B133" s="242" t="s">
        <v>499</v>
      </c>
      <c r="C133" s="889" t="s">
        <v>500</v>
      </c>
      <c r="D133" s="889"/>
      <c r="E133" s="889"/>
      <c r="F133" s="243">
        <v>0</v>
      </c>
      <c r="G133" s="243">
        <v>0</v>
      </c>
      <c r="H133" s="243">
        <v>0</v>
      </c>
      <c r="I133" s="263">
        <f t="shared" si="1"/>
        <v>0</v>
      </c>
    </row>
    <row r="134" spans="1:9" ht="12.75">
      <c r="A134" s="242"/>
      <c r="B134" s="242" t="s">
        <v>501</v>
      </c>
      <c r="C134" s="889" t="s">
        <v>888</v>
      </c>
      <c r="D134" s="889"/>
      <c r="E134" s="889"/>
      <c r="F134" s="243">
        <v>0</v>
      </c>
      <c r="G134" s="243">
        <v>0</v>
      </c>
      <c r="H134" s="243">
        <v>0</v>
      </c>
      <c r="I134" s="263">
        <f t="shared" si="1"/>
        <v>0</v>
      </c>
    </row>
    <row r="135" spans="1:9" ht="25.5" customHeight="1">
      <c r="A135" s="242"/>
      <c r="B135" s="242" t="s">
        <v>503</v>
      </c>
      <c r="C135" s="892" t="s">
        <v>889</v>
      </c>
      <c r="D135" s="892"/>
      <c r="E135" s="892"/>
      <c r="F135" s="243">
        <v>0</v>
      </c>
      <c r="G135" s="243">
        <v>0</v>
      </c>
      <c r="H135" s="243">
        <v>0</v>
      </c>
      <c r="I135" s="263">
        <f t="shared" si="1"/>
        <v>0</v>
      </c>
    </row>
    <row r="136" spans="1:9" ht="12.75">
      <c r="A136" s="252"/>
      <c r="B136" s="242" t="s">
        <v>890</v>
      </c>
      <c r="C136" s="889" t="s">
        <v>502</v>
      </c>
      <c r="D136" s="889"/>
      <c r="E136" s="889"/>
      <c r="F136" s="243">
        <f>SUM(F137:F145)</f>
        <v>40540</v>
      </c>
      <c r="G136" s="243">
        <f>SUM(G137:G145)</f>
        <v>0</v>
      </c>
      <c r="H136" s="243">
        <f>SUM(H137:H145)</f>
        <v>0</v>
      </c>
      <c r="I136" s="263">
        <f t="shared" si="1"/>
        <v>40540</v>
      </c>
    </row>
    <row r="137" spans="1:9" ht="12.75">
      <c r="A137" s="252"/>
      <c r="B137" s="252"/>
      <c r="C137" s="249" t="s">
        <v>20</v>
      </c>
      <c r="D137" s="249" t="s">
        <v>281</v>
      </c>
      <c r="E137" s="249" t="s">
        <v>308</v>
      </c>
      <c r="F137" s="251">
        <v>0</v>
      </c>
      <c r="G137" s="251">
        <v>0</v>
      </c>
      <c r="H137" s="251">
        <v>0</v>
      </c>
      <c r="I137" s="253">
        <f aca="true" t="shared" si="2" ref="I137:I142">SUM(F137:H137)</f>
        <v>0</v>
      </c>
    </row>
    <row r="138" spans="1:9" ht="12.75">
      <c r="A138" s="252"/>
      <c r="B138" s="252"/>
      <c r="C138" s="249"/>
      <c r="D138" s="249" t="s">
        <v>283</v>
      </c>
      <c r="E138" s="249" t="s">
        <v>913</v>
      </c>
      <c r="G138" s="251">
        <v>0</v>
      </c>
      <c r="H138" s="251">
        <v>0</v>
      </c>
      <c r="I138" s="253">
        <f t="shared" si="2"/>
        <v>0</v>
      </c>
    </row>
    <row r="139" spans="1:9" ht="12.75">
      <c r="A139" s="252"/>
      <c r="B139" s="252"/>
      <c r="C139" s="249"/>
      <c r="D139" s="249" t="s">
        <v>285</v>
      </c>
      <c r="E139" s="249" t="s">
        <v>309</v>
      </c>
      <c r="F139" s="251">
        <v>0</v>
      </c>
      <c r="G139" s="251">
        <v>0</v>
      </c>
      <c r="H139" s="251">
        <v>0</v>
      </c>
      <c r="I139" s="253">
        <f t="shared" si="2"/>
        <v>0</v>
      </c>
    </row>
    <row r="140" spans="1:9" ht="12.75">
      <c r="A140" s="252"/>
      <c r="B140" s="252"/>
      <c r="C140" s="249"/>
      <c r="D140" s="249" t="s">
        <v>287</v>
      </c>
      <c r="E140" s="249" t="s">
        <v>310</v>
      </c>
      <c r="F140" s="251">
        <v>0</v>
      </c>
      <c r="G140" s="251">
        <v>0</v>
      </c>
      <c r="H140" s="251">
        <v>0</v>
      </c>
      <c r="I140" s="253">
        <f t="shared" si="2"/>
        <v>0</v>
      </c>
    </row>
    <row r="141" spans="1:9" ht="12.75">
      <c r="A141" s="252"/>
      <c r="B141" s="252"/>
      <c r="C141" s="249"/>
      <c r="D141" s="249" t="s">
        <v>289</v>
      </c>
      <c r="E141" s="249" t="s">
        <v>311</v>
      </c>
      <c r="F141" s="251">
        <v>0</v>
      </c>
      <c r="G141" s="251">
        <v>0</v>
      </c>
      <c r="H141" s="251">
        <v>0</v>
      </c>
      <c r="I141" s="253">
        <f t="shared" si="2"/>
        <v>0</v>
      </c>
    </row>
    <row r="142" spans="1:9" ht="12.75">
      <c r="A142" s="252"/>
      <c r="B142" s="252"/>
      <c r="C142" s="249"/>
      <c r="D142" s="249" t="s">
        <v>291</v>
      </c>
      <c r="E142" s="249" t="s">
        <v>809</v>
      </c>
      <c r="F142" s="251">
        <v>0</v>
      </c>
      <c r="G142" s="251">
        <v>0</v>
      </c>
      <c r="H142" s="251">
        <v>0</v>
      </c>
      <c r="I142" s="253">
        <f t="shared" si="2"/>
        <v>0</v>
      </c>
    </row>
    <row r="143" spans="1:9" ht="12.75">
      <c r="A143" s="252"/>
      <c r="B143" s="252"/>
      <c r="C143" s="249"/>
      <c r="D143" s="249" t="s">
        <v>293</v>
      </c>
      <c r="E143" s="249" t="s">
        <v>808</v>
      </c>
      <c r="F143" s="251">
        <v>40540</v>
      </c>
      <c r="G143" s="251">
        <v>0</v>
      </c>
      <c r="H143" s="251">
        <v>0</v>
      </c>
      <c r="I143" s="253">
        <f>SUM(F143:H143)</f>
        <v>40540</v>
      </c>
    </row>
    <row r="144" spans="1:9" ht="12.75">
      <c r="A144" s="252"/>
      <c r="B144" s="252"/>
      <c r="C144" s="249"/>
      <c r="D144" s="249" t="s">
        <v>295</v>
      </c>
      <c r="E144" s="249" t="s">
        <v>314</v>
      </c>
      <c r="F144" s="251">
        <v>0</v>
      </c>
      <c r="G144" s="251">
        <v>0</v>
      </c>
      <c r="H144" s="251">
        <v>0</v>
      </c>
      <c r="I144" s="253">
        <f>SUM(F144:H144)</f>
        <v>0</v>
      </c>
    </row>
    <row r="145" spans="1:9" ht="12.75">
      <c r="A145" s="252"/>
      <c r="B145" s="252"/>
      <c r="C145" s="249"/>
      <c r="D145" s="249" t="s">
        <v>297</v>
      </c>
      <c r="E145" s="249" t="s">
        <v>914</v>
      </c>
      <c r="F145" s="251">
        <v>0</v>
      </c>
      <c r="G145" s="251">
        <v>0</v>
      </c>
      <c r="H145" s="251">
        <v>0</v>
      </c>
      <c r="I145" s="253">
        <f>SUM(F145:H145)</f>
        <v>0</v>
      </c>
    </row>
    <row r="146" spans="1:9" ht="12.75">
      <c r="A146" s="252"/>
      <c r="B146" s="242" t="s">
        <v>891</v>
      </c>
      <c r="C146" s="889" t="s">
        <v>504</v>
      </c>
      <c r="D146" s="889"/>
      <c r="E146" s="889"/>
      <c r="F146" s="243">
        <f>SUM(F147:F157)</f>
        <v>175918</v>
      </c>
      <c r="G146" s="243">
        <f>SUM(G147:G157)</f>
        <v>0</v>
      </c>
      <c r="H146" s="243">
        <f>SUM(H147:H157)</f>
        <v>0</v>
      </c>
      <c r="I146" s="263">
        <f t="shared" si="1"/>
        <v>175918</v>
      </c>
    </row>
    <row r="147" spans="1:9" ht="12.75">
      <c r="A147" s="252"/>
      <c r="B147" s="252"/>
      <c r="C147" s="249" t="s">
        <v>20</v>
      </c>
      <c r="D147" s="249" t="s">
        <v>281</v>
      </c>
      <c r="E147" s="249" t="s">
        <v>308</v>
      </c>
      <c r="F147" s="251">
        <v>0</v>
      </c>
      <c r="G147" s="251">
        <v>0</v>
      </c>
      <c r="H147" s="251">
        <v>0</v>
      </c>
      <c r="I147" s="253">
        <f t="shared" si="1"/>
        <v>0</v>
      </c>
    </row>
    <row r="148" spans="1:9" ht="12.75">
      <c r="A148" s="252"/>
      <c r="B148" s="252"/>
      <c r="C148" s="249"/>
      <c r="D148" s="249" t="s">
        <v>283</v>
      </c>
      <c r="E148" s="249" t="s">
        <v>913</v>
      </c>
      <c r="F148" s="251">
        <v>0</v>
      </c>
      <c r="G148" s="251">
        <v>0</v>
      </c>
      <c r="H148" s="251">
        <v>0</v>
      </c>
      <c r="I148" s="253">
        <f t="shared" si="1"/>
        <v>0</v>
      </c>
    </row>
    <row r="149" spans="1:9" ht="12.75">
      <c r="A149" s="252"/>
      <c r="B149" s="252"/>
      <c r="C149" s="249"/>
      <c r="D149" s="249" t="s">
        <v>285</v>
      </c>
      <c r="E149" s="249" t="s">
        <v>309</v>
      </c>
      <c r="F149" s="251">
        <v>0</v>
      </c>
      <c r="G149" s="251">
        <v>0</v>
      </c>
      <c r="H149" s="251">
        <v>0</v>
      </c>
      <c r="I149" s="253">
        <f t="shared" si="1"/>
        <v>0</v>
      </c>
    </row>
    <row r="150" spans="1:9" ht="12.75">
      <c r="A150" s="252"/>
      <c r="B150" s="252"/>
      <c r="C150" s="249"/>
      <c r="D150" s="249" t="s">
        <v>287</v>
      </c>
      <c r="E150" s="249" t="s">
        <v>310</v>
      </c>
      <c r="F150" s="251">
        <v>0</v>
      </c>
      <c r="G150" s="251">
        <v>0</v>
      </c>
      <c r="H150" s="251">
        <v>0</v>
      </c>
      <c r="I150" s="253">
        <f t="shared" si="1"/>
        <v>0</v>
      </c>
    </row>
    <row r="151" spans="1:9" ht="12.75">
      <c r="A151" s="252"/>
      <c r="B151" s="252"/>
      <c r="C151" s="249"/>
      <c r="D151" s="249" t="s">
        <v>289</v>
      </c>
      <c r="E151" s="249" t="s">
        <v>311</v>
      </c>
      <c r="F151" s="251">
        <v>0</v>
      </c>
      <c r="G151" s="251">
        <v>0</v>
      </c>
      <c r="H151" s="251">
        <v>0</v>
      </c>
      <c r="I151" s="253">
        <f t="shared" si="1"/>
        <v>0</v>
      </c>
    </row>
    <row r="152" spans="1:9" ht="12.75">
      <c r="A152" s="252"/>
      <c r="B152" s="252"/>
      <c r="C152" s="249"/>
      <c r="D152" s="249" t="s">
        <v>291</v>
      </c>
      <c r="E152" s="249" t="s">
        <v>809</v>
      </c>
      <c r="F152" s="251">
        <v>0</v>
      </c>
      <c r="G152" s="251">
        <v>0</v>
      </c>
      <c r="H152" s="251">
        <v>0</v>
      </c>
      <c r="I152" s="253">
        <f t="shared" si="1"/>
        <v>0</v>
      </c>
    </row>
    <row r="153" spans="1:9" ht="12.75">
      <c r="A153" s="252"/>
      <c r="B153" s="252"/>
      <c r="C153" s="249"/>
      <c r="D153" s="249" t="s">
        <v>293</v>
      </c>
      <c r="E153" s="249" t="s">
        <v>808</v>
      </c>
      <c r="F153" s="639">
        <v>3517</v>
      </c>
      <c r="G153" s="251">
        <v>0</v>
      </c>
      <c r="H153" s="251">
        <v>0</v>
      </c>
      <c r="I153" s="253">
        <f t="shared" si="1"/>
        <v>3517</v>
      </c>
    </row>
    <row r="154" spans="1:9" ht="12.75">
      <c r="A154" s="252"/>
      <c r="B154" s="252"/>
      <c r="C154" s="249"/>
      <c r="D154" s="249" t="s">
        <v>295</v>
      </c>
      <c r="E154" s="249" t="s">
        <v>314</v>
      </c>
      <c r="F154" s="251">
        <v>172401</v>
      </c>
      <c r="G154" s="251">
        <v>0</v>
      </c>
      <c r="H154" s="251">
        <v>0</v>
      </c>
      <c r="I154" s="253">
        <f>SUM(F154:H154)</f>
        <v>172401</v>
      </c>
    </row>
    <row r="155" spans="1:9" ht="12.75">
      <c r="A155" s="252"/>
      <c r="B155" s="252"/>
      <c r="C155" s="249"/>
      <c r="D155" s="249" t="s">
        <v>297</v>
      </c>
      <c r="E155" s="249" t="s">
        <v>315</v>
      </c>
      <c r="F155" s="251">
        <v>0</v>
      </c>
      <c r="G155" s="251">
        <v>0</v>
      </c>
      <c r="H155" s="251">
        <v>0</v>
      </c>
      <c r="I155" s="253">
        <f>SUM(F155:H155)</f>
        <v>0</v>
      </c>
    </row>
    <row r="156" spans="1:9" ht="12.75">
      <c r="A156" s="252"/>
      <c r="B156" s="252"/>
      <c r="C156" s="249"/>
      <c r="D156" s="249" t="s">
        <v>299</v>
      </c>
      <c r="E156" s="249" t="s">
        <v>316</v>
      </c>
      <c r="F156" s="251">
        <v>0</v>
      </c>
      <c r="G156" s="251">
        <v>0</v>
      </c>
      <c r="H156" s="251">
        <v>0</v>
      </c>
      <c r="I156" s="253">
        <f>SUM(F156:H156)</f>
        <v>0</v>
      </c>
    </row>
    <row r="157" spans="1:9" ht="12.75">
      <c r="A157" s="252"/>
      <c r="B157" s="252"/>
      <c r="C157" s="249"/>
      <c r="D157" s="249" t="s">
        <v>915</v>
      </c>
      <c r="E157" s="249" t="s">
        <v>317</v>
      </c>
      <c r="F157" s="251">
        <v>0</v>
      </c>
      <c r="G157" s="251">
        <v>0</v>
      </c>
      <c r="H157" s="251">
        <v>0</v>
      </c>
      <c r="I157" s="253">
        <f>SUM(F157:H157)</f>
        <v>0</v>
      </c>
    </row>
    <row r="158" spans="1:9" s="266" customFormat="1" ht="12.75">
      <c r="A158" s="264" t="s">
        <v>505</v>
      </c>
      <c r="B158" s="891" t="s">
        <v>506</v>
      </c>
      <c r="C158" s="891"/>
      <c r="D158" s="891"/>
      <c r="E158" s="891"/>
      <c r="F158" s="265">
        <f>SUM(F159+F180+F181+F182)</f>
        <v>195715</v>
      </c>
      <c r="G158" s="265">
        <f>SUM(G159+G180+G181+G182)</f>
        <v>3234</v>
      </c>
      <c r="H158" s="265">
        <f>SUM(H159+H180+H181+H182)</f>
        <v>10830</v>
      </c>
      <c r="I158" s="265">
        <f>SUM(I159+I180+I181+I182)</f>
        <v>209779</v>
      </c>
    </row>
    <row r="159" spans="1:9" ht="12.75">
      <c r="A159" s="252"/>
      <c r="B159" s="242" t="s">
        <v>507</v>
      </c>
      <c r="C159" s="889" t="s">
        <v>508</v>
      </c>
      <c r="D159" s="889"/>
      <c r="E159" s="889"/>
      <c r="F159" s="243">
        <f>SUM(F160+F164+F169+F172+F173+F174+F175+F176+F177)</f>
        <v>195715</v>
      </c>
      <c r="G159" s="243">
        <f>SUM(G160+G164+G169+G172+G173+G174+G175+G176+G177)</f>
        <v>3234</v>
      </c>
      <c r="H159" s="243">
        <f>SUM(H160+H164+H169+H172+H173+H174+H175+H176+H177)</f>
        <v>10830</v>
      </c>
      <c r="I159" s="263">
        <f t="shared" si="1"/>
        <v>209779</v>
      </c>
    </row>
    <row r="160" spans="1:9" ht="12.75">
      <c r="A160" s="247"/>
      <c r="B160" s="247"/>
      <c r="C160" s="247" t="s">
        <v>509</v>
      </c>
      <c r="D160" s="247" t="s">
        <v>510</v>
      </c>
      <c r="E160" s="247"/>
      <c r="F160" s="248">
        <f>SUM(F161:F163)</f>
        <v>70000</v>
      </c>
      <c r="G160" s="248">
        <f>SUM(G161:G163)</f>
        <v>0</v>
      </c>
      <c r="H160" s="248">
        <f>SUM(H161:H163)</f>
        <v>0</v>
      </c>
      <c r="I160" s="261">
        <f t="shared" si="1"/>
        <v>70000</v>
      </c>
    </row>
    <row r="161" spans="1:9" ht="12.75">
      <c r="A161" s="244"/>
      <c r="B161" s="244"/>
      <c r="C161" s="244"/>
      <c r="D161" s="244" t="s">
        <v>511</v>
      </c>
      <c r="E161" s="244" t="s">
        <v>892</v>
      </c>
      <c r="F161" s="245"/>
      <c r="G161" s="245">
        <v>0</v>
      </c>
      <c r="H161" s="245">
        <v>0</v>
      </c>
      <c r="I161" s="262">
        <f t="shared" si="1"/>
        <v>0</v>
      </c>
    </row>
    <row r="162" spans="1:9" ht="12.75">
      <c r="A162" s="244"/>
      <c r="B162" s="244"/>
      <c r="C162" s="244"/>
      <c r="D162" s="244" t="s">
        <v>512</v>
      </c>
      <c r="E162" s="244" t="s">
        <v>513</v>
      </c>
      <c r="F162" s="245">
        <v>70000</v>
      </c>
      <c r="G162" s="245">
        <v>0</v>
      </c>
      <c r="H162" s="245">
        <v>0</v>
      </c>
      <c r="I162" s="262">
        <f t="shared" si="1"/>
        <v>70000</v>
      </c>
    </row>
    <row r="163" spans="1:9" ht="12.75">
      <c r="A163" s="244"/>
      <c r="B163" s="244"/>
      <c r="C163" s="244"/>
      <c r="D163" s="244" t="s">
        <v>514</v>
      </c>
      <c r="E163" s="244" t="s">
        <v>893</v>
      </c>
      <c r="F163" s="245">
        <v>0</v>
      </c>
      <c r="G163" s="245">
        <v>0</v>
      </c>
      <c r="H163" s="245">
        <v>0</v>
      </c>
      <c r="I163" s="262">
        <f t="shared" si="1"/>
        <v>0</v>
      </c>
    </row>
    <row r="164" spans="1:9" ht="12.75">
      <c r="A164" s="247"/>
      <c r="B164" s="247"/>
      <c r="C164" s="247" t="s">
        <v>515</v>
      </c>
      <c r="D164" s="247" t="s">
        <v>516</v>
      </c>
      <c r="E164" s="247"/>
      <c r="F164" s="248">
        <f>SUM(F165:F168)</f>
        <v>0</v>
      </c>
      <c r="G164" s="248">
        <f>SUM(G165:G168)</f>
        <v>0</v>
      </c>
      <c r="H164" s="248">
        <f>SUM(H165:H168)</f>
        <v>0</v>
      </c>
      <c r="I164" s="261">
        <f t="shared" si="1"/>
        <v>0</v>
      </c>
    </row>
    <row r="165" spans="1:9" ht="12.75">
      <c r="A165" s="247"/>
      <c r="B165" s="247"/>
      <c r="C165" s="247"/>
      <c r="D165" s="244" t="s">
        <v>894</v>
      </c>
      <c r="E165" s="244" t="s">
        <v>895</v>
      </c>
      <c r="F165" s="248">
        <v>0</v>
      </c>
      <c r="G165" s="248">
        <v>0</v>
      </c>
      <c r="H165" s="248">
        <v>0</v>
      </c>
      <c r="I165" s="261">
        <f t="shared" si="1"/>
        <v>0</v>
      </c>
    </row>
    <row r="166" spans="1:9" ht="12.75">
      <c r="A166" s="247"/>
      <c r="B166" s="247"/>
      <c r="C166" s="247"/>
      <c r="D166" s="244" t="s">
        <v>896</v>
      </c>
      <c r="E166" s="244" t="s">
        <v>897</v>
      </c>
      <c r="F166" s="248">
        <v>0</v>
      </c>
      <c r="G166" s="248">
        <v>0</v>
      </c>
      <c r="H166" s="248">
        <v>0</v>
      </c>
      <c r="I166" s="261">
        <f t="shared" si="1"/>
        <v>0</v>
      </c>
    </row>
    <row r="167" spans="1:9" ht="12.75">
      <c r="A167" s="247"/>
      <c r="B167" s="247"/>
      <c r="C167" s="247"/>
      <c r="D167" s="244" t="s">
        <v>898</v>
      </c>
      <c r="E167" s="244" t="s">
        <v>899</v>
      </c>
      <c r="F167" s="248">
        <v>0</v>
      </c>
      <c r="G167" s="248">
        <v>0</v>
      </c>
      <c r="H167" s="248">
        <v>0</v>
      </c>
      <c r="I167" s="261">
        <f t="shared" si="1"/>
        <v>0</v>
      </c>
    </row>
    <row r="168" spans="1:9" ht="12.75">
      <c r="A168" s="247"/>
      <c r="B168" s="247"/>
      <c r="C168" s="247"/>
      <c r="D168" s="244" t="s">
        <v>900</v>
      </c>
      <c r="E168" s="244" t="s">
        <v>901</v>
      </c>
      <c r="F168" s="248">
        <v>0</v>
      </c>
      <c r="G168" s="248">
        <v>0</v>
      </c>
      <c r="H168" s="248">
        <v>0</v>
      </c>
      <c r="I168" s="261">
        <f t="shared" si="1"/>
        <v>0</v>
      </c>
    </row>
    <row r="169" spans="1:9" ht="12.75">
      <c r="A169" s="247"/>
      <c r="B169" s="247"/>
      <c r="C169" s="247" t="s">
        <v>517</v>
      </c>
      <c r="D169" s="247" t="s">
        <v>518</v>
      </c>
      <c r="E169" s="247"/>
      <c r="F169" s="248">
        <f>SUM(F170:F171)</f>
        <v>125715</v>
      </c>
      <c r="G169" s="248">
        <f>SUM(G170:G171)</f>
        <v>3234</v>
      </c>
      <c r="H169" s="248">
        <f>SUM(H170:H171)</f>
        <v>10830</v>
      </c>
      <c r="I169" s="261">
        <f t="shared" si="1"/>
        <v>139779</v>
      </c>
    </row>
    <row r="170" spans="1:9" ht="12.75">
      <c r="A170" s="244"/>
      <c r="B170" s="244"/>
      <c r="C170" s="244"/>
      <c r="D170" s="244" t="s">
        <v>519</v>
      </c>
      <c r="E170" s="244" t="s">
        <v>520</v>
      </c>
      <c r="F170" s="244">
        <f>3569+122146</f>
        <v>125715</v>
      </c>
      <c r="G170" s="244">
        <v>3234</v>
      </c>
      <c r="H170" s="244">
        <f>1281+9549</f>
        <v>10830</v>
      </c>
      <c r="I170" s="262">
        <f aca="true" t="shared" si="3" ref="I170:I182">SUM(F170:H170)</f>
        <v>139779</v>
      </c>
    </row>
    <row r="171" spans="1:9" ht="12.75">
      <c r="A171" s="244"/>
      <c r="B171" s="244"/>
      <c r="C171" s="244"/>
      <c r="D171" s="244" t="s">
        <v>521</v>
      </c>
      <c r="E171" s="244" t="s">
        <v>522</v>
      </c>
      <c r="F171" s="245">
        <v>0</v>
      </c>
      <c r="G171" s="245">
        <v>0</v>
      </c>
      <c r="H171" s="245">
        <v>0</v>
      </c>
      <c r="I171" s="262">
        <f t="shared" si="3"/>
        <v>0</v>
      </c>
    </row>
    <row r="172" spans="1:9" ht="12.75">
      <c r="A172" s="247"/>
      <c r="B172" s="247"/>
      <c r="C172" s="247" t="s">
        <v>523</v>
      </c>
      <c r="D172" s="247" t="s">
        <v>524</v>
      </c>
      <c r="E172" s="247"/>
      <c r="F172" s="248">
        <v>0</v>
      </c>
      <c r="G172" s="248">
        <v>0</v>
      </c>
      <c r="H172" s="248">
        <v>0</v>
      </c>
      <c r="I172" s="261">
        <f t="shared" si="3"/>
        <v>0</v>
      </c>
    </row>
    <row r="173" spans="1:9" ht="12.75">
      <c r="A173" s="247"/>
      <c r="B173" s="247"/>
      <c r="C173" s="247" t="s">
        <v>525</v>
      </c>
      <c r="D173" s="247" t="s">
        <v>526</v>
      </c>
      <c r="E173" s="247"/>
      <c r="F173" s="248">
        <v>0</v>
      </c>
      <c r="G173" s="248">
        <v>0</v>
      </c>
      <c r="H173" s="248">
        <v>0</v>
      </c>
      <c r="I173" s="261">
        <f t="shared" si="3"/>
        <v>0</v>
      </c>
    </row>
    <row r="174" spans="1:9" ht="12.75">
      <c r="A174" s="247"/>
      <c r="B174" s="247"/>
      <c r="C174" s="247" t="s">
        <v>527</v>
      </c>
      <c r="D174" s="247" t="s">
        <v>528</v>
      </c>
      <c r="E174" s="247"/>
      <c r="F174" s="248">
        <v>0</v>
      </c>
      <c r="G174" s="248">
        <v>0</v>
      </c>
      <c r="H174" s="248">
        <v>0</v>
      </c>
      <c r="I174" s="261">
        <f t="shared" si="3"/>
        <v>0</v>
      </c>
    </row>
    <row r="175" spans="1:9" ht="12.75">
      <c r="A175" s="247"/>
      <c r="B175" s="247"/>
      <c r="C175" s="247" t="s">
        <v>529</v>
      </c>
      <c r="D175" s="247" t="s">
        <v>902</v>
      </c>
      <c r="E175" s="247"/>
      <c r="F175" s="248">
        <v>0</v>
      </c>
      <c r="G175" s="248">
        <v>0</v>
      </c>
      <c r="H175" s="248">
        <v>0</v>
      </c>
      <c r="I175" s="261">
        <f t="shared" si="3"/>
        <v>0</v>
      </c>
    </row>
    <row r="176" spans="1:9" ht="12.75">
      <c r="A176" s="247"/>
      <c r="B176" s="247"/>
      <c r="C176" s="247" t="s">
        <v>530</v>
      </c>
      <c r="D176" s="247" t="s">
        <v>531</v>
      </c>
      <c r="E176" s="247"/>
      <c r="F176" s="248">
        <v>0</v>
      </c>
      <c r="G176" s="248">
        <v>0</v>
      </c>
      <c r="H176" s="248">
        <v>0</v>
      </c>
      <c r="I176" s="261">
        <f t="shared" si="3"/>
        <v>0</v>
      </c>
    </row>
    <row r="177" spans="1:9" ht="12.75">
      <c r="A177" s="247"/>
      <c r="B177" s="247"/>
      <c r="C177" s="247" t="s">
        <v>903</v>
      </c>
      <c r="D177" s="247" t="s">
        <v>904</v>
      </c>
      <c r="E177" s="247"/>
      <c r="F177" s="248">
        <v>0</v>
      </c>
      <c r="G177" s="248">
        <v>0</v>
      </c>
      <c r="H177" s="248">
        <v>0</v>
      </c>
      <c r="I177" s="261">
        <f t="shared" si="3"/>
        <v>0</v>
      </c>
    </row>
    <row r="178" spans="1:9" ht="12.75">
      <c r="A178" s="247"/>
      <c r="B178" s="247"/>
      <c r="C178" s="247"/>
      <c r="D178" s="244" t="s">
        <v>905</v>
      </c>
      <c r="E178" s="244" t="s">
        <v>906</v>
      </c>
      <c r="F178" s="246">
        <v>0</v>
      </c>
      <c r="G178" s="246">
        <v>0</v>
      </c>
      <c r="H178" s="246">
        <v>0</v>
      </c>
      <c r="I178" s="261">
        <f t="shared" si="3"/>
        <v>0</v>
      </c>
    </row>
    <row r="179" spans="1:9" ht="12.75">
      <c r="A179" s="247"/>
      <c r="B179" s="247"/>
      <c r="C179" s="247"/>
      <c r="D179" s="244" t="s">
        <v>907</v>
      </c>
      <c r="E179" s="244" t="s">
        <v>908</v>
      </c>
      <c r="F179" s="246">
        <v>0</v>
      </c>
      <c r="G179" s="246">
        <v>0</v>
      </c>
      <c r="H179" s="246">
        <v>0</v>
      </c>
      <c r="I179" s="261">
        <f t="shared" si="3"/>
        <v>0</v>
      </c>
    </row>
    <row r="180" spans="1:9" ht="12.75">
      <c r="A180" s="252"/>
      <c r="B180" s="242" t="s">
        <v>532</v>
      </c>
      <c r="C180" s="889" t="s">
        <v>533</v>
      </c>
      <c r="D180" s="889"/>
      <c r="E180" s="889"/>
      <c r="F180" s="243">
        <v>0</v>
      </c>
      <c r="G180" s="243">
        <v>0</v>
      </c>
      <c r="H180" s="243">
        <v>0</v>
      </c>
      <c r="I180" s="263">
        <f t="shared" si="3"/>
        <v>0</v>
      </c>
    </row>
    <row r="181" spans="1:9" ht="12.75">
      <c r="A181" s="252"/>
      <c r="B181" s="242" t="s">
        <v>534</v>
      </c>
      <c r="C181" s="889" t="s">
        <v>535</v>
      </c>
      <c r="D181" s="889"/>
      <c r="E181" s="889"/>
      <c r="F181" s="243">
        <v>0</v>
      </c>
      <c r="G181" s="243">
        <v>0</v>
      </c>
      <c r="H181" s="243">
        <v>0</v>
      </c>
      <c r="I181" s="263">
        <f>SUM(F181:H181)</f>
        <v>0</v>
      </c>
    </row>
    <row r="182" spans="1:9" ht="12.75">
      <c r="A182" s="252"/>
      <c r="B182" s="242" t="s">
        <v>909</v>
      </c>
      <c r="C182" s="889" t="s">
        <v>910</v>
      </c>
      <c r="D182" s="889"/>
      <c r="E182" s="889"/>
      <c r="F182" s="243">
        <v>0</v>
      </c>
      <c r="G182" s="243">
        <v>0</v>
      </c>
      <c r="H182" s="243">
        <v>0</v>
      </c>
      <c r="I182" s="263">
        <f t="shared" si="3"/>
        <v>0</v>
      </c>
    </row>
    <row r="183" spans="1:9" ht="12.75">
      <c r="A183" s="252"/>
      <c r="B183" s="252"/>
      <c r="C183" s="252"/>
      <c r="D183" s="252"/>
      <c r="E183" s="252"/>
      <c r="F183" s="241"/>
      <c r="G183" s="240"/>
      <c r="H183" s="240"/>
      <c r="I183" s="241"/>
    </row>
    <row r="184" spans="1:9" s="260" customFormat="1" ht="15.75">
      <c r="A184" s="890" t="s">
        <v>640</v>
      </c>
      <c r="B184" s="890"/>
      <c r="C184" s="890"/>
      <c r="D184" s="890"/>
      <c r="E184" s="890"/>
      <c r="F184" s="259">
        <f>SUM(F158+F132+F117+F110+F84+F56+F40+F7)</f>
        <v>2585966</v>
      </c>
      <c r="G184" s="259">
        <f>SUM(G158+G132+G117+G110+G84+G56+G40+G7)</f>
        <v>12664</v>
      </c>
      <c r="H184" s="259">
        <f>SUM(H158+H132+H117+H110+H84+H56+H40+H7)</f>
        <v>19050</v>
      </c>
      <c r="I184" s="259">
        <f>SUM(F184:H184)</f>
        <v>2617680</v>
      </c>
    </row>
  </sheetData>
  <sheetProtection/>
  <mergeCells count="50">
    <mergeCell ref="C16:E16"/>
    <mergeCell ref="C17:E17"/>
    <mergeCell ref="C28:E28"/>
    <mergeCell ref="C29:E29"/>
    <mergeCell ref="C112:E112"/>
    <mergeCell ref="C114:E114"/>
    <mergeCell ref="C44:E44"/>
    <mergeCell ref="C45:E45"/>
    <mergeCell ref="B56:E56"/>
    <mergeCell ref="C57:E57"/>
    <mergeCell ref="C115:E115"/>
    <mergeCell ref="C116:E116"/>
    <mergeCell ref="B117:E117"/>
    <mergeCell ref="A5:E5"/>
    <mergeCell ref="B7:E7"/>
    <mergeCell ref="C8:E8"/>
    <mergeCell ref="C15:E15"/>
    <mergeCell ref="B40:E40"/>
    <mergeCell ref="D107:E107"/>
    <mergeCell ref="B110:E110"/>
    <mergeCell ref="C119:E119"/>
    <mergeCell ref="C120:E120"/>
    <mergeCell ref="C181:E181"/>
    <mergeCell ref="B158:E158"/>
    <mergeCell ref="C135:E135"/>
    <mergeCell ref="C42:E42"/>
    <mergeCell ref="C43:E43"/>
    <mergeCell ref="C134:E134"/>
    <mergeCell ref="B84:E84"/>
    <mergeCell ref="C111:E111"/>
    <mergeCell ref="A184:E184"/>
    <mergeCell ref="C118:E118"/>
    <mergeCell ref="C121:E121"/>
    <mergeCell ref="C131:E131"/>
    <mergeCell ref="B132:E132"/>
    <mergeCell ref="C133:E133"/>
    <mergeCell ref="C136:E136"/>
    <mergeCell ref="C180:E180"/>
    <mergeCell ref="C182:E182"/>
    <mergeCell ref="C159:E159"/>
    <mergeCell ref="F1:I1"/>
    <mergeCell ref="B6:E6"/>
    <mergeCell ref="A2:I2"/>
    <mergeCell ref="C146:E146"/>
    <mergeCell ref="C58:E58"/>
    <mergeCell ref="C59:E59"/>
    <mergeCell ref="C60:E60"/>
    <mergeCell ref="C63:E63"/>
    <mergeCell ref="C74:E74"/>
    <mergeCell ref="C41:E41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8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665" customWidth="1"/>
    <col min="2" max="2" width="36.125" style="666" customWidth="1"/>
    <col min="3" max="3" width="15.00390625" style="666" customWidth="1"/>
    <col min="4" max="4" width="10.00390625" style="666" customWidth="1"/>
    <col min="5" max="5" width="11.875" style="666" customWidth="1"/>
    <col min="6" max="6" width="11.75390625" style="666" customWidth="1"/>
    <col min="7" max="7" width="11.25390625" style="666" customWidth="1"/>
    <col min="8" max="8" width="11.75390625" style="666" customWidth="1"/>
    <col min="9" max="9" width="15.375" style="666" customWidth="1"/>
    <col min="10" max="10" width="16.625" style="666" customWidth="1"/>
  </cols>
  <sheetData>
    <row r="1" spans="2:10" ht="15">
      <c r="B1" s="1168" t="s">
        <v>1202</v>
      </c>
      <c r="C1" s="1168"/>
      <c r="D1" s="1168"/>
      <c r="E1" s="1168"/>
      <c r="F1" s="1168"/>
      <c r="G1" s="1168"/>
      <c r="H1" s="1168"/>
      <c r="I1" s="1168"/>
      <c r="J1" s="1168"/>
    </row>
    <row r="4" spans="2:10" ht="39" customHeight="1">
      <c r="B4" s="1169" t="s">
        <v>992</v>
      </c>
      <c r="C4" s="1169"/>
      <c r="D4" s="1169"/>
      <c r="E4" s="1169"/>
      <c r="F4" s="1169"/>
      <c r="G4" s="1169"/>
      <c r="H4" s="1169"/>
      <c r="I4" s="1169"/>
      <c r="J4" s="1169"/>
    </row>
    <row r="7" ht="13.5" thickBot="1"/>
    <row r="8" spans="1:10" ht="12.75">
      <c r="A8" s="1170" t="s">
        <v>632</v>
      </c>
      <c r="B8" s="1173" t="s">
        <v>551</v>
      </c>
      <c r="C8" s="1176" t="s">
        <v>993</v>
      </c>
      <c r="D8" s="1177"/>
      <c r="E8" s="1177"/>
      <c r="F8" s="1177"/>
      <c r="G8" s="1177"/>
      <c r="H8" s="1178"/>
      <c r="I8" s="1179" t="s">
        <v>994</v>
      </c>
      <c r="J8" s="1179" t="s">
        <v>995</v>
      </c>
    </row>
    <row r="9" spans="1:10" ht="12.75">
      <c r="A9" s="1171"/>
      <c r="B9" s="1174"/>
      <c r="C9" s="1182" t="s">
        <v>621</v>
      </c>
      <c r="D9" s="1183" t="s">
        <v>996</v>
      </c>
      <c r="E9" s="1184"/>
      <c r="F9" s="1184"/>
      <c r="G9" s="1184"/>
      <c r="H9" s="1185"/>
      <c r="I9" s="1180"/>
      <c r="J9" s="1180"/>
    </row>
    <row r="10" spans="1:10" ht="23.25" customHeight="1">
      <c r="A10" s="1172"/>
      <c r="B10" s="1175"/>
      <c r="C10" s="1182"/>
      <c r="D10" s="667" t="s">
        <v>997</v>
      </c>
      <c r="E10" s="667" t="s">
        <v>998</v>
      </c>
      <c r="F10" s="667" t="s">
        <v>999</v>
      </c>
      <c r="G10" s="667" t="s">
        <v>1000</v>
      </c>
      <c r="H10" s="668" t="s">
        <v>643</v>
      </c>
      <c r="I10" s="1181"/>
      <c r="J10" s="1181"/>
    </row>
    <row r="11" spans="1:10" ht="13.5" thickBot="1">
      <c r="A11" s="669" t="s">
        <v>626</v>
      </c>
      <c r="B11" s="670" t="s">
        <v>627</v>
      </c>
      <c r="C11" s="671" t="s">
        <v>628</v>
      </c>
      <c r="D11" s="672" t="s">
        <v>629</v>
      </c>
      <c r="E11" s="673" t="s">
        <v>630</v>
      </c>
      <c r="F11" s="673" t="s">
        <v>631</v>
      </c>
      <c r="G11" s="673" t="s">
        <v>634</v>
      </c>
      <c r="H11" s="673" t="s">
        <v>635</v>
      </c>
      <c r="I11" s="674" t="s">
        <v>586</v>
      </c>
      <c r="J11" s="675" t="s">
        <v>587</v>
      </c>
    </row>
    <row r="12" spans="1:10" ht="19.5" thickBot="1" thickTop="1">
      <c r="A12" s="676">
        <v>1</v>
      </c>
      <c r="B12" s="1189" t="s">
        <v>199</v>
      </c>
      <c r="C12" s="1190"/>
      <c r="D12" s="1190"/>
      <c r="E12" s="1190"/>
      <c r="F12" s="1190"/>
      <c r="G12" s="1190"/>
      <c r="H12" s="1190"/>
      <c r="I12" s="1190"/>
      <c r="J12" s="1191"/>
    </row>
    <row r="13" spans="1:10" ht="16.5" thickBot="1" thickTop="1">
      <c r="A13" s="677">
        <v>2</v>
      </c>
      <c r="B13" s="1192" t="s">
        <v>1001</v>
      </c>
      <c r="C13" s="1193"/>
      <c r="D13" s="1193"/>
      <c r="E13" s="1193"/>
      <c r="F13" s="1193"/>
      <c r="G13" s="1193"/>
      <c r="H13" s="1193"/>
      <c r="I13" s="1194"/>
      <c r="J13" s="239"/>
    </row>
    <row r="14" spans="1:10" ht="12.75">
      <c r="A14" s="678">
        <v>3</v>
      </c>
      <c r="B14" s="679" t="s">
        <v>1002</v>
      </c>
      <c r="C14" s="680">
        <f>SUM(H14+G14+F14+E14+D14)</f>
        <v>0</v>
      </c>
      <c r="D14" s="681"/>
      <c r="E14" s="681"/>
      <c r="F14" s="681"/>
      <c r="G14" s="681"/>
      <c r="H14" s="681"/>
      <c r="I14" s="682"/>
      <c r="J14" s="682">
        <v>0</v>
      </c>
    </row>
    <row r="15" spans="1:10" ht="13.5" thickBot="1">
      <c r="A15" s="678">
        <v>4</v>
      </c>
      <c r="B15" s="683" t="s">
        <v>1003</v>
      </c>
      <c r="C15" s="684">
        <f>SUM(H15+G15+F15+E15+D15)</f>
        <v>21900</v>
      </c>
      <c r="D15" s="685"/>
      <c r="E15" s="240"/>
      <c r="F15" s="240">
        <v>2670</v>
      </c>
      <c r="G15" s="240">
        <v>19230</v>
      </c>
      <c r="H15" s="240"/>
      <c r="I15" s="686">
        <v>12456</v>
      </c>
      <c r="J15" s="686"/>
    </row>
    <row r="16" spans="1:10" ht="13.5" thickBot="1">
      <c r="A16" s="678">
        <v>5</v>
      </c>
      <c r="B16" s="687" t="s">
        <v>1004</v>
      </c>
      <c r="C16" s="688">
        <f>SUM(H16+G16+F16+E16+D16)</f>
        <v>21900</v>
      </c>
      <c r="D16" s="689">
        <f aca="true" t="shared" si="0" ref="D16:J16">SUM(D14+D15)</f>
        <v>0</v>
      </c>
      <c r="E16" s="689">
        <f t="shared" si="0"/>
        <v>0</v>
      </c>
      <c r="F16" s="689">
        <f t="shared" si="0"/>
        <v>2670</v>
      </c>
      <c r="G16" s="689">
        <f t="shared" si="0"/>
        <v>19230</v>
      </c>
      <c r="H16" s="690">
        <f t="shared" si="0"/>
        <v>0</v>
      </c>
      <c r="I16" s="691">
        <f t="shared" si="0"/>
        <v>12456</v>
      </c>
      <c r="J16" s="692">
        <f t="shared" si="0"/>
        <v>0</v>
      </c>
    </row>
    <row r="17" spans="1:10" ht="7.5" customHeight="1" thickBot="1">
      <c r="A17" s="678"/>
      <c r="B17" s="1195"/>
      <c r="C17" s="1196"/>
      <c r="D17" s="1197"/>
      <c r="E17" s="1197"/>
      <c r="F17" s="1197"/>
      <c r="G17" s="1197"/>
      <c r="H17" s="1197"/>
      <c r="I17" s="1198"/>
      <c r="J17" s="239"/>
    </row>
    <row r="18" spans="1:10" ht="12.75">
      <c r="A18" s="693">
        <v>6</v>
      </c>
      <c r="B18" s="694" t="s">
        <v>1005</v>
      </c>
      <c r="C18" s="695">
        <f>SUM(D18:H18)</f>
        <v>2000</v>
      </c>
      <c r="D18" s="696"/>
      <c r="E18" s="240"/>
      <c r="F18" s="240"/>
      <c r="G18" s="240">
        <v>2000</v>
      </c>
      <c r="H18" s="240"/>
      <c r="I18" s="682"/>
      <c r="J18" s="682"/>
    </row>
    <row r="19" spans="1:10" ht="12.75">
      <c r="A19" s="693">
        <v>7</v>
      </c>
      <c r="B19" s="694" t="s">
        <v>1006</v>
      </c>
      <c r="C19" s="697">
        <f>SUM(D19:H19)</f>
        <v>0</v>
      </c>
      <c r="D19" s="696"/>
      <c r="E19" s="696"/>
      <c r="F19" s="696"/>
      <c r="G19" s="696"/>
      <c r="H19" s="696"/>
      <c r="I19" s="698"/>
      <c r="J19" s="698"/>
    </row>
    <row r="20" spans="1:10" ht="12.75">
      <c r="A20" s="693">
        <v>8</v>
      </c>
      <c r="B20" s="699" t="s">
        <v>1007</v>
      </c>
      <c r="C20" s="697">
        <f>SUM(D20:H20)</f>
        <v>6100</v>
      </c>
      <c r="D20" s="700"/>
      <c r="E20" s="700"/>
      <c r="F20" s="240">
        <v>1200</v>
      </c>
      <c r="G20" s="240">
        <v>4900</v>
      </c>
      <c r="H20" s="696"/>
      <c r="I20" s="701"/>
      <c r="J20" s="701">
        <v>5818</v>
      </c>
    </row>
    <row r="21" spans="1:10" ht="12.75">
      <c r="A21" s="693">
        <v>9</v>
      </c>
      <c r="B21" s="702" t="s">
        <v>1008</v>
      </c>
      <c r="C21" s="697">
        <f>SUM(D21:H21)</f>
        <v>13800</v>
      </c>
      <c r="D21" s="700"/>
      <c r="E21" s="700"/>
      <c r="F21" s="703">
        <v>1470</v>
      </c>
      <c r="G21" s="240">
        <v>12330</v>
      </c>
      <c r="H21" s="240"/>
      <c r="I21" s="686"/>
      <c r="J21" s="686"/>
    </row>
    <row r="22" spans="1:10" ht="13.5" thickBot="1">
      <c r="A22" s="693">
        <v>10</v>
      </c>
      <c r="B22" s="702" t="s">
        <v>1009</v>
      </c>
      <c r="C22" s="704">
        <f>SUM(D22:H22)</f>
        <v>0</v>
      </c>
      <c r="D22" s="705"/>
      <c r="E22" s="705"/>
      <c r="F22" s="705"/>
      <c r="G22" s="705"/>
      <c r="H22" s="705"/>
      <c r="I22" s="706"/>
      <c r="J22" s="706">
        <v>2</v>
      </c>
    </row>
    <row r="23" spans="1:10" ht="13.5" thickBot="1">
      <c r="A23" s="707">
        <v>11</v>
      </c>
      <c r="B23" s="708" t="s">
        <v>561</v>
      </c>
      <c r="C23" s="709">
        <f aca="true" t="shared" si="1" ref="C23:J23">SUM(C18:C22)</f>
        <v>21900</v>
      </c>
      <c r="D23" s="710">
        <f t="shared" si="1"/>
        <v>0</v>
      </c>
      <c r="E23" s="710">
        <f t="shared" si="1"/>
        <v>0</v>
      </c>
      <c r="F23" s="710">
        <f t="shared" si="1"/>
        <v>2670</v>
      </c>
      <c r="G23" s="710">
        <f t="shared" si="1"/>
        <v>19230</v>
      </c>
      <c r="H23" s="710">
        <f t="shared" si="1"/>
        <v>0</v>
      </c>
      <c r="I23" s="711">
        <f t="shared" si="1"/>
        <v>0</v>
      </c>
      <c r="J23" s="712">
        <f t="shared" si="1"/>
        <v>5820</v>
      </c>
    </row>
    <row r="24" spans="1:10" ht="14.25" thickBot="1" thickTop="1">
      <c r="A24" s="713"/>
      <c r="B24" s="1199"/>
      <c r="C24" s="1200"/>
      <c r="D24" s="1200"/>
      <c r="E24" s="1200"/>
      <c r="F24" s="1200"/>
      <c r="G24" s="1200"/>
      <c r="H24" s="1200"/>
      <c r="I24" s="1200"/>
      <c r="J24" s="1201"/>
    </row>
    <row r="25" spans="1:10" ht="16.5" thickBot="1" thickTop="1">
      <c r="A25" s="714">
        <v>12</v>
      </c>
      <c r="B25" s="1192" t="s">
        <v>536</v>
      </c>
      <c r="C25" s="1193"/>
      <c r="D25" s="1193"/>
      <c r="E25" s="1193"/>
      <c r="F25" s="1193"/>
      <c r="G25" s="1193"/>
      <c r="H25" s="1193"/>
      <c r="I25" s="1194"/>
      <c r="J25" s="715"/>
    </row>
    <row r="26" spans="1:10" ht="12.75">
      <c r="A26" s="678">
        <v>13</v>
      </c>
      <c r="B26" s="679" t="s">
        <v>1023</v>
      </c>
      <c r="C26" s="716">
        <v>189679</v>
      </c>
      <c r="D26" s="1202">
        <v>61656</v>
      </c>
      <c r="E26" s="1202">
        <v>120570</v>
      </c>
      <c r="F26" s="1202">
        <v>63867</v>
      </c>
      <c r="G26" s="1204"/>
      <c r="H26" s="1206"/>
      <c r="I26" s="682">
        <f>172401+35888</f>
        <v>208289</v>
      </c>
      <c r="J26" s="682"/>
    </row>
    <row r="27" spans="1:10" ht="12.75">
      <c r="A27" s="678">
        <v>14</v>
      </c>
      <c r="B27" s="683" t="s">
        <v>1024</v>
      </c>
      <c r="C27" s="717">
        <v>56414</v>
      </c>
      <c r="D27" s="1203"/>
      <c r="E27" s="1203"/>
      <c r="F27" s="1203"/>
      <c r="G27" s="1205"/>
      <c r="H27" s="1207"/>
      <c r="I27" s="686">
        <v>850</v>
      </c>
      <c r="J27" s="686"/>
    </row>
    <row r="28" spans="1:10" ht="12.75">
      <c r="A28" s="718">
        <v>15</v>
      </c>
      <c r="B28" s="683" t="s">
        <v>1010</v>
      </c>
      <c r="C28" s="719">
        <v>2791977</v>
      </c>
      <c r="D28" s="720">
        <v>699507</v>
      </c>
      <c r="E28" s="240">
        <v>1367887</v>
      </c>
      <c r="F28" s="240">
        <v>724583</v>
      </c>
      <c r="G28" s="240"/>
      <c r="H28" s="240"/>
      <c r="I28" s="686">
        <v>560125</v>
      </c>
      <c r="J28" s="686"/>
    </row>
    <row r="29" spans="1:10" ht="13.5" thickBot="1">
      <c r="A29" s="678">
        <v>16</v>
      </c>
      <c r="B29" s="683" t="s">
        <v>1011</v>
      </c>
      <c r="C29" s="721"/>
      <c r="D29" s="685"/>
      <c r="E29" s="722"/>
      <c r="F29" s="722"/>
      <c r="G29" s="722"/>
      <c r="H29" s="722"/>
      <c r="I29" s="723"/>
      <c r="J29" s="706"/>
    </row>
    <row r="30" spans="1:10" ht="13.5" thickBot="1">
      <c r="A30" s="678">
        <v>17</v>
      </c>
      <c r="B30" s="687" t="s">
        <v>1004</v>
      </c>
      <c r="C30" s="688">
        <f>SUM(C26:C29)</f>
        <v>3038070</v>
      </c>
      <c r="D30" s="689">
        <f aca="true" t="shared" si="2" ref="D30:I30">SUM(D26:D29)</f>
        <v>761163</v>
      </c>
      <c r="E30" s="689">
        <f t="shared" si="2"/>
        <v>1488457</v>
      </c>
      <c r="F30" s="689">
        <f t="shared" si="2"/>
        <v>788450</v>
      </c>
      <c r="G30" s="689">
        <f t="shared" si="2"/>
        <v>0</v>
      </c>
      <c r="H30" s="689">
        <f t="shared" si="2"/>
        <v>0</v>
      </c>
      <c r="I30" s="691">
        <f t="shared" si="2"/>
        <v>769264</v>
      </c>
      <c r="J30" s="692">
        <f>SUM(J27:J29)</f>
        <v>0</v>
      </c>
    </row>
    <row r="31" spans="1:10" ht="7.5" customHeight="1" thickBot="1">
      <c r="A31" s="678"/>
      <c r="B31" s="1165"/>
      <c r="C31" s="1166"/>
      <c r="D31" s="1166"/>
      <c r="E31" s="1166"/>
      <c r="F31" s="1166"/>
      <c r="G31" s="1166"/>
      <c r="H31" s="1166"/>
      <c r="I31" s="1167"/>
      <c r="J31" s="239"/>
    </row>
    <row r="32" spans="1:10" ht="12.75">
      <c r="A32" s="693">
        <v>18</v>
      </c>
      <c r="B32" s="724" t="s">
        <v>1005</v>
      </c>
      <c r="C32" s="695">
        <v>2981656</v>
      </c>
      <c r="D32" s="1208">
        <v>761163</v>
      </c>
      <c r="E32" s="1210">
        <v>1488457</v>
      </c>
      <c r="F32" s="1210">
        <v>788450</v>
      </c>
      <c r="G32" s="681"/>
      <c r="H32" s="725"/>
      <c r="I32" s="682"/>
      <c r="J32" s="682">
        <f>732526+35888</f>
        <v>768414</v>
      </c>
    </row>
    <row r="33" spans="1:10" ht="12.75">
      <c r="A33" s="693">
        <v>19</v>
      </c>
      <c r="B33" s="699" t="s">
        <v>1006</v>
      </c>
      <c r="C33" s="697">
        <v>56414</v>
      </c>
      <c r="D33" s="1209"/>
      <c r="E33" s="1211"/>
      <c r="F33" s="1211"/>
      <c r="G33" s="700"/>
      <c r="H33" s="726"/>
      <c r="I33" s="686"/>
      <c r="J33" s="686">
        <v>35480</v>
      </c>
    </row>
    <row r="34" spans="1:10" ht="12.75">
      <c r="A34" s="693">
        <v>20</v>
      </c>
      <c r="B34" s="702" t="s">
        <v>1008</v>
      </c>
      <c r="C34" s="697"/>
      <c r="D34" s="700"/>
      <c r="E34" s="700"/>
      <c r="F34" s="700"/>
      <c r="G34" s="700"/>
      <c r="H34" s="726"/>
      <c r="I34" s="686"/>
      <c r="J34" s="686"/>
    </row>
    <row r="35" spans="1:10" ht="12.75">
      <c r="A35" s="693">
        <v>21</v>
      </c>
      <c r="B35" s="702" t="s">
        <v>1009</v>
      </c>
      <c r="C35" s="697"/>
      <c r="D35" s="700"/>
      <c r="E35" s="700"/>
      <c r="F35" s="700"/>
      <c r="G35" s="700"/>
      <c r="H35" s="726"/>
      <c r="I35" s="686"/>
      <c r="J35" s="686">
        <f>201+850</f>
        <v>1051</v>
      </c>
    </row>
    <row r="36" spans="1:10" ht="13.5" thickBot="1">
      <c r="A36" s="693">
        <v>22</v>
      </c>
      <c r="B36" s="727" t="s">
        <v>1012</v>
      </c>
      <c r="C36" s="728"/>
      <c r="D36" s="729"/>
      <c r="E36" s="729"/>
      <c r="F36" s="729"/>
      <c r="G36" s="729"/>
      <c r="H36" s="730"/>
      <c r="I36" s="728"/>
      <c r="J36" s="686"/>
    </row>
    <row r="37" spans="1:10" ht="13.5" thickBot="1">
      <c r="A37" s="731">
        <v>23</v>
      </c>
      <c r="B37" s="732" t="s">
        <v>561</v>
      </c>
      <c r="C37" s="709">
        <f aca="true" t="shared" si="3" ref="C37:H37">SUM(C32:C35)</f>
        <v>3038070</v>
      </c>
      <c r="D37" s="710">
        <f t="shared" si="3"/>
        <v>761163</v>
      </c>
      <c r="E37" s="710">
        <f t="shared" si="3"/>
        <v>1488457</v>
      </c>
      <c r="F37" s="710">
        <f t="shared" si="3"/>
        <v>788450</v>
      </c>
      <c r="G37" s="710">
        <f t="shared" si="3"/>
        <v>0</v>
      </c>
      <c r="H37" s="710">
        <f t="shared" si="3"/>
        <v>0</v>
      </c>
      <c r="I37" s="709">
        <f>SUM(I32:I36)</f>
        <v>0</v>
      </c>
      <c r="J37" s="712">
        <f>SUM(J32:J36)</f>
        <v>804945</v>
      </c>
    </row>
    <row r="38" spans="1:10" ht="14.25" thickBot="1" thickTop="1">
      <c r="A38" s="733"/>
      <c r="B38" s="1199"/>
      <c r="C38" s="1200"/>
      <c r="D38" s="1200"/>
      <c r="E38" s="1200"/>
      <c r="F38" s="1200"/>
      <c r="G38" s="1200"/>
      <c r="H38" s="1200"/>
      <c r="I38" s="1200"/>
      <c r="J38" s="1201"/>
    </row>
    <row r="39" spans="1:10" ht="16.5" thickBot="1" thickTop="1">
      <c r="A39" s="714">
        <v>24</v>
      </c>
      <c r="B39" s="1186" t="s">
        <v>1103</v>
      </c>
      <c r="C39" s="1187"/>
      <c r="D39" s="1187"/>
      <c r="E39" s="1187"/>
      <c r="F39" s="1187"/>
      <c r="G39" s="1187"/>
      <c r="H39" s="1187"/>
      <c r="I39" s="1188"/>
      <c r="J39" s="715"/>
    </row>
    <row r="40" spans="1:10" ht="12.75">
      <c r="A40" s="678">
        <v>25</v>
      </c>
      <c r="B40" s="683" t="s">
        <v>1025</v>
      </c>
      <c r="C40" s="695">
        <v>66350</v>
      </c>
      <c r="D40" s="734"/>
      <c r="E40" s="681"/>
      <c r="F40" s="681"/>
      <c r="G40" s="681"/>
      <c r="H40" s="681"/>
      <c r="I40" s="682">
        <f>65850+6</f>
        <v>65856</v>
      </c>
      <c r="J40" s="682"/>
    </row>
    <row r="41" spans="1:10" ht="13.5" thickBot="1">
      <c r="A41" s="678">
        <v>26</v>
      </c>
      <c r="B41" s="683" t="s">
        <v>1003</v>
      </c>
      <c r="C41" s="697">
        <v>373150</v>
      </c>
      <c r="D41" s="720"/>
      <c r="E41" s="240"/>
      <c r="F41" s="240"/>
      <c r="G41" s="240"/>
      <c r="H41" s="240"/>
      <c r="I41" s="686">
        <v>373150</v>
      </c>
      <c r="J41" s="686"/>
    </row>
    <row r="42" spans="1:10" ht="13.5" thickBot="1">
      <c r="A42" s="678">
        <v>27</v>
      </c>
      <c r="B42" s="687" t="s">
        <v>1004</v>
      </c>
      <c r="C42" s="688">
        <f aca="true" t="shared" si="4" ref="C42:I42">SUM(C40:C41)</f>
        <v>439500</v>
      </c>
      <c r="D42" s="689">
        <f t="shared" si="4"/>
        <v>0</v>
      </c>
      <c r="E42" s="689">
        <f t="shared" si="4"/>
        <v>0</v>
      </c>
      <c r="F42" s="689">
        <f t="shared" si="4"/>
        <v>0</v>
      </c>
      <c r="G42" s="689">
        <f t="shared" si="4"/>
        <v>0</v>
      </c>
      <c r="H42" s="690">
        <f t="shared" si="4"/>
        <v>0</v>
      </c>
      <c r="I42" s="691">
        <f t="shared" si="4"/>
        <v>439006</v>
      </c>
      <c r="J42" s="692">
        <v>0</v>
      </c>
    </row>
    <row r="43" spans="1:10" ht="7.5" customHeight="1" thickBot="1">
      <c r="A43" s="678"/>
      <c r="B43" s="1165"/>
      <c r="C43" s="1166"/>
      <c r="D43" s="1166"/>
      <c r="E43" s="1166"/>
      <c r="F43" s="1166"/>
      <c r="G43" s="1166"/>
      <c r="H43" s="1166"/>
      <c r="I43" s="1167"/>
      <c r="J43" s="239"/>
    </row>
    <row r="44" spans="1:12" ht="12.75">
      <c r="A44" s="693">
        <v>28</v>
      </c>
      <c r="B44" s="724" t="s">
        <v>1005</v>
      </c>
      <c r="C44" s="695">
        <v>439000</v>
      </c>
      <c r="D44" s="735"/>
      <c r="E44" s="681"/>
      <c r="F44" s="681"/>
      <c r="G44" s="681"/>
      <c r="H44" s="725"/>
      <c r="I44" s="682"/>
      <c r="J44" s="682">
        <f>420040+8825</f>
        <v>428865</v>
      </c>
      <c r="L44" s="824"/>
    </row>
    <row r="45" spans="1:10" ht="13.5" thickBot="1">
      <c r="A45" s="693">
        <v>29</v>
      </c>
      <c r="B45" s="699" t="s">
        <v>1006</v>
      </c>
      <c r="C45" s="697">
        <v>500</v>
      </c>
      <c r="D45" s="700"/>
      <c r="E45" s="700"/>
      <c r="F45" s="700"/>
      <c r="G45" s="700"/>
      <c r="H45" s="726"/>
      <c r="I45" s="686"/>
      <c r="J45" s="686">
        <f>381+6</f>
        <v>387</v>
      </c>
    </row>
    <row r="46" spans="1:10" ht="13.5" thickBot="1">
      <c r="A46" s="731">
        <v>30</v>
      </c>
      <c r="B46" s="732" t="s">
        <v>561</v>
      </c>
      <c r="C46" s="709">
        <f>SUM(C44:C45)</f>
        <v>439500</v>
      </c>
      <c r="D46" s="710">
        <f>SUM(D44:D45)</f>
        <v>0</v>
      </c>
      <c r="E46" s="710">
        <f>SUM(E44:E45)</f>
        <v>0</v>
      </c>
      <c r="F46" s="710">
        <f>SUM(F44:F45)</f>
        <v>0</v>
      </c>
      <c r="G46" s="710">
        <v>0</v>
      </c>
      <c r="H46" s="710">
        <v>0</v>
      </c>
      <c r="I46" s="709">
        <f>SUM(I44:I45)</f>
        <v>0</v>
      </c>
      <c r="J46" s="712">
        <f>SUM(J44:J45)</f>
        <v>429252</v>
      </c>
    </row>
    <row r="47" spans="1:10" ht="14.25" thickBot="1" thickTop="1">
      <c r="A47" s="733"/>
      <c r="B47" s="1199"/>
      <c r="C47" s="1200"/>
      <c r="D47" s="1200"/>
      <c r="E47" s="1200"/>
      <c r="F47" s="1200"/>
      <c r="G47" s="1200"/>
      <c r="H47" s="1200"/>
      <c r="I47" s="1200"/>
      <c r="J47" s="1201"/>
    </row>
    <row r="48" spans="1:10" ht="16.5" thickBot="1" thickTop="1">
      <c r="A48" s="714">
        <v>31</v>
      </c>
      <c r="B48" s="1162" t="s">
        <v>1013</v>
      </c>
      <c r="C48" s="1163"/>
      <c r="D48" s="1163"/>
      <c r="E48" s="1163"/>
      <c r="F48" s="1163"/>
      <c r="G48" s="1163"/>
      <c r="H48" s="1163"/>
      <c r="I48" s="1163"/>
      <c r="J48" s="1164"/>
    </row>
    <row r="49" spans="1:10" ht="12.75">
      <c r="A49" s="678">
        <v>32</v>
      </c>
      <c r="B49" s="736" t="s">
        <v>1002</v>
      </c>
      <c r="C49" s="695">
        <v>2276</v>
      </c>
      <c r="D49" s="734"/>
      <c r="E49" s="681"/>
      <c r="F49" s="681"/>
      <c r="G49" s="681"/>
      <c r="H49" s="681"/>
      <c r="I49" s="682"/>
      <c r="J49" s="682"/>
    </row>
    <row r="50" spans="1:10" ht="13.5" thickBot="1">
      <c r="A50" s="678">
        <v>33</v>
      </c>
      <c r="B50" s="683" t="s">
        <v>1003</v>
      </c>
      <c r="C50" s="704">
        <v>11195</v>
      </c>
      <c r="D50" s="720"/>
      <c r="E50" s="240"/>
      <c r="F50" s="240"/>
      <c r="G50" s="240"/>
      <c r="H50" s="240"/>
      <c r="I50" s="686">
        <v>11195</v>
      </c>
      <c r="J50" s="686"/>
    </row>
    <row r="51" spans="1:10" ht="13.5" thickBot="1">
      <c r="A51" s="678">
        <v>34</v>
      </c>
      <c r="B51" s="687" t="s">
        <v>1004</v>
      </c>
      <c r="C51" s="688">
        <f aca="true" t="shared" si="5" ref="C51:H51">SUM(C49:C50)</f>
        <v>13471</v>
      </c>
      <c r="D51" s="689">
        <f t="shared" si="5"/>
        <v>0</v>
      </c>
      <c r="E51" s="689">
        <f t="shared" si="5"/>
        <v>0</v>
      </c>
      <c r="F51" s="689">
        <f t="shared" si="5"/>
        <v>0</v>
      </c>
      <c r="G51" s="689">
        <f t="shared" si="5"/>
        <v>0</v>
      </c>
      <c r="H51" s="690">
        <f t="shared" si="5"/>
        <v>0</v>
      </c>
      <c r="I51" s="691">
        <f>SUM(I49+I50)</f>
        <v>11195</v>
      </c>
      <c r="J51" s="692">
        <f>SUM(J49+J50)</f>
        <v>0</v>
      </c>
    </row>
    <row r="52" spans="1:10" ht="7.5" customHeight="1" thickBot="1">
      <c r="A52" s="678"/>
      <c r="B52" s="1165"/>
      <c r="C52" s="1166"/>
      <c r="D52" s="1166"/>
      <c r="E52" s="1166"/>
      <c r="F52" s="1166"/>
      <c r="G52" s="1166"/>
      <c r="H52" s="1166"/>
      <c r="I52" s="1167"/>
      <c r="J52" s="239"/>
    </row>
    <row r="53" spans="1:10" ht="12.75">
      <c r="A53" s="693">
        <v>35</v>
      </c>
      <c r="B53" s="724" t="s">
        <v>1005</v>
      </c>
      <c r="C53" s="695">
        <v>13171</v>
      </c>
      <c r="D53" s="735"/>
      <c r="E53" s="681"/>
      <c r="F53" s="681"/>
      <c r="G53" s="681"/>
      <c r="H53" s="725"/>
      <c r="I53" s="682"/>
      <c r="J53" s="682">
        <f>49+10330</f>
        <v>10379</v>
      </c>
    </row>
    <row r="54" spans="1:10" ht="13.5" thickBot="1">
      <c r="A54" s="693">
        <v>36</v>
      </c>
      <c r="B54" s="699" t="s">
        <v>1006</v>
      </c>
      <c r="C54" s="697">
        <v>300</v>
      </c>
      <c r="D54" s="700"/>
      <c r="E54" s="700"/>
      <c r="F54" s="700"/>
      <c r="G54" s="700"/>
      <c r="H54" s="726"/>
      <c r="I54" s="686"/>
      <c r="J54" s="686"/>
    </row>
    <row r="55" spans="1:10" ht="13.5" thickBot="1">
      <c r="A55" s="731">
        <v>37</v>
      </c>
      <c r="B55" s="732" t="s">
        <v>561</v>
      </c>
      <c r="C55" s="709">
        <f>SUM(C53:C54)</f>
        <v>13471</v>
      </c>
      <c r="D55" s="710">
        <v>0</v>
      </c>
      <c r="E55" s="710">
        <v>0</v>
      </c>
      <c r="F55" s="710">
        <v>0</v>
      </c>
      <c r="G55" s="710">
        <v>0</v>
      </c>
      <c r="H55" s="710">
        <v>0</v>
      </c>
      <c r="I55" s="709">
        <v>0</v>
      </c>
      <c r="J55" s="712">
        <f>SUM(J52:J54)</f>
        <v>10379</v>
      </c>
    </row>
    <row r="56" spans="1:10" ht="14.25" thickBot="1" thickTop="1">
      <c r="A56" s="733"/>
      <c r="B56" s="737"/>
      <c r="C56" s="850"/>
      <c r="D56" s="738"/>
      <c r="E56" s="738"/>
      <c r="F56" s="738"/>
      <c r="G56" s="738"/>
      <c r="H56" s="738"/>
      <c r="I56" s="850"/>
      <c r="J56" s="851"/>
    </row>
    <row r="57" spans="1:10" ht="16.5" thickBot="1" thickTop="1">
      <c r="A57" s="714">
        <v>38</v>
      </c>
      <c r="B57" s="1162" t="s">
        <v>1014</v>
      </c>
      <c r="C57" s="1163"/>
      <c r="D57" s="1163"/>
      <c r="E57" s="1163"/>
      <c r="F57" s="1163"/>
      <c r="G57" s="1163"/>
      <c r="H57" s="1163"/>
      <c r="I57" s="1163"/>
      <c r="J57" s="1164"/>
    </row>
    <row r="58" spans="1:10" ht="12.75">
      <c r="A58" s="739">
        <v>39</v>
      </c>
      <c r="B58" s="740"/>
      <c r="C58" s="1215" t="s">
        <v>1015</v>
      </c>
      <c r="D58" s="1216"/>
      <c r="E58" s="1216"/>
      <c r="F58" s="1216"/>
      <c r="G58" s="1216"/>
      <c r="H58" s="1217"/>
      <c r="I58" s="1215" t="s">
        <v>1016</v>
      </c>
      <c r="J58" s="1218"/>
    </row>
    <row r="59" spans="1:10" ht="12.75">
      <c r="A59" s="739">
        <v>40</v>
      </c>
      <c r="B59" s="741" t="s">
        <v>1002</v>
      </c>
      <c r="C59" s="742">
        <v>5822.7</v>
      </c>
      <c r="D59" s="743"/>
      <c r="E59" s="743"/>
      <c r="F59" s="744">
        <v>5409.84</v>
      </c>
      <c r="G59" s="744">
        <v>412.86</v>
      </c>
      <c r="H59" s="744"/>
      <c r="I59" s="745"/>
      <c r="J59" s="746"/>
    </row>
    <row r="60" spans="1:10" ht="12.75">
      <c r="A60" s="739">
        <v>41</v>
      </c>
      <c r="B60" s="741" t="s">
        <v>1017</v>
      </c>
      <c r="C60" s="742">
        <v>11645.4</v>
      </c>
      <c r="D60" s="743"/>
      <c r="E60" s="743"/>
      <c r="F60" s="744">
        <v>11645.4</v>
      </c>
      <c r="G60" s="744">
        <v>0</v>
      </c>
      <c r="H60" s="747"/>
      <c r="I60" s="748"/>
      <c r="J60" s="749"/>
    </row>
    <row r="61" spans="1:10" ht="13.5" thickBot="1">
      <c r="A61" s="739">
        <v>42</v>
      </c>
      <c r="B61" s="750" t="s">
        <v>1018</v>
      </c>
      <c r="C61" s="751">
        <v>98985.9</v>
      </c>
      <c r="D61" s="752"/>
      <c r="E61" s="752"/>
      <c r="F61" s="753">
        <v>14847.89</v>
      </c>
      <c r="G61" s="753">
        <v>84138.01</v>
      </c>
      <c r="H61" s="754"/>
      <c r="I61" s="755">
        <f>12930+1521+1095+6751</f>
        <v>22297</v>
      </c>
      <c r="J61" s="756"/>
    </row>
    <row r="62" spans="1:10" ht="13.5" thickBot="1">
      <c r="A62" s="739">
        <v>43</v>
      </c>
      <c r="B62" s="757" t="s">
        <v>1004</v>
      </c>
      <c r="C62" s="758">
        <f>SUM(D62:H62)</f>
        <v>116454</v>
      </c>
      <c r="D62" s="759">
        <v>0</v>
      </c>
      <c r="E62" s="759">
        <v>0</v>
      </c>
      <c r="F62" s="759">
        <f>SUM(F59:F61)</f>
        <v>31903.129999999997</v>
      </c>
      <c r="G62" s="759">
        <f>SUM(G59:G61)</f>
        <v>84550.87</v>
      </c>
      <c r="H62" s="759">
        <f>SUM(H59:H61)</f>
        <v>0</v>
      </c>
      <c r="I62" s="760">
        <f>SUM(I59:I61)</f>
        <v>22297</v>
      </c>
      <c r="J62" s="761">
        <v>0</v>
      </c>
    </row>
    <row r="63" spans="1:10" ht="7.5" customHeight="1" thickBot="1">
      <c r="A63" s="762"/>
      <c r="B63" s="1212"/>
      <c r="C63" s="1213"/>
      <c r="D63" s="1213"/>
      <c r="E63" s="1213"/>
      <c r="F63" s="1213"/>
      <c r="G63" s="1213"/>
      <c r="H63" s="1213"/>
      <c r="I63" s="1213"/>
      <c r="J63" s="1214"/>
    </row>
    <row r="64" spans="1:10" ht="12.75">
      <c r="A64" s="739">
        <v>44</v>
      </c>
      <c r="B64" s="769" t="s">
        <v>1019</v>
      </c>
      <c r="C64" s="770">
        <v>82240</v>
      </c>
      <c r="D64" s="771"/>
      <c r="E64" s="771"/>
      <c r="F64" s="771">
        <v>30663.79</v>
      </c>
      <c r="G64" s="772">
        <v>51576.21</v>
      </c>
      <c r="H64" s="772"/>
      <c r="I64" s="773"/>
      <c r="J64" s="774"/>
    </row>
    <row r="65" spans="1:10" ht="12.75">
      <c r="A65" s="739">
        <v>45</v>
      </c>
      <c r="B65" s="741" t="s">
        <v>1020</v>
      </c>
      <c r="C65" s="742">
        <v>0</v>
      </c>
      <c r="D65" s="743"/>
      <c r="E65" s="743"/>
      <c r="F65" s="743"/>
      <c r="G65" s="743"/>
      <c r="H65" s="744"/>
      <c r="I65" s="763"/>
      <c r="J65" s="764"/>
    </row>
    <row r="66" spans="1:10" ht="12.75">
      <c r="A66" s="739">
        <v>46</v>
      </c>
      <c r="B66" s="741" t="s">
        <v>1021</v>
      </c>
      <c r="C66" s="742">
        <v>5140</v>
      </c>
      <c r="D66" s="743"/>
      <c r="E66" s="743"/>
      <c r="F66" s="743"/>
      <c r="G66" s="743">
        <v>5140</v>
      </c>
      <c r="H66" s="744"/>
      <c r="I66" s="763"/>
      <c r="J66" s="764"/>
    </row>
    <row r="67" spans="1:10" ht="12.75">
      <c r="A67" s="739">
        <v>47</v>
      </c>
      <c r="B67" s="741" t="s">
        <v>1022</v>
      </c>
      <c r="C67" s="742">
        <v>9480</v>
      </c>
      <c r="D67" s="743"/>
      <c r="E67" s="743"/>
      <c r="F67" s="743"/>
      <c r="G67" s="743">
        <v>9480</v>
      </c>
      <c r="H67" s="744"/>
      <c r="I67" s="763"/>
      <c r="J67" s="764">
        <f>724+394+106</f>
        <v>1224</v>
      </c>
    </row>
    <row r="68" spans="1:10" ht="25.5">
      <c r="A68" s="739">
        <v>48</v>
      </c>
      <c r="B68" s="866" t="s">
        <v>1174</v>
      </c>
      <c r="C68" s="742"/>
      <c r="D68" s="743"/>
      <c r="E68" s="743"/>
      <c r="F68" s="743"/>
      <c r="G68" s="743"/>
      <c r="H68" s="744"/>
      <c r="I68" s="763"/>
      <c r="J68" s="764">
        <v>260</v>
      </c>
    </row>
    <row r="69" spans="1:10" ht="12.75">
      <c r="A69" s="739">
        <v>49</v>
      </c>
      <c r="B69" s="865" t="s">
        <v>1008</v>
      </c>
      <c r="C69" s="742">
        <v>19594</v>
      </c>
      <c r="D69" s="743"/>
      <c r="E69" s="743"/>
      <c r="F69" s="743">
        <v>1239.34</v>
      </c>
      <c r="G69" s="744">
        <v>18354.66</v>
      </c>
      <c r="H69" s="744"/>
      <c r="I69" s="763"/>
      <c r="J69" s="764">
        <v>0</v>
      </c>
    </row>
    <row r="70" spans="1:10" ht="13.5" thickBot="1">
      <c r="A70" s="739">
        <v>50</v>
      </c>
      <c r="B70" s="741" t="s">
        <v>1009</v>
      </c>
      <c r="C70" s="763">
        <v>0</v>
      </c>
      <c r="D70" s="743"/>
      <c r="E70" s="743"/>
      <c r="F70" s="743"/>
      <c r="G70" s="743"/>
      <c r="H70" s="744"/>
      <c r="I70" s="763"/>
      <c r="J70" s="764">
        <f>337+5+50+560-117</f>
        <v>835</v>
      </c>
    </row>
    <row r="71" spans="1:10" ht="13.5" thickBot="1">
      <c r="A71" s="765">
        <v>51</v>
      </c>
      <c r="B71" s="757" t="s">
        <v>561</v>
      </c>
      <c r="C71" s="758">
        <f>SUM(D71:H71)</f>
        <v>116454</v>
      </c>
      <c r="D71" s="759">
        <v>0</v>
      </c>
      <c r="E71" s="759">
        <v>0</v>
      </c>
      <c r="F71" s="759">
        <f>SUM(F64:F70)</f>
        <v>31903.13</v>
      </c>
      <c r="G71" s="759">
        <f>SUM(G64:G70)</f>
        <v>84550.87</v>
      </c>
      <c r="H71" s="759">
        <f>SUM(H64:H70)</f>
        <v>0</v>
      </c>
      <c r="I71" s="760">
        <v>0</v>
      </c>
      <c r="J71" s="761">
        <f>SUM(J64:J70)</f>
        <v>2319</v>
      </c>
    </row>
    <row r="72" spans="1:10" ht="13.5" thickBot="1">
      <c r="A72" s="766"/>
      <c r="B72" s="767"/>
      <c r="C72" s="767"/>
      <c r="D72" s="767"/>
      <c r="E72" s="767"/>
      <c r="F72" s="767"/>
      <c r="G72" s="767"/>
      <c r="H72" s="767"/>
      <c r="I72" s="767"/>
      <c r="J72" s="768"/>
    </row>
    <row r="73" spans="1:10" ht="16.5" thickBot="1" thickTop="1">
      <c r="A73" s="714">
        <v>52</v>
      </c>
      <c r="B73" s="1162" t="s">
        <v>1191</v>
      </c>
      <c r="C73" s="1163"/>
      <c r="D73" s="1163"/>
      <c r="E73" s="1163"/>
      <c r="F73" s="1163"/>
      <c r="G73" s="1163"/>
      <c r="H73" s="1163"/>
      <c r="I73" s="1163"/>
      <c r="J73" s="1164"/>
    </row>
    <row r="74" spans="1:10" ht="12.75">
      <c r="A74" s="678">
        <v>53</v>
      </c>
      <c r="B74" s="736" t="s">
        <v>1002</v>
      </c>
      <c r="C74" s="695"/>
      <c r="D74" s="734"/>
      <c r="E74" s="681"/>
      <c r="F74" s="681"/>
      <c r="G74" s="681"/>
      <c r="H74" s="681"/>
      <c r="I74" s="682"/>
      <c r="J74" s="682"/>
    </row>
    <row r="75" spans="1:10" ht="13.5" thickBot="1">
      <c r="A75" s="678">
        <v>54</v>
      </c>
      <c r="B75" s="683" t="s">
        <v>1003</v>
      </c>
      <c r="C75" s="704"/>
      <c r="D75" s="720"/>
      <c r="E75" s="240"/>
      <c r="F75" s="240"/>
      <c r="G75" s="240"/>
      <c r="H75" s="240"/>
      <c r="I75" s="686"/>
      <c r="J75" s="686"/>
    </row>
    <row r="76" spans="1:10" ht="13.5" thickBot="1">
      <c r="A76" s="678">
        <v>55</v>
      </c>
      <c r="B76" s="687" t="s">
        <v>1004</v>
      </c>
      <c r="C76" s="688">
        <f aca="true" t="shared" si="6" ref="C76:H76">SUM(C74:C75)</f>
        <v>0</v>
      </c>
      <c r="D76" s="689">
        <f t="shared" si="6"/>
        <v>0</v>
      </c>
      <c r="E76" s="689">
        <f t="shared" si="6"/>
        <v>0</v>
      </c>
      <c r="F76" s="689">
        <f t="shared" si="6"/>
        <v>0</v>
      </c>
      <c r="G76" s="689">
        <f t="shared" si="6"/>
        <v>0</v>
      </c>
      <c r="H76" s="690">
        <f t="shared" si="6"/>
        <v>0</v>
      </c>
      <c r="I76" s="691">
        <f>SUM(I74+I75)</f>
        <v>0</v>
      </c>
      <c r="J76" s="692">
        <f>SUM(J74+J75)</f>
        <v>0</v>
      </c>
    </row>
    <row r="77" spans="1:10" ht="7.5" customHeight="1" thickBot="1">
      <c r="A77" s="678"/>
      <c r="B77" s="1165"/>
      <c r="C77" s="1166"/>
      <c r="D77" s="1166"/>
      <c r="E77" s="1166"/>
      <c r="F77" s="1166"/>
      <c r="G77" s="1166"/>
      <c r="H77" s="1166"/>
      <c r="I77" s="1167"/>
      <c r="J77" s="239"/>
    </row>
    <row r="78" spans="1:10" ht="12.75">
      <c r="A78" s="693">
        <v>56</v>
      </c>
      <c r="B78" s="724" t="s">
        <v>1005</v>
      </c>
      <c r="C78" s="695"/>
      <c r="D78" s="735"/>
      <c r="E78" s="681"/>
      <c r="F78" s="681"/>
      <c r="G78" s="681"/>
      <c r="H78" s="725"/>
      <c r="I78" s="682"/>
      <c r="J78" s="682"/>
    </row>
    <row r="79" spans="1:10" ht="13.5" thickBot="1">
      <c r="A79" s="693">
        <v>57</v>
      </c>
      <c r="B79" s="699" t="s">
        <v>1006</v>
      </c>
      <c r="C79" s="697"/>
      <c r="D79" s="700"/>
      <c r="E79" s="700"/>
      <c r="F79" s="700"/>
      <c r="G79" s="700"/>
      <c r="H79" s="726"/>
      <c r="I79" s="686"/>
      <c r="J79" s="686">
        <v>6906</v>
      </c>
    </row>
    <row r="80" spans="1:10" ht="13.5" thickBot="1">
      <c r="A80" s="731">
        <v>58</v>
      </c>
      <c r="B80" s="732" t="s">
        <v>561</v>
      </c>
      <c r="C80" s="709">
        <f>SUM(C78:C79)</f>
        <v>0</v>
      </c>
      <c r="D80" s="710">
        <v>0</v>
      </c>
      <c r="E80" s="710">
        <v>0</v>
      </c>
      <c r="F80" s="710">
        <v>0</v>
      </c>
      <c r="G80" s="710">
        <v>0</v>
      </c>
      <c r="H80" s="710">
        <v>0</v>
      </c>
      <c r="I80" s="709">
        <v>0</v>
      </c>
      <c r="J80" s="712">
        <f>SUM(J77:J79)</f>
        <v>6906</v>
      </c>
    </row>
    <row r="81" ht="13.5" thickTop="1"/>
  </sheetData>
  <sheetProtection/>
  <mergeCells count="35">
    <mergeCell ref="B38:J38"/>
    <mergeCell ref="B63:J63"/>
    <mergeCell ref="B43:I43"/>
    <mergeCell ref="B47:J47"/>
    <mergeCell ref="B48:J48"/>
    <mergeCell ref="B52:I52"/>
    <mergeCell ref="B57:J57"/>
    <mergeCell ref="C58:H58"/>
    <mergeCell ref="I58:J58"/>
    <mergeCell ref="G26:G27"/>
    <mergeCell ref="H26:H27"/>
    <mergeCell ref="B31:I31"/>
    <mergeCell ref="D32:D33"/>
    <mergeCell ref="E32:E33"/>
    <mergeCell ref="F32:F33"/>
    <mergeCell ref="D9:H9"/>
    <mergeCell ref="B39:I39"/>
    <mergeCell ref="B12:J12"/>
    <mergeCell ref="B13:I13"/>
    <mergeCell ref="B17:I17"/>
    <mergeCell ref="B24:J24"/>
    <mergeCell ref="B25:I25"/>
    <mergeCell ref="D26:D27"/>
    <mergeCell ref="E26:E27"/>
    <mergeCell ref="F26:F27"/>
    <mergeCell ref="B73:J73"/>
    <mergeCell ref="B77:I77"/>
    <mergeCell ref="B1:J1"/>
    <mergeCell ref="B4:J4"/>
    <mergeCell ref="A8:A10"/>
    <mergeCell ref="B8:B10"/>
    <mergeCell ref="C8:H8"/>
    <mergeCell ref="I8:I10"/>
    <mergeCell ref="J8:J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54"/>
  <sheetViews>
    <sheetView zoomScalePageLayoutView="0" workbookViewId="0" topLeftCell="D1">
      <selection activeCell="N54" sqref="N54"/>
    </sheetView>
  </sheetViews>
  <sheetFormatPr defaultColWidth="9.00390625" defaultRowHeight="12.75"/>
  <cols>
    <col min="1" max="1" width="5.125" style="69" bestFit="1" customWidth="1"/>
    <col min="2" max="2" width="8.875" style="62" customWidth="1"/>
    <col min="3" max="3" width="65.00390625" style="62" customWidth="1"/>
    <col min="4" max="4" width="9.75390625" style="62" bestFit="1" customWidth="1"/>
    <col min="5" max="5" width="10.375" style="62" bestFit="1" customWidth="1"/>
    <col min="6" max="6" width="16.875" style="62" customWidth="1"/>
    <col min="7" max="7" width="9.75390625" style="62" bestFit="1" customWidth="1"/>
    <col min="8" max="8" width="11.25390625" style="62" customWidth="1"/>
    <col min="9" max="9" width="9.625" style="62" customWidth="1"/>
    <col min="10" max="10" width="11.25390625" style="62" customWidth="1"/>
    <col min="11" max="11" width="16.125" style="62" customWidth="1"/>
    <col min="12" max="12" width="20.875" style="62" customWidth="1"/>
    <col min="13" max="13" width="9.125" style="62" customWidth="1"/>
    <col min="14" max="14" width="12.25390625" style="62" customWidth="1"/>
    <col min="15" max="16384" width="9.125" style="62" customWidth="1"/>
  </cols>
  <sheetData>
    <row r="1" spans="9:12" ht="15">
      <c r="I1" s="561"/>
      <c r="L1" s="562" t="s">
        <v>1203</v>
      </c>
    </row>
    <row r="2" spans="1:12" s="48" customFormat="1" ht="15.75">
      <c r="A2" s="1219" t="s">
        <v>781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47"/>
    </row>
    <row r="3" spans="1:12" s="48" customFormat="1" ht="15.75">
      <c r="A3" s="1220" t="s">
        <v>1072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49"/>
    </row>
    <row r="4" ht="13.5" thickBot="1"/>
    <row r="5" spans="1:14" s="55" customFormat="1" ht="40.5" customHeight="1">
      <c r="A5" s="1221" t="s">
        <v>644</v>
      </c>
      <c r="B5" s="1221"/>
      <c r="C5" s="1222"/>
      <c r="D5" s="1223" t="s">
        <v>642</v>
      </c>
      <c r="E5" s="1221"/>
      <c r="F5" s="1224"/>
      <c r="G5" s="1225" t="s">
        <v>779</v>
      </c>
      <c r="H5" s="1226"/>
      <c r="I5" s="1226"/>
      <c r="J5" s="1227"/>
      <c r="K5" s="1228"/>
      <c r="L5" s="1231" t="s">
        <v>556</v>
      </c>
      <c r="N5" s="55" t="s">
        <v>689</v>
      </c>
    </row>
    <row r="6" spans="1:12" s="55" customFormat="1" ht="25.5">
      <c r="A6" s="1235" t="s">
        <v>645</v>
      </c>
      <c r="B6" s="1236"/>
      <c r="C6" s="50" t="s">
        <v>646</v>
      </c>
      <c r="D6" s="51" t="s">
        <v>647</v>
      </c>
      <c r="E6" s="53" t="s">
        <v>648</v>
      </c>
      <c r="F6" s="54" t="s">
        <v>688</v>
      </c>
      <c r="G6" s="51" t="s">
        <v>650</v>
      </c>
      <c r="H6" s="52" t="s">
        <v>665</v>
      </c>
      <c r="I6" s="52" t="s">
        <v>651</v>
      </c>
      <c r="J6" s="52" t="s">
        <v>665</v>
      </c>
      <c r="K6" s="54" t="s">
        <v>649</v>
      </c>
      <c r="L6" s="1232"/>
    </row>
    <row r="7" spans="1:12" s="160" customFormat="1" ht="12" customHeight="1">
      <c r="A7" s="1237" t="s">
        <v>626</v>
      </c>
      <c r="B7" s="1237"/>
      <c r="C7" s="155" t="s">
        <v>627</v>
      </c>
      <c r="D7" s="156" t="s">
        <v>628</v>
      </c>
      <c r="E7" s="157" t="s">
        <v>629</v>
      </c>
      <c r="F7" s="158" t="s">
        <v>630</v>
      </c>
      <c r="G7" s="156" t="s">
        <v>631</v>
      </c>
      <c r="H7" s="159" t="s">
        <v>634</v>
      </c>
      <c r="I7" s="159" t="s">
        <v>635</v>
      </c>
      <c r="J7" s="159" t="s">
        <v>586</v>
      </c>
      <c r="K7" s="158" t="s">
        <v>587</v>
      </c>
      <c r="L7" s="557" t="s">
        <v>588</v>
      </c>
    </row>
    <row r="8" spans="1:14" s="189" customFormat="1" ht="28.5" customHeight="1">
      <c r="A8" s="193" t="s">
        <v>672</v>
      </c>
      <c r="B8" s="194"/>
      <c r="C8" s="195" t="s">
        <v>686</v>
      </c>
      <c r="D8" s="196"/>
      <c r="E8" s="197"/>
      <c r="F8" s="198">
        <f>F9+F10+F15+F16+F17</f>
        <v>204291297</v>
      </c>
      <c r="G8" s="196"/>
      <c r="H8" s="199"/>
      <c r="I8" s="199"/>
      <c r="J8" s="197"/>
      <c r="K8" s="198">
        <f>K9+K10+K15+K16+K17</f>
        <v>123444</v>
      </c>
      <c r="L8" s="558">
        <f aca="true" t="shared" si="0" ref="L8:L14">F8+K8</f>
        <v>204414741</v>
      </c>
      <c r="M8" s="188"/>
      <c r="N8" s="588">
        <f>SUM(N9:N17)</f>
        <v>204414741</v>
      </c>
    </row>
    <row r="9" spans="1:14" s="185" customFormat="1" ht="21.75" customHeight="1">
      <c r="A9" s="177"/>
      <c r="B9" s="178" t="s">
        <v>783</v>
      </c>
      <c r="C9" s="179" t="s">
        <v>666</v>
      </c>
      <c r="D9" s="516">
        <v>26.89</v>
      </c>
      <c r="E9" s="181">
        <v>4580000</v>
      </c>
      <c r="F9" s="182">
        <f>D9*E9</f>
        <v>123156200</v>
      </c>
      <c r="G9" s="180"/>
      <c r="H9" s="183"/>
      <c r="I9" s="183"/>
      <c r="J9" s="181"/>
      <c r="K9" s="182"/>
      <c r="L9" s="559">
        <f t="shared" si="0"/>
        <v>123156200</v>
      </c>
      <c r="M9" s="184"/>
      <c r="N9" s="191">
        <f>SUM(L9)</f>
        <v>123156200</v>
      </c>
    </row>
    <row r="10" spans="1:14" s="185" customFormat="1" ht="19.5" customHeight="1">
      <c r="A10" s="177"/>
      <c r="B10" s="178" t="s">
        <v>784</v>
      </c>
      <c r="C10" s="179" t="s">
        <v>231</v>
      </c>
      <c r="D10" s="180"/>
      <c r="E10" s="181"/>
      <c r="F10" s="182">
        <f>SUM(F11:F14)</f>
        <v>63413420</v>
      </c>
      <c r="G10" s="180"/>
      <c r="H10" s="183"/>
      <c r="I10" s="183"/>
      <c r="J10" s="181"/>
      <c r="K10" s="182"/>
      <c r="L10" s="559">
        <f t="shared" si="0"/>
        <v>63413420</v>
      </c>
      <c r="M10" s="184"/>
      <c r="N10" s="191">
        <f>SUM(L11:L14)</f>
        <v>63413420</v>
      </c>
    </row>
    <row r="11" spans="1:14" ht="12.75">
      <c r="A11" s="56"/>
      <c r="B11" s="175" t="s">
        <v>785</v>
      </c>
      <c r="C11" s="176" t="s">
        <v>667</v>
      </c>
      <c r="D11" s="57"/>
      <c r="E11" s="58"/>
      <c r="F11" s="59">
        <v>18213050</v>
      </c>
      <c r="G11" s="57"/>
      <c r="H11" s="60"/>
      <c r="I11" s="60"/>
      <c r="J11" s="58"/>
      <c r="K11" s="59"/>
      <c r="L11" s="560">
        <f t="shared" si="0"/>
        <v>18213050</v>
      </c>
      <c r="M11" s="61"/>
      <c r="N11" s="191"/>
    </row>
    <row r="12" spans="1:14" ht="12.75">
      <c r="A12" s="56"/>
      <c r="B12" s="175" t="s">
        <v>786</v>
      </c>
      <c r="C12" s="176" t="s">
        <v>668</v>
      </c>
      <c r="D12" s="57"/>
      <c r="E12" s="58"/>
      <c r="F12" s="59">
        <v>30048000</v>
      </c>
      <c r="G12" s="57"/>
      <c r="H12" s="60"/>
      <c r="I12" s="60"/>
      <c r="J12" s="58"/>
      <c r="K12" s="59"/>
      <c r="L12" s="560">
        <f t="shared" si="0"/>
        <v>30048000</v>
      </c>
      <c r="M12" s="61"/>
      <c r="N12" s="191"/>
    </row>
    <row r="13" spans="1:14" ht="12.75">
      <c r="A13" s="56"/>
      <c r="B13" s="175" t="s">
        <v>787</v>
      </c>
      <c r="C13" s="176" t="s">
        <v>669</v>
      </c>
      <c r="D13" s="57"/>
      <c r="E13" s="58"/>
      <c r="F13" s="59">
        <v>100000</v>
      </c>
      <c r="G13" s="57"/>
      <c r="H13" s="60"/>
      <c r="I13" s="60"/>
      <c r="J13" s="58"/>
      <c r="K13" s="59"/>
      <c r="L13" s="560">
        <f t="shared" si="0"/>
        <v>100000</v>
      </c>
      <c r="M13" s="61"/>
      <c r="N13" s="191"/>
    </row>
    <row r="14" spans="1:14" ht="12.75">
      <c r="A14" s="56"/>
      <c r="B14" s="175" t="s">
        <v>788</v>
      </c>
      <c r="C14" s="176" t="s">
        <v>670</v>
      </c>
      <c r="D14" s="57"/>
      <c r="E14" s="58"/>
      <c r="F14" s="59">
        <v>15052370</v>
      </c>
      <c r="G14" s="57"/>
      <c r="H14" s="60"/>
      <c r="I14" s="60"/>
      <c r="J14" s="58"/>
      <c r="K14" s="59"/>
      <c r="L14" s="560">
        <f t="shared" si="0"/>
        <v>15052370</v>
      </c>
      <c r="M14" s="61"/>
      <c r="N14" s="191"/>
    </row>
    <row r="15" spans="1:14" s="185" customFormat="1" ht="12.75">
      <c r="A15" s="177"/>
      <c r="B15" s="178" t="s">
        <v>789</v>
      </c>
      <c r="C15" s="186" t="s">
        <v>232</v>
      </c>
      <c r="D15" s="180"/>
      <c r="E15" s="181"/>
      <c r="F15" s="182">
        <v>16560564</v>
      </c>
      <c r="G15" s="180"/>
      <c r="H15" s="183"/>
      <c r="I15" s="183"/>
      <c r="J15" s="181"/>
      <c r="K15" s="182"/>
      <c r="L15" s="559">
        <f>F15+K15</f>
        <v>16560564</v>
      </c>
      <c r="M15" s="184"/>
      <c r="N15" s="191">
        <f>SUM(L15)</f>
        <v>16560564</v>
      </c>
    </row>
    <row r="16" spans="1:14" s="185" customFormat="1" ht="12.75">
      <c r="A16" s="177"/>
      <c r="B16" s="178" t="s">
        <v>790</v>
      </c>
      <c r="C16" s="186" t="s">
        <v>203</v>
      </c>
      <c r="D16" s="180">
        <v>300</v>
      </c>
      <c r="E16" s="181">
        <v>2550</v>
      </c>
      <c r="F16" s="182">
        <f>D16*E16</f>
        <v>765000</v>
      </c>
      <c r="G16" s="180"/>
      <c r="H16" s="183"/>
      <c r="I16" s="183"/>
      <c r="J16" s="181"/>
      <c r="K16" s="182"/>
      <c r="L16" s="559">
        <f>F16+K16</f>
        <v>765000</v>
      </c>
      <c r="M16" s="184"/>
      <c r="N16" s="191">
        <f>SUM(L16)</f>
        <v>765000</v>
      </c>
    </row>
    <row r="17" spans="1:14" s="185" customFormat="1" ht="12.75">
      <c r="A17" s="177"/>
      <c r="B17" s="178" t="s">
        <v>791</v>
      </c>
      <c r="C17" s="186" t="s">
        <v>782</v>
      </c>
      <c r="D17" s="180"/>
      <c r="E17" s="181"/>
      <c r="F17" s="182">
        <v>396113</v>
      </c>
      <c r="G17" s="180"/>
      <c r="H17" s="183"/>
      <c r="I17" s="183"/>
      <c r="J17" s="181"/>
      <c r="K17" s="182">
        <v>123444</v>
      </c>
      <c r="L17" s="559">
        <f>F17+K17</f>
        <v>519557</v>
      </c>
      <c r="M17" s="184"/>
      <c r="N17" s="191">
        <f>SUM(L17)</f>
        <v>519557</v>
      </c>
    </row>
    <row r="18" spans="1:14" ht="25.5">
      <c r="A18" s="193" t="s">
        <v>671</v>
      </c>
      <c r="B18" s="200"/>
      <c r="C18" s="195" t="s">
        <v>233</v>
      </c>
      <c r="D18" s="201"/>
      <c r="E18" s="202"/>
      <c r="F18" s="203">
        <f>SUM(F25+F24+F23+F19)</f>
        <v>6037500</v>
      </c>
      <c r="G18" s="201"/>
      <c r="H18" s="204"/>
      <c r="I18" s="204"/>
      <c r="J18" s="202"/>
      <c r="K18" s="203">
        <f>K19+K23+K24+K25</f>
        <v>129947633.33333333</v>
      </c>
      <c r="L18" s="556">
        <f>F18+K18</f>
        <v>135985133.3333333</v>
      </c>
      <c r="M18" s="61"/>
      <c r="N18" s="587">
        <f>SUM(N23:N25,N19)</f>
        <v>135985133.33333334</v>
      </c>
    </row>
    <row r="19" spans="1:14" s="185" customFormat="1" ht="25.5">
      <c r="A19" s="190"/>
      <c r="B19" s="178" t="s">
        <v>673</v>
      </c>
      <c r="C19" s="179" t="s">
        <v>234</v>
      </c>
      <c r="D19" s="180"/>
      <c r="E19" s="181"/>
      <c r="F19" s="182"/>
      <c r="G19" s="180"/>
      <c r="H19" s="183"/>
      <c r="I19" s="183"/>
      <c r="J19" s="181"/>
      <c r="K19" s="182">
        <f>SUM(K20:K22)</f>
        <v>110702300</v>
      </c>
      <c r="L19" s="559">
        <f>SUM(K19,F19)</f>
        <v>110702300</v>
      </c>
      <c r="M19" s="184"/>
      <c r="N19" s="191">
        <f>SUM(L20:L22)</f>
        <v>110702300</v>
      </c>
    </row>
    <row r="20" spans="1:14" ht="12.75">
      <c r="A20" s="56"/>
      <c r="B20" s="175" t="s">
        <v>676</v>
      </c>
      <c r="C20" s="176" t="s">
        <v>675</v>
      </c>
      <c r="D20" s="57"/>
      <c r="E20" s="58"/>
      <c r="F20" s="59"/>
      <c r="G20" s="856">
        <v>19.9</v>
      </c>
      <c r="H20" s="60">
        <v>4152000</v>
      </c>
      <c r="I20" s="519">
        <v>18.9</v>
      </c>
      <c r="J20" s="58">
        <v>4152000</v>
      </c>
      <c r="K20" s="59">
        <f>(G20/12*8*H20)+(I20/12*4*J20)</f>
        <v>81240800</v>
      </c>
      <c r="L20" s="560">
        <f aca="true" t="shared" si="1" ref="L20:L31">F20+K20</f>
        <v>81240800</v>
      </c>
      <c r="M20" s="61"/>
      <c r="N20" s="191"/>
    </row>
    <row r="21" spans="1:14" ht="12.75">
      <c r="A21" s="56"/>
      <c r="B21" s="175" t="s">
        <v>677</v>
      </c>
      <c r="C21" s="176" t="s">
        <v>235</v>
      </c>
      <c r="D21" s="57"/>
      <c r="E21" s="58"/>
      <c r="F21" s="59"/>
      <c r="G21" s="517">
        <v>16</v>
      </c>
      <c r="H21" s="60">
        <v>1800000</v>
      </c>
      <c r="I21" s="519">
        <v>16</v>
      </c>
      <c r="J21" s="58">
        <v>1800000</v>
      </c>
      <c r="K21" s="59">
        <f>(G21/12*8*H21)+(I21/12*4*J21)</f>
        <v>28800000</v>
      </c>
      <c r="L21" s="560">
        <f t="shared" si="1"/>
        <v>28800000</v>
      </c>
      <c r="M21" s="61"/>
      <c r="N21" s="191"/>
    </row>
    <row r="22" spans="1:14" ht="12.75">
      <c r="A22" s="56"/>
      <c r="B22" s="175" t="s">
        <v>236</v>
      </c>
      <c r="C22" s="176" t="s">
        <v>792</v>
      </c>
      <c r="D22" s="57"/>
      <c r="E22" s="58"/>
      <c r="F22" s="59"/>
      <c r="G22" s="57"/>
      <c r="H22" s="60"/>
      <c r="I22" s="519">
        <v>18.9</v>
      </c>
      <c r="J22" s="58">
        <v>35000</v>
      </c>
      <c r="K22" s="59">
        <f>I22*J22</f>
        <v>661500</v>
      </c>
      <c r="L22" s="560">
        <f t="shared" si="1"/>
        <v>661500</v>
      </c>
      <c r="M22" s="61"/>
      <c r="N22" s="191"/>
    </row>
    <row r="23" spans="1:14" s="185" customFormat="1" ht="18" customHeight="1">
      <c r="A23" s="177"/>
      <c r="B23" s="178" t="s">
        <v>678</v>
      </c>
      <c r="C23" s="186" t="s">
        <v>679</v>
      </c>
      <c r="D23" s="192"/>
      <c r="E23" s="187"/>
      <c r="F23" s="182"/>
      <c r="G23" s="518">
        <v>222</v>
      </c>
      <c r="H23" s="183">
        <v>70000</v>
      </c>
      <c r="I23" s="863">
        <v>205</v>
      </c>
      <c r="J23" s="181">
        <v>70000</v>
      </c>
      <c r="K23" s="182">
        <f>(G23/12*8*H23)+(I23/12*4*J23)</f>
        <v>15143333.333333332</v>
      </c>
      <c r="L23" s="559">
        <f t="shared" si="1"/>
        <v>15143333.333333332</v>
      </c>
      <c r="M23" s="184"/>
      <c r="N23" s="191">
        <f>SUM(L23)</f>
        <v>15143333.333333332</v>
      </c>
    </row>
    <row r="24" spans="1:14" s="185" customFormat="1" ht="18" customHeight="1">
      <c r="A24" s="177"/>
      <c r="B24" s="178" t="s">
        <v>793</v>
      </c>
      <c r="C24" s="186" t="s">
        <v>794</v>
      </c>
      <c r="D24" s="862">
        <v>483</v>
      </c>
      <c r="E24" s="861">
        <v>12500</v>
      </c>
      <c r="F24" s="182">
        <f>E24*D24</f>
        <v>6037500</v>
      </c>
      <c r="G24" s="518"/>
      <c r="H24" s="183"/>
      <c r="I24" s="520"/>
      <c r="J24" s="181"/>
      <c r="K24" s="182"/>
      <c r="L24" s="559">
        <f>F24+K24</f>
        <v>6037500</v>
      </c>
      <c r="M24" s="184"/>
      <c r="N24" s="191">
        <f>SUM(L24)</f>
        <v>6037500</v>
      </c>
    </row>
    <row r="25" spans="1:14" s="185" customFormat="1" ht="26.25" customHeight="1">
      <c r="A25" s="177"/>
      <c r="B25" s="178" t="s">
        <v>795</v>
      </c>
      <c r="C25" s="179" t="s">
        <v>796</v>
      </c>
      <c r="D25" s="192"/>
      <c r="E25" s="187"/>
      <c r="F25" s="182"/>
      <c r="G25" s="518"/>
      <c r="H25" s="183"/>
      <c r="I25" s="520"/>
      <c r="J25" s="181"/>
      <c r="K25" s="182">
        <f>SUM(K26:K27)</f>
        <v>4102000</v>
      </c>
      <c r="L25" s="559">
        <f>F25+K25</f>
        <v>4102000</v>
      </c>
      <c r="M25" s="184"/>
      <c r="N25" s="191">
        <f>SUM(L26:L27)</f>
        <v>4102000</v>
      </c>
    </row>
    <row r="26" spans="1:14" ht="12.75">
      <c r="A26" s="56"/>
      <c r="B26" s="175" t="s">
        <v>797</v>
      </c>
      <c r="C26" s="176" t="s">
        <v>798</v>
      </c>
      <c r="D26" s="57"/>
      <c r="E26" s="58"/>
      <c r="F26" s="59"/>
      <c r="G26" s="57"/>
      <c r="H26" s="60"/>
      <c r="I26" s="60">
        <v>8</v>
      </c>
      <c r="J26" s="58">
        <v>352000</v>
      </c>
      <c r="K26" s="59">
        <f>I26*J26</f>
        <v>2816000</v>
      </c>
      <c r="L26" s="560">
        <f>SUM(K26)</f>
        <v>2816000</v>
      </c>
      <c r="M26" s="61"/>
      <c r="N26" s="191"/>
    </row>
    <row r="27" spans="1:14" ht="12.75">
      <c r="A27" s="56"/>
      <c r="B27" s="175" t="s">
        <v>799</v>
      </c>
      <c r="C27" s="176" t="s">
        <v>800</v>
      </c>
      <c r="D27" s="57"/>
      <c r="E27" s="58"/>
      <c r="F27" s="59"/>
      <c r="G27" s="57"/>
      <c r="H27" s="60"/>
      <c r="I27" s="60">
        <v>1</v>
      </c>
      <c r="J27" s="58">
        <v>1286000</v>
      </c>
      <c r="K27" s="59">
        <f>I27*J27</f>
        <v>1286000</v>
      </c>
      <c r="L27" s="560">
        <f>SUM(K27)</f>
        <v>1286000</v>
      </c>
      <c r="M27" s="61"/>
      <c r="N27" s="191"/>
    </row>
    <row r="28" spans="1:14" s="185" customFormat="1" ht="25.5">
      <c r="A28" s="193" t="s">
        <v>680</v>
      </c>
      <c r="B28" s="206"/>
      <c r="C28" s="195" t="s">
        <v>237</v>
      </c>
      <c r="D28" s="207"/>
      <c r="E28" s="208"/>
      <c r="F28" s="203">
        <f>SUM(F29:F31,F34)</f>
        <v>182287681</v>
      </c>
      <c r="G28" s="209"/>
      <c r="H28" s="205"/>
      <c r="I28" s="210"/>
      <c r="J28" s="208"/>
      <c r="K28" s="203">
        <f>SUM(K29:K31,K34)</f>
        <v>0</v>
      </c>
      <c r="L28" s="556">
        <f t="shared" si="1"/>
        <v>182287681</v>
      </c>
      <c r="M28" s="184"/>
      <c r="N28" s="587">
        <f>SUM(N29:N31)+N34</f>
        <v>182287681</v>
      </c>
    </row>
    <row r="29" spans="1:14" s="185" customFormat="1" ht="18" customHeight="1">
      <c r="A29" s="177"/>
      <c r="B29" s="178" t="s">
        <v>681</v>
      </c>
      <c r="C29" s="186" t="s">
        <v>801</v>
      </c>
      <c r="D29" s="192"/>
      <c r="E29" s="187"/>
      <c r="F29" s="182">
        <f>35436000+1721000</f>
        <v>37157000</v>
      </c>
      <c r="G29" s="518"/>
      <c r="H29" s="183"/>
      <c r="I29" s="520"/>
      <c r="J29" s="181"/>
      <c r="K29" s="182"/>
      <c r="L29" s="559">
        <f t="shared" si="1"/>
        <v>37157000</v>
      </c>
      <c r="M29" s="184"/>
      <c r="N29" s="191">
        <f>SUM(L29)</f>
        <v>37157000</v>
      </c>
    </row>
    <row r="30" spans="1:14" s="185" customFormat="1" ht="18" customHeight="1">
      <c r="A30" s="177"/>
      <c r="B30" s="178" t="s">
        <v>682</v>
      </c>
      <c r="C30" s="186" t="s">
        <v>802</v>
      </c>
      <c r="D30" s="192"/>
      <c r="E30" s="187"/>
      <c r="F30" s="182">
        <v>77155970</v>
      </c>
      <c r="G30" s="518"/>
      <c r="H30" s="183"/>
      <c r="I30" s="520"/>
      <c r="J30" s="181"/>
      <c r="K30" s="182"/>
      <c r="L30" s="559">
        <f t="shared" si="1"/>
        <v>77155970</v>
      </c>
      <c r="M30" s="184"/>
      <c r="N30" s="191">
        <f>SUM(L30)</f>
        <v>77155970</v>
      </c>
    </row>
    <row r="31" spans="1:14" s="185" customFormat="1" ht="18" customHeight="1">
      <c r="A31" s="177"/>
      <c r="B31" s="178" t="s">
        <v>683</v>
      </c>
      <c r="C31" s="186" t="s">
        <v>684</v>
      </c>
      <c r="D31" s="192"/>
      <c r="E31" s="187"/>
      <c r="F31" s="182">
        <f>SUM(F32:F33)</f>
        <v>7275900</v>
      </c>
      <c r="G31" s="518"/>
      <c r="H31" s="183"/>
      <c r="I31" s="520"/>
      <c r="J31" s="181"/>
      <c r="K31" s="182"/>
      <c r="L31" s="559">
        <f t="shared" si="1"/>
        <v>7275900</v>
      </c>
      <c r="M31" s="184"/>
      <c r="N31" s="191">
        <f>SUM(L32:L33)</f>
        <v>7275900</v>
      </c>
    </row>
    <row r="32" spans="1:14" ht="12.75">
      <c r="A32" s="56"/>
      <c r="B32" s="68" t="s">
        <v>238</v>
      </c>
      <c r="C32" s="176" t="s">
        <v>655</v>
      </c>
      <c r="D32" s="57"/>
      <c r="E32" s="58"/>
      <c r="F32" s="59">
        <v>3637950</v>
      </c>
      <c r="G32" s="65"/>
      <c r="H32" s="60"/>
      <c r="I32" s="64"/>
      <c r="J32" s="58"/>
      <c r="K32" s="59"/>
      <c r="L32" s="560">
        <f aca="true" t="shared" si="2" ref="L32:L40">F32+K32</f>
        <v>3637950</v>
      </c>
      <c r="M32" s="61"/>
      <c r="N32" s="61"/>
    </row>
    <row r="33" spans="1:14" ht="12.75">
      <c r="A33" s="56"/>
      <c r="B33" s="68" t="s">
        <v>239</v>
      </c>
      <c r="C33" s="176" t="s">
        <v>685</v>
      </c>
      <c r="D33" s="57"/>
      <c r="E33" s="58"/>
      <c r="F33" s="59">
        <v>3637950</v>
      </c>
      <c r="G33" s="65"/>
      <c r="H33" s="60"/>
      <c r="I33" s="64"/>
      <c r="J33" s="58"/>
      <c r="K33" s="59"/>
      <c r="L33" s="560">
        <f t="shared" si="2"/>
        <v>3637950</v>
      </c>
      <c r="M33" s="61"/>
      <c r="N33" s="61"/>
    </row>
    <row r="34" spans="1:14" s="185" customFormat="1" ht="18" customHeight="1">
      <c r="A34" s="177"/>
      <c r="B34" s="178" t="s">
        <v>240</v>
      </c>
      <c r="C34" s="186" t="s">
        <v>241</v>
      </c>
      <c r="D34" s="192"/>
      <c r="E34" s="187"/>
      <c r="F34" s="182">
        <f>SUM(F35:F36)</f>
        <v>60698811</v>
      </c>
      <c r="G34" s="518"/>
      <c r="H34" s="183"/>
      <c r="I34" s="520"/>
      <c r="J34" s="181"/>
      <c r="K34" s="182">
        <f>SUM(K35:K36)</f>
        <v>0</v>
      </c>
      <c r="L34" s="559">
        <f t="shared" si="2"/>
        <v>60698811</v>
      </c>
      <c r="M34" s="184"/>
      <c r="N34" s="191">
        <f>SUM(L35:L36)</f>
        <v>60698811</v>
      </c>
    </row>
    <row r="35" spans="1:14" ht="16.5" customHeight="1">
      <c r="A35" s="56"/>
      <c r="B35" s="68" t="s">
        <v>804</v>
      </c>
      <c r="C35" s="521" t="s">
        <v>803</v>
      </c>
      <c r="D35" s="864">
        <v>13.61</v>
      </c>
      <c r="E35" s="63">
        <v>1632000</v>
      </c>
      <c r="F35" s="59">
        <f>E35*D35</f>
        <v>22211520</v>
      </c>
      <c r="G35" s="517"/>
      <c r="H35" s="60"/>
      <c r="I35" s="519"/>
      <c r="J35" s="58"/>
      <c r="K35" s="59"/>
      <c r="L35" s="586">
        <f t="shared" si="2"/>
        <v>22211520</v>
      </c>
      <c r="M35" s="61"/>
      <c r="N35" s="191"/>
    </row>
    <row r="36" spans="1:14" ht="12.75">
      <c r="A36" s="56"/>
      <c r="B36" s="68" t="s">
        <v>242</v>
      </c>
      <c r="C36" s="521" t="s">
        <v>243</v>
      </c>
      <c r="D36" s="522"/>
      <c r="E36" s="58"/>
      <c r="F36" s="59">
        <v>38487291</v>
      </c>
      <c r="G36" s="57"/>
      <c r="H36" s="60"/>
      <c r="I36" s="60"/>
      <c r="J36" s="58"/>
      <c r="K36" s="59"/>
      <c r="L36" s="586">
        <f t="shared" si="2"/>
        <v>38487291</v>
      </c>
      <c r="M36" s="61"/>
      <c r="N36" s="61"/>
    </row>
    <row r="37" spans="1:14" s="185" customFormat="1" ht="12.75">
      <c r="A37" s="193" t="s">
        <v>687</v>
      </c>
      <c r="B37" s="206"/>
      <c r="C37" s="195" t="s">
        <v>664</v>
      </c>
      <c r="D37" s="207"/>
      <c r="E37" s="208"/>
      <c r="F37" s="203">
        <f>SUM(F39+F40)</f>
        <v>10915850</v>
      </c>
      <c r="G37" s="209"/>
      <c r="H37" s="205"/>
      <c r="I37" s="210"/>
      <c r="J37" s="208"/>
      <c r="K37" s="203"/>
      <c r="L37" s="556">
        <f t="shared" si="2"/>
        <v>10915850</v>
      </c>
      <c r="M37" s="184"/>
      <c r="N37" s="587">
        <f>SUM(N39:N40)</f>
        <v>10915850</v>
      </c>
    </row>
    <row r="38" spans="1:14" s="185" customFormat="1" ht="18" customHeight="1">
      <c r="A38" s="177"/>
      <c r="B38" s="178" t="s">
        <v>806</v>
      </c>
      <c r="C38" s="186" t="s">
        <v>807</v>
      </c>
      <c r="D38" s="192"/>
      <c r="E38" s="187"/>
      <c r="F38" s="182"/>
      <c r="G38" s="518"/>
      <c r="H38" s="183"/>
      <c r="I38" s="520"/>
      <c r="J38" s="181"/>
      <c r="K38" s="182"/>
      <c r="L38" s="559"/>
      <c r="M38" s="184"/>
      <c r="N38" s="191"/>
    </row>
    <row r="39" spans="1:14" ht="25.5">
      <c r="A39" s="56"/>
      <c r="B39" s="68" t="s">
        <v>805</v>
      </c>
      <c r="C39" s="521" t="s">
        <v>244</v>
      </c>
      <c r="D39" s="57">
        <v>9210</v>
      </c>
      <c r="E39" s="58">
        <v>1140</v>
      </c>
      <c r="F39" s="59">
        <f>D39*E39</f>
        <v>10499400</v>
      </c>
      <c r="G39" s="67"/>
      <c r="H39" s="66"/>
      <c r="I39" s="64"/>
      <c r="J39" s="63"/>
      <c r="K39" s="59"/>
      <c r="L39" s="560">
        <f t="shared" si="2"/>
        <v>10499400</v>
      </c>
      <c r="M39" s="61"/>
      <c r="N39" s="61">
        <f>SUM(L39)</f>
        <v>10499400</v>
      </c>
    </row>
    <row r="40" spans="1:20" ht="12.75">
      <c r="A40" s="787"/>
      <c r="B40" s="68" t="s">
        <v>1034</v>
      </c>
      <c r="C40" s="788" t="s">
        <v>1035</v>
      </c>
      <c r="D40" s="789"/>
      <c r="E40" s="790"/>
      <c r="F40" s="791">
        <v>416450</v>
      </c>
      <c r="G40" s="792"/>
      <c r="H40" s="793"/>
      <c r="I40" s="794"/>
      <c r="J40" s="795"/>
      <c r="K40" s="791"/>
      <c r="L40" s="560">
        <f t="shared" si="2"/>
        <v>416450</v>
      </c>
      <c r="M40" s="61"/>
      <c r="N40" s="61">
        <f>SUM(L40)</f>
        <v>416450</v>
      </c>
      <c r="O40" s="852"/>
      <c r="P40" s="852"/>
      <c r="Q40" s="852"/>
      <c r="R40" s="852"/>
      <c r="S40" s="852"/>
      <c r="T40" s="852"/>
    </row>
    <row r="41" spans="1:20" s="802" customFormat="1" ht="15.75" thickBot="1">
      <c r="A41" s="1233" t="s">
        <v>690</v>
      </c>
      <c r="B41" s="1233"/>
      <c r="C41" s="1234"/>
      <c r="D41" s="796" t="s">
        <v>652</v>
      </c>
      <c r="E41" s="797" t="s">
        <v>652</v>
      </c>
      <c r="F41" s="798">
        <f>SUM(F37,F28,F18,F8)</f>
        <v>403532328</v>
      </c>
      <c r="G41" s="796" t="s">
        <v>652</v>
      </c>
      <c r="H41" s="799" t="s">
        <v>652</v>
      </c>
      <c r="I41" s="799" t="s">
        <v>652</v>
      </c>
      <c r="J41" s="797" t="s">
        <v>652</v>
      </c>
      <c r="K41" s="798">
        <f>SUM(K37,K28,K18,K8)</f>
        <v>130071077.33333333</v>
      </c>
      <c r="L41" s="800">
        <f>SUM(L37,L28,L18,L8)</f>
        <v>533603405.3333333</v>
      </c>
      <c r="M41" s="801"/>
      <c r="N41" s="775">
        <f>SUM(N37,N28,N18,N8)</f>
        <v>533603405.3333334</v>
      </c>
      <c r="O41" s="852"/>
      <c r="P41" s="852"/>
      <c r="Q41" s="852"/>
      <c r="R41" s="852"/>
      <c r="S41" s="852"/>
      <c r="T41" s="852"/>
    </row>
    <row r="42" spans="1:20" s="804" customFormat="1" ht="7.5" customHeight="1" thickBot="1">
      <c r="A42" s="803"/>
      <c r="L42" s="809"/>
      <c r="N42" s="588"/>
      <c r="O42" s="852"/>
      <c r="P42" s="852"/>
      <c r="Q42" s="852"/>
      <c r="R42" s="852"/>
      <c r="S42" s="852"/>
      <c r="T42" s="852"/>
    </row>
    <row r="43" spans="1:20" s="189" customFormat="1" ht="28.5" customHeight="1">
      <c r="A43" s="810" t="s">
        <v>672</v>
      </c>
      <c r="B43" s="811"/>
      <c r="C43" s="812" t="s">
        <v>1026</v>
      </c>
      <c r="D43" s="813"/>
      <c r="E43" s="814"/>
      <c r="F43" s="815">
        <f>SUM(F44:F46)</f>
        <v>6178051</v>
      </c>
      <c r="G43" s="813"/>
      <c r="H43" s="816"/>
      <c r="I43" s="816"/>
      <c r="J43" s="814"/>
      <c r="K43" s="815">
        <f>SUM(K44:K46)</f>
        <v>1330579</v>
      </c>
      <c r="L43" s="817">
        <f>F43+K43</f>
        <v>7508630</v>
      </c>
      <c r="M43" s="188"/>
      <c r="N43" s="588">
        <f>SUM(N44:N46)</f>
        <v>7508630</v>
      </c>
      <c r="O43" s="852"/>
      <c r="P43" s="852"/>
      <c r="Q43" s="852"/>
      <c r="R43" s="852"/>
      <c r="S43" s="852"/>
      <c r="T43" s="852"/>
    </row>
    <row r="44" spans="1:14" s="185" customFormat="1" ht="26.25" customHeight="1">
      <c r="A44" s="177"/>
      <c r="B44" s="178" t="s">
        <v>1027</v>
      </c>
      <c r="C44" s="179" t="s">
        <v>1028</v>
      </c>
      <c r="D44" s="516"/>
      <c r="E44" s="181"/>
      <c r="F44" s="182">
        <v>1589280</v>
      </c>
      <c r="G44" s="180"/>
      <c r="H44" s="183"/>
      <c r="I44" s="183"/>
      <c r="J44" s="181"/>
      <c r="K44" s="182"/>
      <c r="L44" s="559">
        <f>F44+K44</f>
        <v>1589280</v>
      </c>
      <c r="M44" s="184"/>
      <c r="N44" s="191">
        <f>SUM(L44)</f>
        <v>1589280</v>
      </c>
    </row>
    <row r="45" spans="1:14" s="185" customFormat="1" ht="26.25" customHeight="1">
      <c r="A45" s="177"/>
      <c r="B45" s="178" t="s">
        <v>1070</v>
      </c>
      <c r="C45" s="179" t="s">
        <v>1071</v>
      </c>
      <c r="D45" s="516"/>
      <c r="E45" s="181"/>
      <c r="F45" s="182">
        <v>960000</v>
      </c>
      <c r="G45" s="180"/>
      <c r="H45" s="183"/>
      <c r="I45" s="183"/>
      <c r="J45" s="181"/>
      <c r="K45" s="182"/>
      <c r="L45" s="559">
        <f>F45+K45</f>
        <v>960000</v>
      </c>
      <c r="M45" s="184"/>
      <c r="N45" s="191">
        <f>SUM(L45)</f>
        <v>960000</v>
      </c>
    </row>
    <row r="46" spans="1:14" s="785" customFormat="1" ht="12.75">
      <c r="A46" s="776"/>
      <c r="B46" s="777"/>
      <c r="C46" s="778" t="s">
        <v>1029</v>
      </c>
      <c r="D46" s="779"/>
      <c r="E46" s="780"/>
      <c r="F46" s="781">
        <v>3628771</v>
      </c>
      <c r="G46" s="779"/>
      <c r="H46" s="782"/>
      <c r="I46" s="782"/>
      <c r="J46" s="780"/>
      <c r="K46" s="781">
        <v>1330579</v>
      </c>
      <c r="L46" s="783">
        <f>F46+K46</f>
        <v>4959350</v>
      </c>
      <c r="M46" s="784"/>
      <c r="N46" s="191">
        <f>SUM(L46)</f>
        <v>4959350</v>
      </c>
    </row>
    <row r="47" spans="1:14" s="189" customFormat="1" ht="28.5" customHeight="1">
      <c r="A47" s="193" t="s">
        <v>671</v>
      </c>
      <c r="B47" s="194"/>
      <c r="C47" s="195" t="s">
        <v>1030</v>
      </c>
      <c r="D47" s="196"/>
      <c r="E47" s="197"/>
      <c r="F47" s="198">
        <f>SUM(F48+F49+F51)</f>
        <v>14147928</v>
      </c>
      <c r="G47" s="196"/>
      <c r="H47" s="199"/>
      <c r="I47" s="199"/>
      <c r="J47" s="197"/>
      <c r="K47" s="198">
        <f>SUM(K48+K49+K51)</f>
        <v>0</v>
      </c>
      <c r="L47" s="558">
        <f>F47+K47</f>
        <v>14147928</v>
      </c>
      <c r="M47" s="188"/>
      <c r="N47" s="588">
        <f>SUM(L47)</f>
        <v>14147928</v>
      </c>
    </row>
    <row r="48" spans="1:14" s="185" customFormat="1" ht="26.25" customHeight="1">
      <c r="A48" s="177"/>
      <c r="B48" s="178" t="s">
        <v>1170</v>
      </c>
      <c r="C48" s="179" t="s">
        <v>1171</v>
      </c>
      <c r="D48" s="516"/>
      <c r="E48" s="181"/>
      <c r="F48" s="182">
        <v>977932</v>
      </c>
      <c r="G48" s="180"/>
      <c r="H48" s="183"/>
      <c r="I48" s="183"/>
      <c r="J48" s="181"/>
      <c r="K48" s="182"/>
      <c r="L48" s="559">
        <f>SUM(K48,F48)</f>
        <v>977932</v>
      </c>
      <c r="M48" s="184"/>
      <c r="N48" s="191"/>
    </row>
    <row r="49" spans="1:14" s="185" customFormat="1" ht="15" customHeight="1">
      <c r="A49" s="177"/>
      <c r="B49" s="178" t="s">
        <v>1031</v>
      </c>
      <c r="C49" s="179" t="s">
        <v>1032</v>
      </c>
      <c r="D49" s="516"/>
      <c r="E49" s="181"/>
      <c r="F49" s="182">
        <f>SUM(F50:F50)</f>
        <v>12749996</v>
      </c>
      <c r="G49" s="180"/>
      <c r="H49" s="183"/>
      <c r="I49" s="183"/>
      <c r="J49" s="181"/>
      <c r="K49" s="182"/>
      <c r="L49" s="559">
        <f>SUM(K49,F49)</f>
        <v>12749996</v>
      </c>
      <c r="M49" s="184"/>
      <c r="N49" s="191"/>
    </row>
    <row r="50" spans="1:14" ht="12.75">
      <c r="A50" s="56"/>
      <c r="B50" s="68" t="s">
        <v>1036</v>
      </c>
      <c r="C50" s="786" t="s">
        <v>1033</v>
      </c>
      <c r="D50" s="57"/>
      <c r="E50" s="58"/>
      <c r="F50" s="59">
        <v>12749996</v>
      </c>
      <c r="G50" s="65"/>
      <c r="H50" s="60"/>
      <c r="I50" s="64"/>
      <c r="J50" s="58"/>
      <c r="K50" s="59"/>
      <c r="L50" s="560">
        <f>F50+K50</f>
        <v>12749996</v>
      </c>
      <c r="M50" s="61"/>
      <c r="N50" s="61"/>
    </row>
    <row r="51" spans="1:14" s="185" customFormat="1" ht="26.25" customHeight="1">
      <c r="A51" s="177"/>
      <c r="B51" s="178" t="s">
        <v>1172</v>
      </c>
      <c r="C51" s="179" t="s">
        <v>1173</v>
      </c>
      <c r="D51" s="516"/>
      <c r="E51" s="181"/>
      <c r="F51" s="182">
        <v>420000</v>
      </c>
      <c r="G51" s="180"/>
      <c r="H51" s="183"/>
      <c r="I51" s="183"/>
      <c r="J51" s="181"/>
      <c r="K51" s="182"/>
      <c r="L51" s="559">
        <f>SUM(K51,F51)</f>
        <v>420000</v>
      </c>
      <c r="M51" s="184"/>
      <c r="N51" s="191"/>
    </row>
    <row r="52" spans="1:14" s="802" customFormat="1" ht="15.75" thickBot="1">
      <c r="A52" s="1233" t="s">
        <v>1037</v>
      </c>
      <c r="B52" s="1233"/>
      <c r="C52" s="1234"/>
      <c r="D52" s="796" t="s">
        <v>652</v>
      </c>
      <c r="E52" s="797" t="s">
        <v>652</v>
      </c>
      <c r="F52" s="798">
        <f>SUM(F43+F47)</f>
        <v>20325979</v>
      </c>
      <c r="G52" s="796" t="s">
        <v>652</v>
      </c>
      <c r="H52" s="799" t="s">
        <v>652</v>
      </c>
      <c r="I52" s="799" t="s">
        <v>652</v>
      </c>
      <c r="J52" s="797" t="s">
        <v>652</v>
      </c>
      <c r="K52" s="798">
        <f>SUM(K43+K47)</f>
        <v>1330579</v>
      </c>
      <c r="L52" s="800">
        <f>SUM(L43+L47)</f>
        <v>21656558</v>
      </c>
      <c r="M52" s="801"/>
      <c r="N52" s="775">
        <f>SUM(N43+N47)</f>
        <v>21656558</v>
      </c>
    </row>
    <row r="53" spans="1:12" s="804" customFormat="1" ht="7.5" customHeight="1" thickBot="1">
      <c r="A53" s="803"/>
      <c r="L53" s="809"/>
    </row>
    <row r="54" spans="1:14" s="819" customFormat="1" ht="17.25" thickBot="1">
      <c r="A54" s="1229" t="s">
        <v>245</v>
      </c>
      <c r="B54" s="1229"/>
      <c r="C54" s="1230"/>
      <c r="D54" s="805" t="s">
        <v>652</v>
      </c>
      <c r="E54" s="806" t="s">
        <v>652</v>
      </c>
      <c r="F54" s="807">
        <f>SUM(F41+F52)</f>
        <v>423858307</v>
      </c>
      <c r="G54" s="805" t="s">
        <v>652</v>
      </c>
      <c r="H54" s="808" t="s">
        <v>652</v>
      </c>
      <c r="I54" s="808" t="s">
        <v>652</v>
      </c>
      <c r="J54" s="806" t="s">
        <v>652</v>
      </c>
      <c r="K54" s="807">
        <f>SUM(K41+K52)</f>
        <v>131401656.33333333</v>
      </c>
      <c r="L54" s="807">
        <f>SUM(L41+L52)</f>
        <v>555259963.3333333</v>
      </c>
      <c r="M54" s="818"/>
      <c r="N54" s="820">
        <f>SUM(N41+N52)</f>
        <v>555259963.3333334</v>
      </c>
    </row>
  </sheetData>
  <sheetProtection/>
  <mergeCells count="11">
    <mergeCell ref="L5:L6"/>
    <mergeCell ref="A41:C41"/>
    <mergeCell ref="A6:B6"/>
    <mergeCell ref="A7:B7"/>
    <mergeCell ref="A52:C52"/>
    <mergeCell ref="A2:K2"/>
    <mergeCell ref="A3:K3"/>
    <mergeCell ref="A5:C5"/>
    <mergeCell ref="D5:F5"/>
    <mergeCell ref="G5:K5"/>
    <mergeCell ref="A54:C54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62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4" max="4" width="8.25390625" style="0" customWidth="1"/>
    <col min="5" max="5" width="41.75390625" style="0" customWidth="1"/>
    <col min="6" max="6" width="13.625" style="0" customWidth="1"/>
    <col min="7" max="7" width="13.125" style="0" customWidth="1"/>
    <col min="8" max="8" width="14.875" style="0" customWidth="1"/>
    <col min="9" max="9" width="12.625" style="0" customWidth="1"/>
  </cols>
  <sheetData>
    <row r="1" spans="1:9" s="4" customFormat="1" ht="12.75">
      <c r="A1" s="911" t="s">
        <v>1193</v>
      </c>
      <c r="B1" s="912"/>
      <c r="C1" s="912"/>
      <c r="D1" s="912"/>
      <c r="E1" s="912"/>
      <c r="F1" s="912"/>
      <c r="G1" s="912"/>
      <c r="H1" s="912"/>
      <c r="I1" s="912"/>
    </row>
    <row r="2" spans="1:9" s="4" customFormat="1" ht="9.75" customHeight="1">
      <c r="A2" s="589"/>
      <c r="B2" s="590"/>
      <c r="C2" s="590"/>
      <c r="D2" s="590"/>
      <c r="E2" s="590"/>
      <c r="F2" s="590"/>
      <c r="G2" s="590"/>
      <c r="H2" s="590"/>
      <c r="I2" s="590"/>
    </row>
    <row r="3" spans="1:9" s="4" customFormat="1" ht="16.5">
      <c r="A3" s="897" t="s">
        <v>810</v>
      </c>
      <c r="B3" s="897"/>
      <c r="C3" s="897"/>
      <c r="D3" s="897"/>
      <c r="E3" s="897"/>
      <c r="F3" s="897"/>
      <c r="G3" s="897"/>
      <c r="H3" s="897"/>
      <c r="I3" s="897"/>
    </row>
    <row r="4" spans="1:9" s="4" customFormat="1" ht="12.75">
      <c r="A4" s="589"/>
      <c r="B4" s="590"/>
      <c r="C4" s="590"/>
      <c r="D4" s="590"/>
      <c r="E4" s="590"/>
      <c r="F4" s="590"/>
      <c r="G4" s="590"/>
      <c r="H4" s="590"/>
      <c r="I4" s="590"/>
    </row>
    <row r="5" spans="1:9" ht="36" customHeight="1">
      <c r="A5" s="914" t="s">
        <v>0</v>
      </c>
      <c r="B5" s="915"/>
      <c r="C5" s="915"/>
      <c r="D5" s="915"/>
      <c r="E5" s="916"/>
      <c r="F5" s="591" t="s">
        <v>1</v>
      </c>
      <c r="G5" s="591" t="s">
        <v>2</v>
      </c>
      <c r="H5" s="591" t="s">
        <v>779</v>
      </c>
      <c r="I5" s="591" t="s">
        <v>555</v>
      </c>
    </row>
    <row r="6" spans="1:9" s="526" customFormat="1" ht="15">
      <c r="A6" s="592" t="s">
        <v>626</v>
      </c>
      <c r="B6" s="917" t="s">
        <v>627</v>
      </c>
      <c r="C6" s="918"/>
      <c r="D6" s="918"/>
      <c r="E6" s="919"/>
      <c r="F6" s="593" t="s">
        <v>628</v>
      </c>
      <c r="G6" s="593" t="s">
        <v>629</v>
      </c>
      <c r="H6" s="593" t="s">
        <v>630</v>
      </c>
      <c r="I6" s="593" t="s">
        <v>631</v>
      </c>
    </row>
    <row r="7" spans="1:9" s="258" customFormat="1" ht="12" customHeight="1">
      <c r="A7" s="594" t="s">
        <v>3</v>
      </c>
      <c r="B7" s="913" t="s">
        <v>548</v>
      </c>
      <c r="C7" s="913"/>
      <c r="D7" s="913"/>
      <c r="E7" s="913"/>
      <c r="F7" s="595">
        <f>SUM(F8+F18)</f>
        <v>166459</v>
      </c>
      <c r="G7" s="595">
        <f>SUM(G8+G18)</f>
        <v>75312</v>
      </c>
      <c r="H7" s="595">
        <f>SUM(H8+H18)-32</f>
        <v>117396</v>
      </c>
      <c r="I7" s="595">
        <f>SUM(F7:H7)</f>
        <v>359167</v>
      </c>
    </row>
    <row r="8" spans="1:9" ht="12.75" hidden="1">
      <c r="A8" s="596"/>
      <c r="B8" s="596" t="s">
        <v>4</v>
      </c>
      <c r="C8" s="910" t="s">
        <v>5</v>
      </c>
      <c r="D8" s="910"/>
      <c r="E8" s="910"/>
      <c r="F8" s="597">
        <f>SUM(F9:F16)</f>
        <v>144641</v>
      </c>
      <c r="G8" s="597">
        <f>SUM(G9:G16)</f>
        <v>75112</v>
      </c>
      <c r="H8" s="597">
        <f>SUM(H9:H16)</f>
        <v>116978</v>
      </c>
      <c r="I8" s="598">
        <f>SUM(F8:H8)</f>
        <v>336731</v>
      </c>
    </row>
    <row r="9" spans="1:9" ht="12.75" hidden="1">
      <c r="A9" s="599"/>
      <c r="B9" s="599"/>
      <c r="C9" s="599"/>
      <c r="D9" s="599" t="s">
        <v>6</v>
      </c>
      <c r="E9" s="599" t="s">
        <v>7</v>
      </c>
      <c r="F9" s="600">
        <v>123286</v>
      </c>
      <c r="G9" s="600">
        <v>66503</v>
      </c>
      <c r="H9" s="600">
        <v>114000</v>
      </c>
      <c r="I9" s="598">
        <f aca="true" t="shared" si="0" ref="I9:I17">SUM(F9:H9)</f>
        <v>303789</v>
      </c>
    </row>
    <row r="10" spans="1:9" ht="12.75" hidden="1">
      <c r="A10" s="599"/>
      <c r="B10" s="599"/>
      <c r="C10" s="599"/>
      <c r="D10" s="599" t="s">
        <v>820</v>
      </c>
      <c r="E10" s="599" t="s">
        <v>821</v>
      </c>
      <c r="F10" s="600"/>
      <c r="G10" s="600">
        <v>464</v>
      </c>
      <c r="H10" s="600"/>
      <c r="I10" s="598">
        <f t="shared" si="0"/>
        <v>464</v>
      </c>
    </row>
    <row r="11" spans="1:9" ht="12.75" hidden="1">
      <c r="A11" s="599"/>
      <c r="B11" s="599"/>
      <c r="C11" s="599"/>
      <c r="D11" s="599" t="s">
        <v>8</v>
      </c>
      <c r="E11" s="599" t="s">
        <v>9</v>
      </c>
      <c r="F11" s="600">
        <f>9731+1528</f>
        <v>11259</v>
      </c>
      <c r="G11" s="600"/>
      <c r="H11" s="600"/>
      <c r="I11" s="598">
        <f t="shared" si="0"/>
        <v>11259</v>
      </c>
    </row>
    <row r="12" spans="1:9" ht="12.75" hidden="1">
      <c r="A12" s="599"/>
      <c r="B12" s="599"/>
      <c r="C12" s="599"/>
      <c r="D12" s="599" t="s">
        <v>10</v>
      </c>
      <c r="E12" s="599" t="s">
        <v>11</v>
      </c>
      <c r="F12" s="600">
        <v>784</v>
      </c>
      <c r="G12" s="600">
        <v>703</v>
      </c>
      <c r="H12" s="600"/>
      <c r="I12" s="598">
        <f t="shared" si="0"/>
        <v>1487</v>
      </c>
    </row>
    <row r="13" spans="1:9" ht="12.75" hidden="1">
      <c r="A13" s="599"/>
      <c r="B13" s="599"/>
      <c r="C13" s="599"/>
      <c r="D13" s="599" t="s">
        <v>12</v>
      </c>
      <c r="E13" s="599" t="s">
        <v>13</v>
      </c>
      <c r="F13" s="600">
        <v>400</v>
      </c>
      <c r="G13" s="600">
        <v>5200</v>
      </c>
      <c r="H13" s="600"/>
      <c r="I13" s="598">
        <f t="shared" si="0"/>
        <v>5600</v>
      </c>
    </row>
    <row r="14" spans="1:9" ht="12.75" hidden="1">
      <c r="A14" s="599"/>
      <c r="B14" s="599"/>
      <c r="C14" s="599"/>
      <c r="D14" s="599" t="s">
        <v>14</v>
      </c>
      <c r="E14" s="599" t="s">
        <v>15</v>
      </c>
      <c r="F14" s="600">
        <v>48</v>
      </c>
      <c r="G14" s="600">
        <v>100</v>
      </c>
      <c r="H14" s="600">
        <v>250</v>
      </c>
      <c r="I14" s="598">
        <f t="shared" si="0"/>
        <v>398</v>
      </c>
    </row>
    <row r="15" spans="1:9" ht="12.75" hidden="1">
      <c r="A15" s="599"/>
      <c r="B15" s="599"/>
      <c r="C15" s="599"/>
      <c r="D15" s="599" t="s">
        <v>16</v>
      </c>
      <c r="E15" s="599" t="s">
        <v>17</v>
      </c>
      <c r="F15" s="600">
        <f>658+24</f>
        <v>682</v>
      </c>
      <c r="G15" s="600">
        <v>626</v>
      </c>
      <c r="H15" s="600">
        <v>711</v>
      </c>
      <c r="I15" s="598">
        <f t="shared" si="0"/>
        <v>2019</v>
      </c>
    </row>
    <row r="16" spans="1:9" ht="12.75" hidden="1">
      <c r="A16" s="599"/>
      <c r="B16" s="599"/>
      <c r="C16" s="599"/>
      <c r="D16" s="599" t="s">
        <v>18</v>
      </c>
      <c r="E16" s="599" t="s">
        <v>19</v>
      </c>
      <c r="F16" s="600">
        <f>7788+394</f>
        <v>8182</v>
      </c>
      <c r="G16" s="600">
        <v>1516</v>
      </c>
      <c r="H16" s="600">
        <v>2017</v>
      </c>
      <c r="I16" s="598">
        <f t="shared" si="0"/>
        <v>11715</v>
      </c>
    </row>
    <row r="17" spans="1:9" ht="12.75" hidden="1">
      <c r="A17" s="601"/>
      <c r="B17" s="601"/>
      <c r="C17" s="602"/>
      <c r="D17" s="603" t="s">
        <v>20</v>
      </c>
      <c r="E17" s="603" t="s">
        <v>21</v>
      </c>
      <c r="F17" s="604">
        <v>110</v>
      </c>
      <c r="G17" s="604"/>
      <c r="H17" s="604"/>
      <c r="I17" s="604">
        <f t="shared" si="0"/>
        <v>110</v>
      </c>
    </row>
    <row r="18" spans="1:9" ht="12.75" hidden="1">
      <c r="A18" s="596"/>
      <c r="B18" s="596" t="s">
        <v>22</v>
      </c>
      <c r="C18" s="910" t="s">
        <v>23</v>
      </c>
      <c r="D18" s="910"/>
      <c r="E18" s="910"/>
      <c r="F18" s="597">
        <f>SUM(F19:F21)</f>
        <v>21818</v>
      </c>
      <c r="G18" s="597">
        <f>SUM(G19:G21)</f>
        <v>200</v>
      </c>
      <c r="H18" s="597">
        <f>SUM(H19:H21)</f>
        <v>450</v>
      </c>
      <c r="I18" s="598">
        <f aca="true" t="shared" si="1" ref="I18:I29">SUM(F18:H18)</f>
        <v>22468</v>
      </c>
    </row>
    <row r="19" spans="1:9" ht="12.75" hidden="1">
      <c r="A19" s="605"/>
      <c r="B19" s="605"/>
      <c r="C19" s="605" t="s">
        <v>24</v>
      </c>
      <c r="D19" s="605" t="s">
        <v>25</v>
      </c>
      <c r="E19" s="605"/>
      <c r="F19" s="606">
        <v>20224</v>
      </c>
      <c r="G19" s="606">
        <f>20648-20648</f>
        <v>0</v>
      </c>
      <c r="H19" s="606"/>
      <c r="I19" s="598">
        <f t="shared" si="1"/>
        <v>20224</v>
      </c>
    </row>
    <row r="20" spans="1:9" ht="20.25" customHeight="1" hidden="1">
      <c r="A20" s="605"/>
      <c r="B20" s="605"/>
      <c r="C20" s="605" t="s">
        <v>26</v>
      </c>
      <c r="D20" s="906" t="s">
        <v>27</v>
      </c>
      <c r="E20" s="907"/>
      <c r="F20" s="606">
        <f>417+142</f>
        <v>559</v>
      </c>
      <c r="G20" s="606"/>
      <c r="H20" s="606">
        <v>450</v>
      </c>
      <c r="I20" s="598">
        <f t="shared" si="1"/>
        <v>1009</v>
      </c>
    </row>
    <row r="21" spans="1:9" ht="12.75" hidden="1">
      <c r="A21" s="605"/>
      <c r="B21" s="605"/>
      <c r="C21" s="605" t="s">
        <v>28</v>
      </c>
      <c r="D21" s="908" t="s">
        <v>29</v>
      </c>
      <c r="E21" s="909"/>
      <c r="F21" s="606">
        <f>127+787+121</f>
        <v>1035</v>
      </c>
      <c r="G21" s="606">
        <v>200</v>
      </c>
      <c r="H21" s="606"/>
      <c r="I21" s="598">
        <f t="shared" si="1"/>
        <v>1235</v>
      </c>
    </row>
    <row r="22" spans="1:9" s="258" customFormat="1" ht="12.75">
      <c r="A22" s="594" t="s">
        <v>30</v>
      </c>
      <c r="B22" s="913" t="s">
        <v>31</v>
      </c>
      <c r="C22" s="913"/>
      <c r="D22" s="913"/>
      <c r="E22" s="913"/>
      <c r="F22" s="595">
        <f>SUM(F23:F28)</f>
        <v>41463</v>
      </c>
      <c r="G22" s="595">
        <f>SUM(G23:G28)</f>
        <v>20465</v>
      </c>
      <c r="H22" s="595">
        <f>SUM(H23:H28)-198-28</f>
        <v>32746</v>
      </c>
      <c r="I22" s="595">
        <f t="shared" si="1"/>
        <v>94674</v>
      </c>
    </row>
    <row r="23" spans="1:9" ht="12.75" hidden="1">
      <c r="A23" s="599"/>
      <c r="B23" s="599"/>
      <c r="C23" s="599"/>
      <c r="D23" s="607" t="s">
        <v>20</v>
      </c>
      <c r="E23" s="607" t="s">
        <v>32</v>
      </c>
      <c r="F23" s="600">
        <f>37800+106+451</f>
        <v>38357</v>
      </c>
      <c r="G23" s="600">
        <f>23767-5467+36+335</f>
        <v>18671</v>
      </c>
      <c r="H23" s="600">
        <f>31575+26+283</f>
        <v>31884</v>
      </c>
      <c r="I23" s="608">
        <f t="shared" si="1"/>
        <v>88912</v>
      </c>
    </row>
    <row r="24" spans="1:9" ht="12.75" hidden="1">
      <c r="A24" s="599"/>
      <c r="B24" s="599"/>
      <c r="C24" s="599"/>
      <c r="D24" s="607"/>
      <c r="E24" s="607" t="s">
        <v>33</v>
      </c>
      <c r="F24" s="600">
        <v>2411</v>
      </c>
      <c r="G24" s="600">
        <v>1447</v>
      </c>
      <c r="H24" s="600">
        <v>1061</v>
      </c>
      <c r="I24" s="608">
        <f t="shared" si="1"/>
        <v>4919</v>
      </c>
    </row>
    <row r="25" spans="1:9" ht="12.75" hidden="1">
      <c r="A25" s="599"/>
      <c r="B25" s="599"/>
      <c r="C25" s="599"/>
      <c r="D25" s="607"/>
      <c r="E25" s="607" t="s">
        <v>34</v>
      </c>
      <c r="F25" s="600">
        <v>87</v>
      </c>
      <c r="G25" s="600">
        <v>102</v>
      </c>
      <c r="H25" s="600"/>
      <c r="I25" s="608">
        <f t="shared" si="1"/>
        <v>189</v>
      </c>
    </row>
    <row r="26" spans="1:9" ht="12.75" hidden="1">
      <c r="A26" s="599"/>
      <c r="B26" s="599"/>
      <c r="C26" s="599"/>
      <c r="D26" s="607"/>
      <c r="E26" s="607" t="s">
        <v>35</v>
      </c>
      <c r="F26" s="600">
        <f>66+253+39</f>
        <v>358</v>
      </c>
      <c r="G26" s="600">
        <v>154</v>
      </c>
      <c r="H26" s="600">
        <v>16</v>
      </c>
      <c r="I26" s="608">
        <f t="shared" si="1"/>
        <v>528</v>
      </c>
    </row>
    <row r="27" spans="1:9" ht="12.75" hidden="1">
      <c r="A27" s="599"/>
      <c r="B27" s="599"/>
      <c r="C27" s="599"/>
      <c r="D27" s="607"/>
      <c r="E27" s="607" t="s">
        <v>1122</v>
      </c>
      <c r="F27" s="600">
        <f>20+1+3+6+2+7</f>
        <v>39</v>
      </c>
      <c r="G27" s="600">
        <v>0</v>
      </c>
      <c r="H27" s="600">
        <v>0</v>
      </c>
      <c r="I27" s="608">
        <f t="shared" si="1"/>
        <v>39</v>
      </c>
    </row>
    <row r="28" spans="1:9" ht="12.75" hidden="1">
      <c r="A28" s="599"/>
      <c r="B28" s="599"/>
      <c r="C28" s="599"/>
      <c r="D28" s="607"/>
      <c r="E28" s="607" t="s">
        <v>36</v>
      </c>
      <c r="F28" s="600">
        <f>38+150+23</f>
        <v>211</v>
      </c>
      <c r="G28" s="600">
        <v>91</v>
      </c>
      <c r="H28" s="600">
        <v>11</v>
      </c>
      <c r="I28" s="608">
        <f t="shared" si="1"/>
        <v>313</v>
      </c>
    </row>
    <row r="29" spans="1:9" s="258" customFormat="1" ht="12.75">
      <c r="A29" s="594" t="s">
        <v>37</v>
      </c>
      <c r="B29" s="913" t="s">
        <v>38</v>
      </c>
      <c r="C29" s="913"/>
      <c r="D29" s="913"/>
      <c r="E29" s="913"/>
      <c r="F29" s="595">
        <f>SUM(F53+F50+F36+F33+F30)</f>
        <v>363392</v>
      </c>
      <c r="G29" s="595">
        <f>SUM(G53+G50+G36+G33+G30)</f>
        <v>27185</v>
      </c>
      <c r="H29" s="595">
        <f>SUM(H53+H50+H36+H33+H30)+280+40</f>
        <v>48884</v>
      </c>
      <c r="I29" s="595">
        <f t="shared" si="1"/>
        <v>439461</v>
      </c>
    </row>
    <row r="30" spans="1:9" ht="12.75" hidden="1">
      <c r="A30" s="596"/>
      <c r="B30" s="596" t="s">
        <v>39</v>
      </c>
      <c r="C30" s="910" t="s">
        <v>40</v>
      </c>
      <c r="D30" s="910"/>
      <c r="E30" s="910"/>
      <c r="F30" s="611">
        <f>SUM(F31:F32)</f>
        <v>87919</v>
      </c>
      <c r="G30" s="611">
        <f>SUM(G31:G32)</f>
        <v>2176</v>
      </c>
      <c r="H30" s="611">
        <f>SUM(H31:H32)</f>
        <v>3153</v>
      </c>
      <c r="I30" s="611">
        <f>SUM(I31:I32)</f>
        <v>93248</v>
      </c>
    </row>
    <row r="31" spans="1:9" ht="12.75" hidden="1">
      <c r="A31" s="605"/>
      <c r="B31" s="605"/>
      <c r="C31" s="605" t="s">
        <v>41</v>
      </c>
      <c r="D31" s="605" t="s">
        <v>42</v>
      </c>
      <c r="E31" s="605"/>
      <c r="F31" s="606">
        <v>5650</v>
      </c>
      <c r="G31" s="606">
        <v>200</v>
      </c>
      <c r="H31" s="609">
        <v>691</v>
      </c>
      <c r="I31" s="610">
        <f>SUM(F31:H31)</f>
        <v>6541</v>
      </c>
    </row>
    <row r="32" spans="1:9" ht="12.75" hidden="1">
      <c r="A32" s="605"/>
      <c r="B32" s="605"/>
      <c r="C32" s="605" t="s">
        <v>43</v>
      </c>
      <c r="D32" s="605" t="s">
        <v>44</v>
      </c>
      <c r="E32" s="605"/>
      <c r="F32" s="606">
        <f>82211+58</f>
        <v>82269</v>
      </c>
      <c r="G32" s="606">
        <v>1976</v>
      </c>
      <c r="H32" s="609">
        <v>2462</v>
      </c>
      <c r="I32" s="610">
        <f>SUM(F32:H32)</f>
        <v>86707</v>
      </c>
    </row>
    <row r="33" spans="1:9" ht="12.75" hidden="1">
      <c r="A33" s="596"/>
      <c r="B33" s="596" t="s">
        <v>45</v>
      </c>
      <c r="C33" s="910" t="s">
        <v>46</v>
      </c>
      <c r="D33" s="910"/>
      <c r="E33" s="910"/>
      <c r="F33" s="611">
        <f>SUM(F34:F35)</f>
        <v>3085</v>
      </c>
      <c r="G33" s="611">
        <f>SUM(G34:G35)</f>
        <v>3837</v>
      </c>
      <c r="H33" s="611">
        <f>SUM(H34:H35)</f>
        <v>407</v>
      </c>
      <c r="I33" s="611">
        <f>SUM(I34:I35)</f>
        <v>7329</v>
      </c>
    </row>
    <row r="34" spans="1:9" ht="12.75" hidden="1">
      <c r="A34" s="605"/>
      <c r="B34" s="605"/>
      <c r="C34" s="605" t="s">
        <v>47</v>
      </c>
      <c r="D34" s="605" t="s">
        <v>48</v>
      </c>
      <c r="E34" s="605"/>
      <c r="F34" s="606">
        <f>2219+21</f>
        <v>2240</v>
      </c>
      <c r="G34" s="606">
        <v>2502</v>
      </c>
      <c r="H34" s="606">
        <v>177</v>
      </c>
      <c r="I34" s="608">
        <f>SUM(F34:H34)</f>
        <v>4919</v>
      </c>
    </row>
    <row r="35" spans="1:9" ht="12.75" hidden="1">
      <c r="A35" s="605"/>
      <c r="B35" s="605"/>
      <c r="C35" s="605" t="s">
        <v>49</v>
      </c>
      <c r="D35" s="605" t="s">
        <v>50</v>
      </c>
      <c r="E35" s="605"/>
      <c r="F35" s="606">
        <f>880-35</f>
        <v>845</v>
      </c>
      <c r="G35" s="606">
        <v>1335</v>
      </c>
      <c r="H35" s="606">
        <v>230</v>
      </c>
      <c r="I35" s="608">
        <f>SUM(F35:H35)</f>
        <v>2410</v>
      </c>
    </row>
    <row r="36" spans="1:9" ht="12.75" hidden="1">
      <c r="A36" s="596"/>
      <c r="B36" s="596" t="s">
        <v>51</v>
      </c>
      <c r="C36" s="910" t="s">
        <v>52</v>
      </c>
      <c r="D36" s="910"/>
      <c r="E36" s="910"/>
      <c r="F36" s="611">
        <f>SUM(F37+F42+F43+F44+F45+F47+F48)</f>
        <v>135734</v>
      </c>
      <c r="G36" s="611">
        <f>SUM(G37+G42+G43+G44+G45+G47+G48)</f>
        <v>16297</v>
      </c>
      <c r="H36" s="611">
        <f>SUM(H37+H42+H43+H44+H45+H47+H48)</f>
        <v>34703</v>
      </c>
      <c r="I36" s="611">
        <f>SUM(I37+I42+I43+I44+I45+I47+I48)</f>
        <v>186734</v>
      </c>
    </row>
    <row r="37" spans="1:9" ht="12.75" hidden="1">
      <c r="A37" s="605"/>
      <c r="B37" s="605"/>
      <c r="C37" s="605" t="s">
        <v>53</v>
      </c>
      <c r="D37" s="605" t="s">
        <v>54</v>
      </c>
      <c r="E37" s="605"/>
      <c r="F37" s="606">
        <f>SUM(F38:F41)</f>
        <v>42552</v>
      </c>
      <c r="G37" s="606">
        <f>SUM(G38:G41)</f>
        <v>3193</v>
      </c>
      <c r="H37" s="606">
        <v>6867</v>
      </c>
      <c r="I37" s="608">
        <f>SUM(F37:H37)</f>
        <v>52612</v>
      </c>
    </row>
    <row r="38" spans="1:9" ht="12.75" hidden="1">
      <c r="A38" s="599"/>
      <c r="B38" s="599"/>
      <c r="C38" s="599"/>
      <c r="D38" s="607" t="s">
        <v>20</v>
      </c>
      <c r="E38" s="607" t="s">
        <v>55</v>
      </c>
      <c r="F38" s="600">
        <f>18358+138+1377+78+100+39+4+1500</f>
        <v>21594</v>
      </c>
      <c r="G38" s="600">
        <v>1528</v>
      </c>
      <c r="H38" s="826"/>
      <c r="I38" s="610">
        <f aca="true" t="shared" si="2" ref="I38:I49">SUM(F38:H38)</f>
        <v>23122</v>
      </c>
    </row>
    <row r="39" spans="1:9" ht="12.75" hidden="1">
      <c r="A39" s="599"/>
      <c r="B39" s="599"/>
      <c r="C39" s="599"/>
      <c r="D39" s="607"/>
      <c r="E39" s="607" t="s">
        <v>56</v>
      </c>
      <c r="F39" s="600">
        <f>14102+100+500+3100+302</f>
        <v>18104</v>
      </c>
      <c r="G39" s="600">
        <v>1465</v>
      </c>
      <c r="H39" s="826"/>
      <c r="I39" s="610">
        <f t="shared" si="2"/>
        <v>19569</v>
      </c>
    </row>
    <row r="40" spans="1:9" ht="12.75" hidden="1">
      <c r="A40" s="599"/>
      <c r="B40" s="599"/>
      <c r="C40" s="599"/>
      <c r="D40" s="607"/>
      <c r="E40" s="607" t="s">
        <v>57</v>
      </c>
      <c r="F40" s="600">
        <v>300</v>
      </c>
      <c r="G40" s="600"/>
      <c r="H40" s="826"/>
      <c r="I40" s="610">
        <f t="shared" si="2"/>
        <v>300</v>
      </c>
    </row>
    <row r="41" spans="1:9" ht="12.75" hidden="1">
      <c r="A41" s="599"/>
      <c r="B41" s="599"/>
      <c r="C41" s="599"/>
      <c r="D41" s="607"/>
      <c r="E41" s="607" t="s">
        <v>58</v>
      </c>
      <c r="F41" s="600">
        <f>2346+54+154</f>
        <v>2554</v>
      </c>
      <c r="G41" s="600">
        <v>200</v>
      </c>
      <c r="H41" s="826"/>
      <c r="I41" s="610">
        <f t="shared" si="2"/>
        <v>2754</v>
      </c>
    </row>
    <row r="42" spans="1:9" ht="12.75" hidden="1">
      <c r="A42" s="605"/>
      <c r="B42" s="605"/>
      <c r="C42" s="605" t="s">
        <v>59</v>
      </c>
      <c r="D42" s="605" t="s">
        <v>60</v>
      </c>
      <c r="E42" s="605"/>
      <c r="F42" s="606">
        <f>287-227+181</f>
        <v>241</v>
      </c>
      <c r="G42" s="606">
        <v>0</v>
      </c>
      <c r="H42" s="606">
        <v>26047</v>
      </c>
      <c r="I42" s="608">
        <f t="shared" si="2"/>
        <v>26288</v>
      </c>
    </row>
    <row r="43" spans="1:9" ht="12.75" hidden="1">
      <c r="A43" s="605"/>
      <c r="B43" s="605"/>
      <c r="C43" s="605" t="s">
        <v>61</v>
      </c>
      <c r="D43" s="605" t="s">
        <v>62</v>
      </c>
      <c r="E43" s="605"/>
      <c r="F43" s="606">
        <f>917+167</f>
        <v>1084</v>
      </c>
      <c r="G43" s="606">
        <v>1591</v>
      </c>
      <c r="H43" s="606">
        <v>0</v>
      </c>
      <c r="I43" s="608">
        <f t="shared" si="2"/>
        <v>2675</v>
      </c>
    </row>
    <row r="44" spans="1:9" ht="12.75" hidden="1">
      <c r="A44" s="605"/>
      <c r="B44" s="605"/>
      <c r="C44" s="605" t="s">
        <v>63</v>
      </c>
      <c r="D44" s="605" t="s">
        <v>64</v>
      </c>
      <c r="E44" s="605"/>
      <c r="F44" s="606">
        <f>2500+100+61+19-178+110</f>
        <v>2612</v>
      </c>
      <c r="G44" s="606">
        <v>350</v>
      </c>
      <c r="H44" s="606">
        <v>438</v>
      </c>
      <c r="I44" s="608">
        <f t="shared" si="2"/>
        <v>3400</v>
      </c>
    </row>
    <row r="45" spans="1:9" ht="12.75" hidden="1">
      <c r="A45" s="605"/>
      <c r="B45" s="605"/>
      <c r="C45" s="605" t="s">
        <v>65</v>
      </c>
      <c r="D45" s="605" t="s">
        <v>66</v>
      </c>
      <c r="E45" s="605"/>
      <c r="F45" s="606">
        <f>3242+38+217</f>
        <v>3497</v>
      </c>
      <c r="G45" s="606">
        <v>6267</v>
      </c>
      <c r="H45" s="606">
        <v>0</v>
      </c>
      <c r="I45" s="608">
        <f t="shared" si="2"/>
        <v>9764</v>
      </c>
    </row>
    <row r="46" spans="1:9" ht="12.75" hidden="1">
      <c r="A46" s="599"/>
      <c r="B46" s="599"/>
      <c r="C46" s="599"/>
      <c r="D46" s="607" t="s">
        <v>20</v>
      </c>
      <c r="E46" s="607" t="s">
        <v>67</v>
      </c>
      <c r="F46" s="604">
        <v>2292</v>
      </c>
      <c r="G46" s="604">
        <v>3967</v>
      </c>
      <c r="H46" s="600">
        <v>0</v>
      </c>
      <c r="I46" s="608">
        <f t="shared" si="2"/>
        <v>6259</v>
      </c>
    </row>
    <row r="47" spans="1:9" ht="12.75" hidden="1">
      <c r="A47" s="605"/>
      <c r="B47" s="605"/>
      <c r="C47" s="605" t="s">
        <v>68</v>
      </c>
      <c r="D47" s="605" t="s">
        <v>69</v>
      </c>
      <c r="E47" s="605"/>
      <c r="F47" s="606">
        <f>56181-236-87+2362+1339+630+15+354-217</f>
        <v>60341</v>
      </c>
      <c r="G47" s="606">
        <v>494</v>
      </c>
      <c r="H47" s="606">
        <v>189</v>
      </c>
      <c r="I47" s="608">
        <f t="shared" si="2"/>
        <v>61024</v>
      </c>
    </row>
    <row r="48" spans="1:9" ht="12.75" hidden="1">
      <c r="A48" s="605"/>
      <c r="B48" s="605"/>
      <c r="C48" s="605" t="s">
        <v>70</v>
      </c>
      <c r="D48" s="605" t="s">
        <v>71</v>
      </c>
      <c r="E48" s="605"/>
      <c r="F48" s="606">
        <f>24795+450+30+9+46+17+60</f>
        <v>25407</v>
      </c>
      <c r="G48" s="606">
        <v>4402</v>
      </c>
      <c r="H48" s="606">
        <v>1162</v>
      </c>
      <c r="I48" s="608">
        <f t="shared" si="2"/>
        <v>30971</v>
      </c>
    </row>
    <row r="49" spans="1:9" ht="12.75" hidden="1">
      <c r="A49" s="599"/>
      <c r="B49" s="599"/>
      <c r="C49" s="599"/>
      <c r="D49" s="607" t="s">
        <v>20</v>
      </c>
      <c r="E49" s="607" t="s">
        <v>21</v>
      </c>
      <c r="F49" s="604">
        <v>2691</v>
      </c>
      <c r="G49" s="604">
        <v>0</v>
      </c>
      <c r="H49" s="600">
        <v>0</v>
      </c>
      <c r="I49" s="608">
        <f t="shared" si="2"/>
        <v>2691</v>
      </c>
    </row>
    <row r="50" spans="1:9" ht="12.75" hidden="1">
      <c r="A50" s="596"/>
      <c r="B50" s="596" t="s">
        <v>72</v>
      </c>
      <c r="C50" s="910" t="s">
        <v>73</v>
      </c>
      <c r="D50" s="910"/>
      <c r="E50" s="910"/>
      <c r="F50" s="611">
        <f>SUM(F51:F52)</f>
        <v>1327</v>
      </c>
      <c r="G50" s="611">
        <f>SUM(G51:G52)</f>
        <v>400</v>
      </c>
      <c r="H50" s="611">
        <f>SUM(H51:H52)</f>
        <v>90</v>
      </c>
      <c r="I50" s="611">
        <f>SUM(I51:I52)</f>
        <v>1817</v>
      </c>
    </row>
    <row r="51" spans="1:9" ht="12.75" hidden="1">
      <c r="A51" s="605"/>
      <c r="B51" s="605"/>
      <c r="C51" s="605" t="s">
        <v>74</v>
      </c>
      <c r="D51" s="605" t="s">
        <v>75</v>
      </c>
      <c r="E51" s="605"/>
      <c r="F51" s="606">
        <v>1130</v>
      </c>
      <c r="G51" s="606">
        <v>400</v>
      </c>
      <c r="H51" s="606">
        <v>90</v>
      </c>
      <c r="I51" s="608">
        <f>SUM(F51:H51)</f>
        <v>1620</v>
      </c>
    </row>
    <row r="52" spans="1:9" ht="12.75" hidden="1">
      <c r="A52" s="605"/>
      <c r="B52" s="605"/>
      <c r="C52" s="605" t="s">
        <v>76</v>
      </c>
      <c r="D52" s="605" t="s">
        <v>77</v>
      </c>
      <c r="E52" s="605"/>
      <c r="F52" s="606">
        <f>79+118</f>
        <v>197</v>
      </c>
      <c r="G52" s="606">
        <v>0</v>
      </c>
      <c r="H52" s="606">
        <v>0</v>
      </c>
      <c r="I52" s="608">
        <f>SUM(F52:H52)</f>
        <v>197</v>
      </c>
    </row>
    <row r="53" spans="1:9" ht="12.75" hidden="1">
      <c r="A53" s="596"/>
      <c r="B53" s="596" t="s">
        <v>78</v>
      </c>
      <c r="C53" s="910" t="s">
        <v>79</v>
      </c>
      <c r="D53" s="910"/>
      <c r="E53" s="910"/>
      <c r="F53" s="611">
        <f>SUM(F54:F58)</f>
        <v>135327</v>
      </c>
      <c r="G53" s="611">
        <f>SUM(G54:G58)</f>
        <v>4475</v>
      </c>
      <c r="H53" s="611">
        <f>SUM(H54:H58)</f>
        <v>10211</v>
      </c>
      <c r="I53" s="611">
        <f>SUM(I54:I58)</f>
        <v>150013</v>
      </c>
    </row>
    <row r="54" spans="1:9" ht="12.75" hidden="1">
      <c r="A54" s="605"/>
      <c r="B54" s="605"/>
      <c r="C54" s="605" t="s">
        <v>80</v>
      </c>
      <c r="D54" s="605" t="s">
        <v>81</v>
      </c>
      <c r="E54" s="605"/>
      <c r="F54" s="606">
        <f>45457-2409+32-32+338+1179+1085+181+31+1592+27+92+49+42+10+14+204+16+5+126+44-279+15+30-64+128+8-24+16+1284+638+81+531+96</f>
        <v>50543</v>
      </c>
      <c r="G54" s="606">
        <v>4175</v>
      </c>
      <c r="H54" s="606">
        <v>10111</v>
      </c>
      <c r="I54" s="608">
        <f aca="true" t="shared" si="3" ref="I54:I60">SUM(F54:H54)</f>
        <v>64829</v>
      </c>
    </row>
    <row r="55" spans="1:9" ht="12.75" hidden="1">
      <c r="A55" s="605"/>
      <c r="B55" s="605"/>
      <c r="C55" s="605" t="s">
        <v>82</v>
      </c>
      <c r="D55" s="605" t="s">
        <v>83</v>
      </c>
      <c r="E55" s="605"/>
      <c r="F55" s="606">
        <f>284708+22+61-284628+79421+279+594+149+53-53+27-27</f>
        <v>80606</v>
      </c>
      <c r="G55" s="606">
        <v>0</v>
      </c>
      <c r="H55" s="606">
        <v>0</v>
      </c>
      <c r="I55" s="608">
        <f t="shared" si="3"/>
        <v>80606</v>
      </c>
    </row>
    <row r="56" spans="1:9" ht="12.75" hidden="1">
      <c r="A56" s="605"/>
      <c r="B56" s="605"/>
      <c r="C56" s="605" t="s">
        <v>1041</v>
      </c>
      <c r="D56" s="904" t="s">
        <v>1042</v>
      </c>
      <c r="E56" s="905"/>
      <c r="F56" s="606">
        <v>500</v>
      </c>
      <c r="G56" s="606">
        <v>0</v>
      </c>
      <c r="H56" s="606">
        <v>0</v>
      </c>
      <c r="I56" s="608">
        <f t="shared" si="3"/>
        <v>500</v>
      </c>
    </row>
    <row r="57" spans="1:9" ht="12.75" hidden="1">
      <c r="A57" s="605"/>
      <c r="B57" s="605"/>
      <c r="C57" s="605" t="s">
        <v>1124</v>
      </c>
      <c r="D57" s="904" t="s">
        <v>1125</v>
      </c>
      <c r="E57" s="905"/>
      <c r="F57" s="606">
        <v>117</v>
      </c>
      <c r="G57" s="606">
        <v>0</v>
      </c>
      <c r="H57" s="606">
        <v>0</v>
      </c>
      <c r="I57" s="608">
        <f t="shared" si="3"/>
        <v>117</v>
      </c>
    </row>
    <row r="58" spans="1:9" ht="12.75" hidden="1">
      <c r="A58" s="605"/>
      <c r="B58" s="605"/>
      <c r="C58" s="605" t="s">
        <v>84</v>
      </c>
      <c r="D58" s="605" t="s">
        <v>85</v>
      </c>
      <c r="E58" s="605"/>
      <c r="F58" s="606">
        <f>3361+200</f>
        <v>3561</v>
      </c>
      <c r="G58" s="606">
        <v>300</v>
      </c>
      <c r="H58" s="606">
        <v>100</v>
      </c>
      <c r="I58" s="608">
        <f t="shared" si="3"/>
        <v>3961</v>
      </c>
    </row>
    <row r="59" spans="1:9" s="258" customFormat="1" ht="12.75">
      <c r="A59" s="594" t="s">
        <v>86</v>
      </c>
      <c r="B59" s="913" t="s">
        <v>87</v>
      </c>
      <c r="C59" s="913"/>
      <c r="D59" s="913"/>
      <c r="E59" s="913"/>
      <c r="F59" s="595">
        <f>SUM(F74+F73+F71+F69+F66+F65+F61+F60)</f>
        <v>4130</v>
      </c>
      <c r="G59" s="595">
        <f>SUM(G74+G73+G71+G69+G66+G65+G61+G60)</f>
        <v>57369</v>
      </c>
      <c r="H59" s="595">
        <f>SUM(H74+H73+H71+H69+H66+H65+H61+H60)</f>
        <v>0</v>
      </c>
      <c r="I59" s="595">
        <f t="shared" si="3"/>
        <v>61499</v>
      </c>
    </row>
    <row r="60" spans="1:9" ht="12.75">
      <c r="A60" s="596"/>
      <c r="B60" s="596" t="s">
        <v>88</v>
      </c>
      <c r="C60" s="901" t="s">
        <v>89</v>
      </c>
      <c r="D60" s="902"/>
      <c r="E60" s="903"/>
      <c r="F60" s="597">
        <v>0</v>
      </c>
      <c r="G60" s="597">
        <v>0</v>
      </c>
      <c r="H60" s="597">
        <v>0</v>
      </c>
      <c r="I60" s="598">
        <f t="shared" si="3"/>
        <v>0</v>
      </c>
    </row>
    <row r="61" spans="1:9" ht="12.75">
      <c r="A61" s="596"/>
      <c r="B61" s="596" t="s">
        <v>90</v>
      </c>
      <c r="C61" s="910" t="s">
        <v>91</v>
      </c>
      <c r="D61" s="910"/>
      <c r="E61" s="910"/>
      <c r="F61" s="597">
        <f>SUM(F62:F64)</f>
        <v>0</v>
      </c>
      <c r="G61" s="597">
        <f>SUM(G62:G64)</f>
        <v>12626</v>
      </c>
      <c r="H61" s="597">
        <f>SUM(H62:H64)</f>
        <v>0</v>
      </c>
      <c r="I61" s="598">
        <f aca="true" t="shared" si="4" ref="I61:I78">SUM(F61:H61)</f>
        <v>12626</v>
      </c>
    </row>
    <row r="62" spans="1:9" ht="12.75">
      <c r="A62" s="605"/>
      <c r="B62" s="605"/>
      <c r="C62" s="605"/>
      <c r="D62" s="904" t="s">
        <v>92</v>
      </c>
      <c r="E62" s="905"/>
      <c r="F62" s="606">
        <v>0</v>
      </c>
      <c r="G62" s="606">
        <v>12000</v>
      </c>
      <c r="H62" s="606">
        <v>0</v>
      </c>
      <c r="I62" s="598">
        <f t="shared" si="4"/>
        <v>12000</v>
      </c>
    </row>
    <row r="63" spans="1:9" ht="19.5" customHeight="1">
      <c r="A63" s="605"/>
      <c r="B63" s="605"/>
      <c r="C63" s="605"/>
      <c r="D63" s="906" t="s">
        <v>1105</v>
      </c>
      <c r="E63" s="907"/>
      <c r="F63" s="606">
        <v>0</v>
      </c>
      <c r="G63" s="606">
        <v>276</v>
      </c>
      <c r="H63" s="606">
        <v>0</v>
      </c>
      <c r="I63" s="598">
        <f t="shared" si="4"/>
        <v>276</v>
      </c>
    </row>
    <row r="64" spans="1:9" ht="12.75">
      <c r="A64" s="605"/>
      <c r="B64" s="605"/>
      <c r="C64" s="605"/>
      <c r="D64" s="904" t="s">
        <v>727</v>
      </c>
      <c r="E64" s="905"/>
      <c r="F64" s="606">
        <v>0</v>
      </c>
      <c r="G64" s="606">
        <v>350</v>
      </c>
      <c r="H64" s="606">
        <v>0</v>
      </c>
      <c r="I64" s="598">
        <f t="shared" si="4"/>
        <v>350</v>
      </c>
    </row>
    <row r="65" spans="1:9" ht="12.75">
      <c r="A65" s="596"/>
      <c r="B65" s="596" t="s">
        <v>258</v>
      </c>
      <c r="C65" s="910" t="s">
        <v>259</v>
      </c>
      <c r="D65" s="910"/>
      <c r="E65" s="910"/>
      <c r="F65" s="597">
        <v>0</v>
      </c>
      <c r="G65" s="597">
        <v>15</v>
      </c>
      <c r="H65" s="597">
        <v>0</v>
      </c>
      <c r="I65" s="598">
        <f t="shared" si="4"/>
        <v>15</v>
      </c>
    </row>
    <row r="66" spans="1:9" ht="12.75">
      <c r="A66" s="596"/>
      <c r="B66" s="596" t="s">
        <v>260</v>
      </c>
      <c r="C66" s="901" t="s">
        <v>261</v>
      </c>
      <c r="D66" s="902"/>
      <c r="E66" s="903"/>
      <c r="F66" s="597">
        <f>SUM(F67:F68)</f>
        <v>0</v>
      </c>
      <c r="G66" s="597">
        <f>SUM(G67:G68)</f>
        <v>0</v>
      </c>
      <c r="H66" s="597">
        <f>SUM(H67:H68)</f>
        <v>0</v>
      </c>
      <c r="I66" s="598">
        <f t="shared" si="4"/>
        <v>0</v>
      </c>
    </row>
    <row r="67" spans="1:9" ht="23.25" customHeight="1" hidden="1">
      <c r="A67" s="605"/>
      <c r="B67" s="605"/>
      <c r="C67" s="605"/>
      <c r="D67" s="906" t="s">
        <v>262</v>
      </c>
      <c r="E67" s="907"/>
      <c r="F67" s="606">
        <v>0</v>
      </c>
      <c r="G67" s="606">
        <v>0</v>
      </c>
      <c r="H67" s="606">
        <v>0</v>
      </c>
      <c r="I67" s="598">
        <f t="shared" si="4"/>
        <v>0</v>
      </c>
    </row>
    <row r="68" spans="1:9" ht="12.75" hidden="1">
      <c r="A68" s="605"/>
      <c r="B68" s="605"/>
      <c r="C68" s="605"/>
      <c r="D68" s="904" t="s">
        <v>263</v>
      </c>
      <c r="E68" s="905"/>
      <c r="F68" s="606">
        <v>0</v>
      </c>
      <c r="G68" s="606">
        <v>0</v>
      </c>
      <c r="H68" s="606">
        <v>0</v>
      </c>
      <c r="I68" s="598">
        <f t="shared" si="4"/>
        <v>0</v>
      </c>
    </row>
    <row r="69" spans="1:9" ht="12.75">
      <c r="A69" s="596"/>
      <c r="B69" s="596" t="s">
        <v>264</v>
      </c>
      <c r="C69" s="901" t="s">
        <v>265</v>
      </c>
      <c r="D69" s="902"/>
      <c r="E69" s="903"/>
      <c r="F69" s="597">
        <f>SUM(F70)</f>
        <v>0</v>
      </c>
      <c r="G69" s="597">
        <f>SUM(G70)</f>
        <v>24863</v>
      </c>
      <c r="H69" s="597">
        <f>SUM(H70)</f>
        <v>0</v>
      </c>
      <c r="I69" s="598">
        <f t="shared" si="4"/>
        <v>24863</v>
      </c>
    </row>
    <row r="70" spans="1:9" ht="12.75">
      <c r="A70" s="605"/>
      <c r="B70" s="605"/>
      <c r="C70" s="605"/>
      <c r="D70" s="904" t="s">
        <v>1106</v>
      </c>
      <c r="E70" s="905"/>
      <c r="F70" s="606">
        <v>0</v>
      </c>
      <c r="G70" s="606">
        <f>23940+923</f>
        <v>24863</v>
      </c>
      <c r="H70" s="606">
        <v>0</v>
      </c>
      <c r="I70" s="598">
        <f t="shared" si="4"/>
        <v>24863</v>
      </c>
    </row>
    <row r="71" spans="1:9" ht="12.75">
      <c r="A71" s="596"/>
      <c r="B71" s="596" t="s">
        <v>266</v>
      </c>
      <c r="C71" s="901" t="s">
        <v>267</v>
      </c>
      <c r="D71" s="902"/>
      <c r="E71" s="903"/>
      <c r="F71" s="597">
        <f>SUM(F72)</f>
        <v>0</v>
      </c>
      <c r="G71" s="597">
        <f>SUM(G72)</f>
        <v>14669</v>
      </c>
      <c r="H71" s="597">
        <f>SUM(H72)</f>
        <v>0</v>
      </c>
      <c r="I71" s="598">
        <f t="shared" si="4"/>
        <v>14669</v>
      </c>
    </row>
    <row r="72" spans="1:9" ht="12.75">
      <c r="A72" s="605"/>
      <c r="B72" s="605"/>
      <c r="C72" s="605"/>
      <c r="D72" s="904" t="s">
        <v>1107</v>
      </c>
      <c r="E72" s="905"/>
      <c r="F72" s="606">
        <v>0</v>
      </c>
      <c r="G72" s="606">
        <v>14669</v>
      </c>
      <c r="H72" s="606">
        <v>0</v>
      </c>
      <c r="I72" s="598">
        <f t="shared" si="4"/>
        <v>14669</v>
      </c>
    </row>
    <row r="73" spans="1:9" ht="12.75">
      <c r="A73" s="596"/>
      <c r="B73" s="596" t="s">
        <v>268</v>
      </c>
      <c r="C73" s="910" t="s">
        <v>93</v>
      </c>
      <c r="D73" s="910"/>
      <c r="E73" s="910"/>
      <c r="F73" s="597">
        <v>0</v>
      </c>
      <c r="G73" s="597">
        <v>0</v>
      </c>
      <c r="H73" s="597">
        <v>0</v>
      </c>
      <c r="I73" s="598">
        <f t="shared" si="4"/>
        <v>0</v>
      </c>
    </row>
    <row r="74" spans="1:9" ht="12.75">
      <c r="A74" s="596"/>
      <c r="B74" s="596" t="s">
        <v>269</v>
      </c>
      <c r="C74" s="901" t="s">
        <v>270</v>
      </c>
      <c r="D74" s="902"/>
      <c r="E74" s="903"/>
      <c r="F74" s="597">
        <f>SUM(F75:F78)</f>
        <v>4130</v>
      </c>
      <c r="G74" s="597">
        <f>SUM(G75:G78)</f>
        <v>5196</v>
      </c>
      <c r="H74" s="597">
        <f>SUM(H75:H78)</f>
        <v>0</v>
      </c>
      <c r="I74" s="598">
        <f t="shared" si="4"/>
        <v>9326</v>
      </c>
    </row>
    <row r="75" spans="1:9" ht="12.75">
      <c r="A75" s="605"/>
      <c r="B75" s="605"/>
      <c r="C75" s="605"/>
      <c r="D75" s="904" t="s">
        <v>1108</v>
      </c>
      <c r="E75" s="905"/>
      <c r="F75" s="606">
        <v>0</v>
      </c>
      <c r="G75" s="606">
        <f>3019+1657</f>
        <v>4676</v>
      </c>
      <c r="H75" s="606">
        <v>0</v>
      </c>
      <c r="I75" s="598">
        <f t="shared" si="4"/>
        <v>4676</v>
      </c>
    </row>
    <row r="76" spans="1:9" ht="12.75">
      <c r="A76" s="605"/>
      <c r="B76" s="605"/>
      <c r="C76" s="605"/>
      <c r="D76" s="904" t="s">
        <v>822</v>
      </c>
      <c r="E76" s="905"/>
      <c r="F76" s="606">
        <v>0</v>
      </c>
      <c r="G76" s="606">
        <v>520</v>
      </c>
      <c r="H76" s="606">
        <v>0</v>
      </c>
      <c r="I76" s="598">
        <f t="shared" si="4"/>
        <v>520</v>
      </c>
    </row>
    <row r="77" spans="1:9" ht="12.75">
      <c r="A77" s="605"/>
      <c r="B77" s="605"/>
      <c r="C77" s="605"/>
      <c r="D77" s="904" t="s">
        <v>1109</v>
      </c>
      <c r="E77" s="905"/>
      <c r="F77" s="606">
        <v>1500</v>
      </c>
      <c r="G77" s="606">
        <v>0</v>
      </c>
      <c r="H77" s="606">
        <v>0</v>
      </c>
      <c r="I77" s="598">
        <f t="shared" si="4"/>
        <v>1500</v>
      </c>
    </row>
    <row r="78" spans="1:9" s="258" customFormat="1" ht="12.75">
      <c r="A78" s="605"/>
      <c r="B78" s="605"/>
      <c r="C78" s="605"/>
      <c r="D78" s="904" t="s">
        <v>1110</v>
      </c>
      <c r="E78" s="905"/>
      <c r="F78" s="606">
        <f>1300+1330</f>
        <v>2630</v>
      </c>
      <c r="G78" s="606">
        <v>0</v>
      </c>
      <c r="H78" s="606">
        <v>0</v>
      </c>
      <c r="I78" s="598">
        <f t="shared" si="4"/>
        <v>2630</v>
      </c>
    </row>
    <row r="79" spans="1:9" ht="11.25" customHeight="1">
      <c r="A79" s="594" t="s">
        <v>271</v>
      </c>
      <c r="B79" s="898" t="s">
        <v>272</v>
      </c>
      <c r="C79" s="899"/>
      <c r="D79" s="899"/>
      <c r="E79" s="900"/>
      <c r="F79" s="595">
        <f>SUM(F115+F104+F102+F101+F97+F96+F85+F84+F83+F82+F80+F81)</f>
        <v>334892</v>
      </c>
      <c r="G79" s="595">
        <f>SUM(G115+G104+G102+G101+G97+G96+G85+G84+G83+G82+G80+G81)</f>
        <v>3234</v>
      </c>
      <c r="H79" s="595">
        <f>SUM(H115+H104+H102+H101+H97+H96+H85+H84+H83+H82+H80+H81)</f>
        <v>9549</v>
      </c>
      <c r="I79" s="595">
        <f>SUM(F79:H79)</f>
        <v>347675</v>
      </c>
    </row>
    <row r="80" spans="1:9" ht="12.75" hidden="1">
      <c r="A80" s="605"/>
      <c r="B80" s="605"/>
      <c r="C80" s="605" t="s">
        <v>273</v>
      </c>
      <c r="D80" s="605" t="s">
        <v>274</v>
      </c>
      <c r="E80" s="605"/>
      <c r="F80" s="606">
        <v>0</v>
      </c>
      <c r="G80" s="606">
        <v>0</v>
      </c>
      <c r="H80" s="606">
        <v>0</v>
      </c>
      <c r="I80" s="608">
        <f>SUM(F80:H80)</f>
        <v>0</v>
      </c>
    </row>
    <row r="81" spans="1:9" ht="12.75" hidden="1">
      <c r="A81" s="605"/>
      <c r="B81" s="605"/>
      <c r="C81" s="605" t="s">
        <v>275</v>
      </c>
      <c r="D81" s="605" t="s">
        <v>276</v>
      </c>
      <c r="E81" s="605"/>
      <c r="F81" s="606">
        <f>13962+18+447</f>
        <v>14427</v>
      </c>
      <c r="G81" s="606">
        <v>3234</v>
      </c>
      <c r="H81" s="606">
        <v>9549</v>
      </c>
      <c r="I81" s="608">
        <f aca="true" t="shared" si="5" ref="I81:I123">SUM(F81:H81)</f>
        <v>27210</v>
      </c>
    </row>
    <row r="82" spans="1:9" ht="12.75" hidden="1">
      <c r="A82" s="605"/>
      <c r="B82" s="605"/>
      <c r="C82" s="605" t="s">
        <v>277</v>
      </c>
      <c r="D82" s="908" t="s">
        <v>278</v>
      </c>
      <c r="E82" s="909"/>
      <c r="F82" s="606">
        <v>0</v>
      </c>
      <c r="G82" s="606">
        <v>0</v>
      </c>
      <c r="H82" s="606">
        <v>0</v>
      </c>
      <c r="I82" s="608">
        <f t="shared" si="5"/>
        <v>0</v>
      </c>
    </row>
    <row r="83" spans="1:9" ht="12.75" hidden="1">
      <c r="A83" s="605"/>
      <c r="B83" s="605"/>
      <c r="C83" s="605" t="s">
        <v>279</v>
      </c>
      <c r="D83" s="908" t="s">
        <v>280</v>
      </c>
      <c r="E83" s="909"/>
      <c r="F83" s="606">
        <f>39900+1455</f>
        <v>41355</v>
      </c>
      <c r="G83" s="606">
        <v>0</v>
      </c>
      <c r="H83" s="606">
        <v>0</v>
      </c>
      <c r="I83" s="608">
        <f t="shared" si="5"/>
        <v>41355</v>
      </c>
    </row>
    <row r="84" spans="1:9" ht="12.75" hidden="1">
      <c r="A84" s="605"/>
      <c r="B84" s="605"/>
      <c r="C84" s="605" t="s">
        <v>301</v>
      </c>
      <c r="D84" s="908" t="s">
        <v>302</v>
      </c>
      <c r="E84" s="909"/>
      <c r="F84" s="606">
        <v>0</v>
      </c>
      <c r="G84" s="606">
        <v>0</v>
      </c>
      <c r="H84" s="606">
        <v>0</v>
      </c>
      <c r="I84" s="608">
        <f t="shared" si="5"/>
        <v>0</v>
      </c>
    </row>
    <row r="85" spans="1:9" ht="12.75" hidden="1">
      <c r="A85" s="605"/>
      <c r="B85" s="605"/>
      <c r="C85" s="605" t="s">
        <v>303</v>
      </c>
      <c r="D85" s="908" t="s">
        <v>304</v>
      </c>
      <c r="E85" s="909"/>
      <c r="F85" s="606">
        <f>SUM(F86:F95)</f>
        <v>1092</v>
      </c>
      <c r="G85" s="606">
        <f>SUM(G86:G95)</f>
        <v>0</v>
      </c>
      <c r="H85" s="606">
        <f>SUM(H86:H95)</f>
        <v>0</v>
      </c>
      <c r="I85" s="608">
        <f t="shared" si="5"/>
        <v>1092</v>
      </c>
    </row>
    <row r="86" spans="1:9" ht="12.75" hidden="1">
      <c r="A86" s="612"/>
      <c r="B86" s="612"/>
      <c r="C86" s="607" t="s">
        <v>20</v>
      </c>
      <c r="D86" s="607" t="s">
        <v>281</v>
      </c>
      <c r="E86" s="607" t="s">
        <v>282</v>
      </c>
      <c r="F86" s="613">
        <v>0</v>
      </c>
      <c r="G86" s="613">
        <v>0</v>
      </c>
      <c r="H86" s="613">
        <v>0</v>
      </c>
      <c r="I86" s="608">
        <f t="shared" si="5"/>
        <v>0</v>
      </c>
    </row>
    <row r="87" spans="1:9" ht="12.75" hidden="1">
      <c r="A87" s="612"/>
      <c r="B87" s="612"/>
      <c r="C87" s="607"/>
      <c r="D87" s="607" t="s">
        <v>283</v>
      </c>
      <c r="E87" s="607" t="s">
        <v>284</v>
      </c>
      <c r="F87" s="613">
        <v>0</v>
      </c>
      <c r="G87" s="613">
        <v>0</v>
      </c>
      <c r="H87" s="613">
        <v>0</v>
      </c>
      <c r="I87" s="608">
        <f t="shared" si="5"/>
        <v>0</v>
      </c>
    </row>
    <row r="88" spans="1:9" ht="12.75" hidden="1">
      <c r="A88" s="612"/>
      <c r="B88" s="612"/>
      <c r="C88" s="607"/>
      <c r="D88" s="607" t="s">
        <v>285</v>
      </c>
      <c r="E88" s="607" t="s">
        <v>286</v>
      </c>
      <c r="F88" s="613">
        <v>0</v>
      </c>
      <c r="G88" s="613">
        <v>0</v>
      </c>
      <c r="H88" s="613">
        <v>0</v>
      </c>
      <c r="I88" s="608">
        <f t="shared" si="5"/>
        <v>0</v>
      </c>
    </row>
    <row r="89" spans="1:9" ht="12.75" hidden="1">
      <c r="A89" s="612"/>
      <c r="B89" s="612"/>
      <c r="C89" s="607"/>
      <c r="D89" s="607" t="s">
        <v>287</v>
      </c>
      <c r="E89" s="607" t="s">
        <v>288</v>
      </c>
      <c r="F89" s="613">
        <v>0</v>
      </c>
      <c r="G89" s="613">
        <v>0</v>
      </c>
      <c r="H89" s="613">
        <v>0</v>
      </c>
      <c r="I89" s="608">
        <f t="shared" si="5"/>
        <v>0</v>
      </c>
    </row>
    <row r="90" spans="1:9" ht="12.75" hidden="1">
      <c r="A90" s="612"/>
      <c r="B90" s="612"/>
      <c r="C90" s="607"/>
      <c r="D90" s="607" t="s">
        <v>289</v>
      </c>
      <c r="E90" s="607" t="s">
        <v>290</v>
      </c>
      <c r="F90" s="613">
        <v>0</v>
      </c>
      <c r="G90" s="613">
        <v>0</v>
      </c>
      <c r="H90" s="613">
        <v>0</v>
      </c>
      <c r="I90" s="608">
        <f t="shared" si="5"/>
        <v>0</v>
      </c>
    </row>
    <row r="91" spans="1:9" ht="12.75" hidden="1">
      <c r="A91" s="612"/>
      <c r="B91" s="612"/>
      <c r="C91" s="607"/>
      <c r="D91" s="607" t="s">
        <v>291</v>
      </c>
      <c r="E91" s="607" t="s">
        <v>292</v>
      </c>
      <c r="F91" s="613">
        <v>0</v>
      </c>
      <c r="G91" s="613">
        <v>0</v>
      </c>
      <c r="H91" s="613">
        <v>0</v>
      </c>
      <c r="I91" s="608">
        <f t="shared" si="5"/>
        <v>0</v>
      </c>
    </row>
    <row r="92" spans="1:9" ht="12.75" hidden="1">
      <c r="A92" s="612"/>
      <c r="B92" s="612"/>
      <c r="C92" s="607"/>
      <c r="D92" s="607" t="s">
        <v>293</v>
      </c>
      <c r="E92" s="607" t="s">
        <v>294</v>
      </c>
      <c r="F92" s="613">
        <v>250</v>
      </c>
      <c r="G92" s="613">
        <v>0</v>
      </c>
      <c r="H92" s="613">
        <v>0</v>
      </c>
      <c r="I92" s="608">
        <f t="shared" si="5"/>
        <v>250</v>
      </c>
    </row>
    <row r="93" spans="1:9" ht="12.75" hidden="1">
      <c r="A93" s="612"/>
      <c r="B93" s="612"/>
      <c r="C93" s="607"/>
      <c r="D93" s="607" t="s">
        <v>295</v>
      </c>
      <c r="E93" s="607" t="s">
        <v>296</v>
      </c>
      <c r="F93" s="613">
        <f>186+500+156</f>
        <v>842</v>
      </c>
      <c r="G93" s="613">
        <v>0</v>
      </c>
      <c r="H93" s="613">
        <v>0</v>
      </c>
      <c r="I93" s="608">
        <f t="shared" si="5"/>
        <v>842</v>
      </c>
    </row>
    <row r="94" spans="1:9" ht="12.75" hidden="1">
      <c r="A94" s="612"/>
      <c r="B94" s="612"/>
      <c r="C94" s="607"/>
      <c r="D94" s="607" t="s">
        <v>297</v>
      </c>
      <c r="E94" s="607" t="s">
        <v>298</v>
      </c>
      <c r="F94" s="613">
        <v>0</v>
      </c>
      <c r="G94" s="613">
        <v>0</v>
      </c>
      <c r="H94" s="613">
        <v>0</v>
      </c>
      <c r="I94" s="608">
        <f t="shared" si="5"/>
        <v>0</v>
      </c>
    </row>
    <row r="95" spans="1:9" ht="12.75" hidden="1">
      <c r="A95" s="612"/>
      <c r="B95" s="612"/>
      <c r="C95" s="607"/>
      <c r="D95" s="607" t="s">
        <v>299</v>
      </c>
      <c r="E95" s="607" t="s">
        <v>300</v>
      </c>
      <c r="F95" s="613">
        <v>0</v>
      </c>
      <c r="G95" s="613">
        <v>0</v>
      </c>
      <c r="H95" s="613">
        <v>0</v>
      </c>
      <c r="I95" s="608">
        <f t="shared" si="5"/>
        <v>0</v>
      </c>
    </row>
    <row r="96" spans="1:9" ht="12.75" hidden="1">
      <c r="A96" s="605"/>
      <c r="B96" s="605"/>
      <c r="C96" s="605" t="s">
        <v>305</v>
      </c>
      <c r="D96" s="908" t="s">
        <v>306</v>
      </c>
      <c r="E96" s="909"/>
      <c r="F96" s="606">
        <v>0</v>
      </c>
      <c r="G96" s="606">
        <v>0</v>
      </c>
      <c r="H96" s="606">
        <v>0</v>
      </c>
      <c r="I96" s="608">
        <f t="shared" si="5"/>
        <v>0</v>
      </c>
    </row>
    <row r="97" spans="1:9" ht="24" customHeight="1" hidden="1">
      <c r="A97" s="605"/>
      <c r="B97" s="605"/>
      <c r="C97" s="605" t="s">
        <v>307</v>
      </c>
      <c r="D97" s="908" t="s">
        <v>1123</v>
      </c>
      <c r="E97" s="909"/>
      <c r="F97" s="606">
        <f>SUM(F98:F100)</f>
        <v>24547</v>
      </c>
      <c r="G97" s="606">
        <f>SUM(G99:G100)</f>
        <v>0</v>
      </c>
      <c r="H97" s="606">
        <f>SUM(H99:H100)</f>
        <v>0</v>
      </c>
      <c r="I97" s="608">
        <f t="shared" si="5"/>
        <v>24547</v>
      </c>
    </row>
    <row r="98" spans="1:9" ht="14.25" customHeight="1" hidden="1">
      <c r="A98" s="605"/>
      <c r="B98" s="605"/>
      <c r="C98" s="605"/>
      <c r="D98" s="607" t="s">
        <v>293</v>
      </c>
      <c r="E98" s="607" t="s">
        <v>313</v>
      </c>
      <c r="F98" s="606">
        <v>2879</v>
      </c>
      <c r="G98" s="606"/>
      <c r="H98" s="606"/>
      <c r="I98" s="608"/>
    </row>
    <row r="99" spans="1:9" ht="12.75" hidden="1">
      <c r="A99" s="605"/>
      <c r="B99" s="605"/>
      <c r="C99" s="605"/>
      <c r="D99" s="607" t="s">
        <v>283</v>
      </c>
      <c r="E99" s="607" t="s">
        <v>913</v>
      </c>
      <c r="F99" s="606">
        <v>7000</v>
      </c>
      <c r="G99" s="606"/>
      <c r="H99" s="606"/>
      <c r="I99" s="608"/>
    </row>
    <row r="100" spans="1:9" ht="12.75" hidden="1">
      <c r="A100" s="605"/>
      <c r="B100" s="605"/>
      <c r="C100" s="605"/>
      <c r="D100" s="607" t="s">
        <v>295</v>
      </c>
      <c r="E100" s="607" t="s">
        <v>314</v>
      </c>
      <c r="F100" s="606">
        <v>14668</v>
      </c>
      <c r="G100" s="606"/>
      <c r="H100" s="606"/>
      <c r="I100" s="608"/>
    </row>
    <row r="101" spans="1:9" ht="12.75" hidden="1">
      <c r="A101" s="605"/>
      <c r="B101" s="605"/>
      <c r="C101" s="605" t="s">
        <v>318</v>
      </c>
      <c r="D101" s="908" t="s">
        <v>319</v>
      </c>
      <c r="E101" s="909"/>
      <c r="F101" s="606">
        <v>0</v>
      </c>
      <c r="G101" s="606">
        <v>0</v>
      </c>
      <c r="H101" s="606">
        <v>0</v>
      </c>
      <c r="I101" s="608">
        <f t="shared" si="5"/>
        <v>0</v>
      </c>
    </row>
    <row r="102" spans="1:9" ht="12.75" hidden="1">
      <c r="A102" s="605"/>
      <c r="B102" s="605"/>
      <c r="C102" s="605" t="s">
        <v>320</v>
      </c>
      <c r="D102" s="908" t="s">
        <v>321</v>
      </c>
      <c r="E102" s="909"/>
      <c r="F102" s="606">
        <v>0</v>
      </c>
      <c r="G102" s="606">
        <v>0</v>
      </c>
      <c r="H102" s="606">
        <v>0</v>
      </c>
      <c r="I102" s="608">
        <f t="shared" si="5"/>
        <v>0</v>
      </c>
    </row>
    <row r="103" spans="1:9" ht="12.75" hidden="1">
      <c r="A103" s="605"/>
      <c r="B103" s="605"/>
      <c r="C103" s="605" t="s">
        <v>322</v>
      </c>
      <c r="D103" s="908" t="s">
        <v>916</v>
      </c>
      <c r="E103" s="909"/>
      <c r="F103" s="606">
        <v>0</v>
      </c>
      <c r="G103" s="606">
        <v>0</v>
      </c>
      <c r="H103" s="606">
        <v>0</v>
      </c>
      <c r="I103" s="608">
        <f t="shared" si="5"/>
        <v>0</v>
      </c>
    </row>
    <row r="104" spans="1:9" ht="12.75" hidden="1">
      <c r="A104" s="605"/>
      <c r="B104" s="605"/>
      <c r="C104" s="605" t="s">
        <v>324</v>
      </c>
      <c r="D104" s="908" t="s">
        <v>323</v>
      </c>
      <c r="E104" s="909"/>
      <c r="F104" s="606">
        <f>SUM(F105:F114)</f>
        <v>199400</v>
      </c>
      <c r="G104" s="606">
        <f>SUM(G105:G114)</f>
        <v>0</v>
      </c>
      <c r="H104" s="606">
        <f>SUM(H105:H114)</f>
        <v>0</v>
      </c>
      <c r="I104" s="608">
        <f t="shared" si="5"/>
        <v>199400</v>
      </c>
    </row>
    <row r="105" spans="1:9" ht="12.75" hidden="1">
      <c r="A105" s="614"/>
      <c r="B105" s="614"/>
      <c r="C105" s="607" t="s">
        <v>20</v>
      </c>
      <c r="D105" s="607" t="s">
        <v>281</v>
      </c>
      <c r="E105" s="607" t="s">
        <v>308</v>
      </c>
      <c r="F105" s="613">
        <v>0</v>
      </c>
      <c r="G105" s="613">
        <v>0</v>
      </c>
      <c r="H105" s="613">
        <v>0</v>
      </c>
      <c r="I105" s="608">
        <f t="shared" si="5"/>
        <v>0</v>
      </c>
    </row>
    <row r="106" spans="1:9" ht="12.75" hidden="1">
      <c r="A106" s="614"/>
      <c r="B106" s="614"/>
      <c r="C106" s="607"/>
      <c r="D106" s="607" t="s">
        <v>283</v>
      </c>
      <c r="E106" s="607" t="s">
        <v>913</v>
      </c>
      <c r="F106" s="613">
        <v>9137</v>
      </c>
      <c r="G106" s="613">
        <v>0</v>
      </c>
      <c r="H106" s="613">
        <v>0</v>
      </c>
      <c r="I106" s="608">
        <f t="shared" si="5"/>
        <v>9137</v>
      </c>
    </row>
    <row r="107" spans="1:9" ht="12.75" hidden="1">
      <c r="A107" s="614"/>
      <c r="B107" s="614"/>
      <c r="C107" s="607"/>
      <c r="D107" s="607" t="s">
        <v>285</v>
      </c>
      <c r="E107" s="607" t="s">
        <v>309</v>
      </c>
      <c r="F107" s="613">
        <f>100+67</f>
        <v>167</v>
      </c>
      <c r="G107" s="613">
        <v>0</v>
      </c>
      <c r="H107" s="613">
        <v>0</v>
      </c>
      <c r="I107" s="608">
        <f t="shared" si="5"/>
        <v>167</v>
      </c>
    </row>
    <row r="108" spans="1:9" ht="12.75" hidden="1">
      <c r="A108" s="614"/>
      <c r="B108" s="614"/>
      <c r="C108" s="607"/>
      <c r="D108" s="607" t="s">
        <v>287</v>
      </c>
      <c r="E108" s="607" t="s">
        <v>310</v>
      </c>
      <c r="F108" s="613">
        <v>0</v>
      </c>
      <c r="G108" s="613">
        <v>0</v>
      </c>
      <c r="H108" s="613">
        <v>0</v>
      </c>
      <c r="I108" s="608">
        <f t="shared" si="5"/>
        <v>0</v>
      </c>
    </row>
    <row r="109" spans="1:9" ht="12.75" hidden="1">
      <c r="A109" s="614"/>
      <c r="B109" s="614"/>
      <c r="C109" s="607"/>
      <c r="D109" s="607" t="s">
        <v>289</v>
      </c>
      <c r="E109" s="607" t="s">
        <v>311</v>
      </c>
      <c r="F109" s="613">
        <v>0</v>
      </c>
      <c r="G109" s="613">
        <v>0</v>
      </c>
      <c r="H109" s="613">
        <v>0</v>
      </c>
      <c r="I109" s="608">
        <f t="shared" si="5"/>
        <v>0</v>
      </c>
    </row>
    <row r="110" spans="1:9" ht="12.75" hidden="1">
      <c r="A110" s="614"/>
      <c r="B110" s="614"/>
      <c r="C110" s="607"/>
      <c r="D110" s="607" t="s">
        <v>291</v>
      </c>
      <c r="E110" s="607" t="s">
        <v>312</v>
      </c>
      <c r="F110" s="613">
        <v>0</v>
      </c>
      <c r="G110" s="613">
        <v>0</v>
      </c>
      <c r="H110" s="613">
        <v>0</v>
      </c>
      <c r="I110" s="608">
        <f t="shared" si="5"/>
        <v>0</v>
      </c>
    </row>
    <row r="111" spans="1:9" ht="12.75" hidden="1">
      <c r="A111" s="612"/>
      <c r="B111" s="612"/>
      <c r="C111" s="607"/>
      <c r="D111" s="607" t="s">
        <v>293</v>
      </c>
      <c r="E111" s="607" t="s">
        <v>313</v>
      </c>
      <c r="F111" s="613">
        <f>185178+416-500-5200</f>
        <v>179894</v>
      </c>
      <c r="G111" s="613">
        <v>0</v>
      </c>
      <c r="H111" s="613">
        <v>0</v>
      </c>
      <c r="I111" s="608">
        <f t="shared" si="5"/>
        <v>179894</v>
      </c>
    </row>
    <row r="112" spans="1:9" ht="12.75" hidden="1">
      <c r="A112" s="612"/>
      <c r="B112" s="612"/>
      <c r="C112" s="607"/>
      <c r="D112" s="607" t="s">
        <v>295</v>
      </c>
      <c r="E112" s="607" t="s">
        <v>314</v>
      </c>
      <c r="F112" s="613">
        <f>9230-5429+3+20</f>
        <v>3824</v>
      </c>
      <c r="G112" s="613">
        <v>0</v>
      </c>
      <c r="H112" s="613">
        <v>0</v>
      </c>
      <c r="I112" s="608">
        <f t="shared" si="5"/>
        <v>3824</v>
      </c>
    </row>
    <row r="113" spans="1:9" ht="12.75" hidden="1">
      <c r="A113" s="614"/>
      <c r="B113" s="614"/>
      <c r="C113" s="607"/>
      <c r="D113" s="607" t="s">
        <v>297</v>
      </c>
      <c r="E113" s="607" t="s">
        <v>316</v>
      </c>
      <c r="F113" s="613">
        <v>0</v>
      </c>
      <c r="G113" s="613">
        <v>0</v>
      </c>
      <c r="H113" s="613">
        <v>0</v>
      </c>
      <c r="I113" s="608">
        <f t="shared" si="5"/>
        <v>0</v>
      </c>
    </row>
    <row r="114" spans="1:9" ht="12.75" hidden="1">
      <c r="A114" s="614"/>
      <c r="B114" s="614"/>
      <c r="C114" s="607"/>
      <c r="D114" s="607" t="s">
        <v>299</v>
      </c>
      <c r="E114" s="607" t="s">
        <v>317</v>
      </c>
      <c r="F114" s="613">
        <f>999+1407+3972</f>
        <v>6378</v>
      </c>
      <c r="G114" s="613">
        <v>0</v>
      </c>
      <c r="H114" s="613">
        <v>0</v>
      </c>
      <c r="I114" s="608">
        <f t="shared" si="5"/>
        <v>6378</v>
      </c>
    </row>
    <row r="115" spans="1:9" ht="12.75">
      <c r="A115" s="614"/>
      <c r="B115" s="640" t="s">
        <v>20</v>
      </c>
      <c r="C115" s="605" t="s">
        <v>917</v>
      </c>
      <c r="D115" s="908" t="s">
        <v>325</v>
      </c>
      <c r="E115" s="909"/>
      <c r="F115" s="606">
        <f>SUM(F116:F123)</f>
        <v>54071</v>
      </c>
      <c r="G115" s="606">
        <f>SUM(G116:G123)</f>
        <v>0</v>
      </c>
      <c r="H115" s="606">
        <f>SUM(H116:H123)</f>
        <v>0</v>
      </c>
      <c r="I115" s="608">
        <f t="shared" si="5"/>
        <v>54071</v>
      </c>
    </row>
    <row r="116" spans="1:9" ht="12.75">
      <c r="A116" s="612"/>
      <c r="B116" s="612"/>
      <c r="C116" s="607"/>
      <c r="D116" s="615"/>
      <c r="E116" s="616" t="s">
        <v>625</v>
      </c>
      <c r="F116" s="613">
        <f>1000-1000</f>
        <v>0</v>
      </c>
      <c r="G116" s="613">
        <v>0</v>
      </c>
      <c r="H116" s="613">
        <v>0</v>
      </c>
      <c r="I116" s="608">
        <f t="shared" si="5"/>
        <v>0</v>
      </c>
    </row>
    <row r="117" spans="1:9" ht="12.75">
      <c r="A117" s="612"/>
      <c r="B117" s="612"/>
      <c r="C117" s="607"/>
      <c r="D117" s="615"/>
      <c r="E117" s="616" t="s">
        <v>1081</v>
      </c>
      <c r="F117" s="613">
        <f>200+2611</f>
        <v>2811</v>
      </c>
      <c r="G117" s="613">
        <v>0</v>
      </c>
      <c r="H117" s="613">
        <v>0</v>
      </c>
      <c r="I117" s="608">
        <f t="shared" si="5"/>
        <v>2811</v>
      </c>
    </row>
    <row r="118" spans="1:9" ht="12.75">
      <c r="A118" s="612"/>
      <c r="B118" s="612"/>
      <c r="C118" s="607"/>
      <c r="D118" s="615"/>
      <c r="E118" s="616" t="s">
        <v>1082</v>
      </c>
      <c r="F118" s="613">
        <f>1519-323+714+2900-127</f>
        <v>4683</v>
      </c>
      <c r="G118" s="613">
        <v>0</v>
      </c>
      <c r="H118" s="613">
        <v>0</v>
      </c>
      <c r="I118" s="608">
        <f t="shared" si="5"/>
        <v>4683</v>
      </c>
    </row>
    <row r="119" spans="1:9" s="258" customFormat="1" ht="12.75">
      <c r="A119" s="612"/>
      <c r="B119" s="612"/>
      <c r="C119" s="607"/>
      <c r="D119" s="615"/>
      <c r="E119" s="616" t="s">
        <v>1079</v>
      </c>
      <c r="F119" s="613">
        <f>3000-1000-207-707-38</f>
        <v>1048</v>
      </c>
      <c r="G119" s="613">
        <v>0</v>
      </c>
      <c r="H119" s="613">
        <v>0</v>
      </c>
      <c r="I119" s="608">
        <f>SUM(F119:H119)</f>
        <v>1048</v>
      </c>
    </row>
    <row r="120" spans="1:9" ht="12.75">
      <c r="A120" s="612"/>
      <c r="B120" s="612"/>
      <c r="C120" s="607"/>
      <c r="D120" s="615"/>
      <c r="E120" s="616" t="s">
        <v>662</v>
      </c>
      <c r="F120" s="613">
        <f>5200-156-12125-165+2609+882+1936+231-277+978+6630+57-2500-450-2121</f>
        <v>729</v>
      </c>
      <c r="G120" s="613">
        <v>0</v>
      </c>
      <c r="H120" s="613">
        <v>0</v>
      </c>
      <c r="I120" s="608">
        <f t="shared" si="5"/>
        <v>729</v>
      </c>
    </row>
    <row r="121" spans="1:9" ht="12.75">
      <c r="A121" s="612"/>
      <c r="B121" s="612"/>
      <c r="C121" s="607"/>
      <c r="D121" s="615"/>
      <c r="E121" s="616" t="s">
        <v>933</v>
      </c>
      <c r="F121" s="613">
        <f>-882-8489+122146-13962-41870-714-146-3-7982-9122-2900-2611-4252-16238-18-10330-1499-385-594-149</f>
        <v>0</v>
      </c>
      <c r="G121" s="613">
        <f>3234-3234</f>
        <v>0</v>
      </c>
      <c r="H121" s="613">
        <f>9549-9549</f>
        <v>0</v>
      </c>
      <c r="I121" s="608">
        <f t="shared" si="5"/>
        <v>0</v>
      </c>
    </row>
    <row r="122" spans="1:9" ht="12.75">
      <c r="A122" s="612"/>
      <c r="B122" s="612"/>
      <c r="C122" s="607"/>
      <c r="D122" s="615"/>
      <c r="E122" s="616" t="s">
        <v>1080</v>
      </c>
      <c r="F122" s="613">
        <v>40540</v>
      </c>
      <c r="G122" s="613">
        <v>0</v>
      </c>
      <c r="H122" s="613">
        <v>0</v>
      </c>
      <c r="I122" s="608">
        <f t="shared" si="5"/>
        <v>40540</v>
      </c>
    </row>
    <row r="123" spans="1:9" ht="12.75">
      <c r="A123" s="612"/>
      <c r="B123" s="612"/>
      <c r="C123" s="607"/>
      <c r="D123" s="615"/>
      <c r="E123" s="616" t="s">
        <v>326</v>
      </c>
      <c r="F123" s="613">
        <f>195+4252+170-357</f>
        <v>4260</v>
      </c>
      <c r="G123" s="613">
        <v>0</v>
      </c>
      <c r="H123" s="613">
        <v>0</v>
      </c>
      <c r="I123" s="608">
        <f t="shared" si="5"/>
        <v>4260</v>
      </c>
    </row>
    <row r="124" spans="1:9" ht="11.25" customHeight="1">
      <c r="A124" s="594" t="s">
        <v>249</v>
      </c>
      <c r="B124" s="898" t="s">
        <v>558</v>
      </c>
      <c r="C124" s="899"/>
      <c r="D124" s="899"/>
      <c r="E124" s="900"/>
      <c r="F124" s="595">
        <f>SUM(F125:F131)</f>
        <v>1184984</v>
      </c>
      <c r="G124" s="595">
        <f>SUM(G125:G131)</f>
        <v>615</v>
      </c>
      <c r="H124" s="595">
        <f>SUM(H125:H131)+400+20</f>
        <v>957</v>
      </c>
      <c r="I124" s="595">
        <f>SUM(F124:H124)</f>
        <v>1186556</v>
      </c>
    </row>
    <row r="125" spans="1:9" ht="12.75" hidden="1">
      <c r="A125" s="596"/>
      <c r="B125" s="596" t="s">
        <v>327</v>
      </c>
      <c r="C125" s="910" t="s">
        <v>328</v>
      </c>
      <c r="D125" s="910"/>
      <c r="E125" s="910"/>
      <c r="F125" s="597">
        <v>0</v>
      </c>
      <c r="G125" s="597">
        <v>0</v>
      </c>
      <c r="H125" s="597">
        <v>0</v>
      </c>
      <c r="I125" s="598">
        <f>SUM(F125:H125)</f>
        <v>0</v>
      </c>
    </row>
    <row r="126" spans="1:9" ht="12.75" hidden="1">
      <c r="A126" s="596"/>
      <c r="B126" s="596" t="s">
        <v>329</v>
      </c>
      <c r="C126" s="910" t="s">
        <v>330</v>
      </c>
      <c r="D126" s="910"/>
      <c r="E126" s="910"/>
      <c r="F126" s="597">
        <f>813625-6000+90</f>
        <v>807715</v>
      </c>
      <c r="G126" s="597">
        <v>0</v>
      </c>
      <c r="H126" s="597">
        <v>0</v>
      </c>
      <c r="I126" s="598">
        <f aca="true" t="shared" si="6" ref="I126:I131">SUM(F126:H126)</f>
        <v>807715</v>
      </c>
    </row>
    <row r="127" spans="1:9" ht="12.75" hidden="1">
      <c r="A127" s="596" t="s">
        <v>331</v>
      </c>
      <c r="B127" s="596" t="s">
        <v>332</v>
      </c>
      <c r="C127" s="910" t="s">
        <v>333</v>
      </c>
      <c r="D127" s="910"/>
      <c r="E127" s="910"/>
      <c r="F127" s="597">
        <f>315+134-134+26</f>
        <v>341</v>
      </c>
      <c r="G127" s="597">
        <v>267</v>
      </c>
      <c r="H127" s="597">
        <v>0</v>
      </c>
      <c r="I127" s="598">
        <f t="shared" si="6"/>
        <v>608</v>
      </c>
    </row>
    <row r="128" spans="1:9" ht="12.75" hidden="1">
      <c r="A128" s="596"/>
      <c r="B128" s="596" t="s">
        <v>334</v>
      </c>
      <c r="C128" s="910" t="s">
        <v>335</v>
      </c>
      <c r="D128" s="910"/>
      <c r="E128" s="910"/>
      <c r="F128" s="597">
        <f>352838-713-58-110+236+85+87-823-1643-22-1217-739-182+724</f>
        <v>348463</v>
      </c>
      <c r="G128" s="597">
        <v>217</v>
      </c>
      <c r="H128" s="597">
        <v>423</v>
      </c>
      <c r="I128" s="598">
        <f t="shared" si="6"/>
        <v>349103</v>
      </c>
    </row>
    <row r="129" spans="1:9" s="258" customFormat="1" ht="12.75" hidden="1">
      <c r="A129" s="596" t="s">
        <v>1121</v>
      </c>
      <c r="B129" s="596" t="s">
        <v>336</v>
      </c>
      <c r="C129" s="910" t="s">
        <v>337</v>
      </c>
      <c r="D129" s="910"/>
      <c r="E129" s="910"/>
      <c r="F129" s="597">
        <v>3000</v>
      </c>
      <c r="G129" s="597">
        <v>0</v>
      </c>
      <c r="H129" s="597">
        <v>0</v>
      </c>
      <c r="I129" s="598">
        <f t="shared" si="6"/>
        <v>3000</v>
      </c>
    </row>
    <row r="130" spans="1:9" ht="12.75" hidden="1">
      <c r="A130" s="596"/>
      <c r="B130" s="596" t="s">
        <v>338</v>
      </c>
      <c r="C130" s="910" t="s">
        <v>339</v>
      </c>
      <c r="D130" s="910"/>
      <c r="E130" s="910"/>
      <c r="F130" s="597">
        <v>0</v>
      </c>
      <c r="G130" s="597">
        <v>0</v>
      </c>
      <c r="H130" s="597">
        <v>0</v>
      </c>
      <c r="I130" s="598">
        <f t="shared" si="6"/>
        <v>0</v>
      </c>
    </row>
    <row r="131" spans="1:9" ht="12.75" hidden="1">
      <c r="A131" s="596"/>
      <c r="B131" s="596" t="s">
        <v>340</v>
      </c>
      <c r="C131" s="910" t="s">
        <v>341</v>
      </c>
      <c r="D131" s="910"/>
      <c r="E131" s="910"/>
      <c r="F131" s="597">
        <f>26621-193-15-30+24+64+23+24-223-444-6-328-199-49+196</f>
        <v>25465</v>
      </c>
      <c r="G131" s="597">
        <f>95+36</f>
        <v>131</v>
      </c>
      <c r="H131" s="597">
        <f>43+71</f>
        <v>114</v>
      </c>
      <c r="I131" s="598">
        <f t="shared" si="6"/>
        <v>25710</v>
      </c>
    </row>
    <row r="132" spans="1:9" ht="11.25" customHeight="1">
      <c r="A132" s="594" t="s">
        <v>251</v>
      </c>
      <c r="B132" s="898" t="s">
        <v>250</v>
      </c>
      <c r="C132" s="899"/>
      <c r="D132" s="899"/>
      <c r="E132" s="900"/>
      <c r="F132" s="595">
        <f>SUM(F133:F136)</f>
        <v>23192</v>
      </c>
      <c r="G132" s="595">
        <f>SUM(G133:G136)</f>
        <v>0</v>
      </c>
      <c r="H132" s="595">
        <f>SUM(H133:H136)</f>
        <v>667</v>
      </c>
      <c r="I132" s="595">
        <f aca="true" t="shared" si="7" ref="I132:I138">SUM(F132:H132)</f>
        <v>23859</v>
      </c>
    </row>
    <row r="133" spans="1:9" ht="12.75" hidden="1">
      <c r="A133" s="596"/>
      <c r="B133" s="596" t="s">
        <v>342</v>
      </c>
      <c r="C133" s="910" t="s">
        <v>343</v>
      </c>
      <c r="D133" s="910"/>
      <c r="E133" s="910"/>
      <c r="F133" s="597">
        <f>969-237+1772+1772+10039+5438-247+281-1525</f>
        <v>18262</v>
      </c>
      <c r="G133" s="597">
        <v>0</v>
      </c>
      <c r="H133" s="597">
        <v>526</v>
      </c>
      <c r="I133" s="598">
        <f t="shared" si="7"/>
        <v>18788</v>
      </c>
    </row>
    <row r="134" spans="1:9" s="258" customFormat="1" ht="12.75" hidden="1">
      <c r="A134" s="596"/>
      <c r="B134" s="596" t="s">
        <v>344</v>
      </c>
      <c r="C134" s="910" t="s">
        <v>345</v>
      </c>
      <c r="D134" s="910"/>
      <c r="E134" s="910"/>
      <c r="F134" s="597">
        <v>0</v>
      </c>
      <c r="G134" s="597">
        <v>0</v>
      </c>
      <c r="H134" s="597">
        <v>0</v>
      </c>
      <c r="I134" s="598">
        <f t="shared" si="7"/>
        <v>0</v>
      </c>
    </row>
    <row r="135" spans="1:9" ht="12.75" hidden="1">
      <c r="A135" s="596" t="s">
        <v>331</v>
      </c>
      <c r="B135" s="596" t="s">
        <v>346</v>
      </c>
      <c r="C135" s="910" t="s">
        <v>347</v>
      </c>
      <c r="D135" s="910"/>
      <c r="E135" s="910"/>
      <c r="F135" s="597">
        <v>0</v>
      </c>
      <c r="G135" s="597">
        <v>0</v>
      </c>
      <c r="H135" s="597">
        <v>0</v>
      </c>
      <c r="I135" s="598">
        <f t="shared" si="7"/>
        <v>0</v>
      </c>
    </row>
    <row r="136" spans="1:11" ht="12.75" hidden="1">
      <c r="A136" s="596"/>
      <c r="B136" s="596" t="s">
        <v>348</v>
      </c>
      <c r="C136" s="910" t="s">
        <v>349</v>
      </c>
      <c r="D136" s="910"/>
      <c r="E136" s="910"/>
      <c r="F136" s="597">
        <f>261-64+478+478+2711+1468-67+76-411</f>
        <v>4930</v>
      </c>
      <c r="G136" s="597">
        <v>0</v>
      </c>
      <c r="H136" s="597">
        <v>141</v>
      </c>
      <c r="I136" s="598">
        <f t="shared" si="7"/>
        <v>5071</v>
      </c>
      <c r="K136" t="s">
        <v>204</v>
      </c>
    </row>
    <row r="137" spans="1:9" ht="12.75" customHeight="1">
      <c r="A137" s="594" t="s">
        <v>253</v>
      </c>
      <c r="B137" s="898" t="s">
        <v>252</v>
      </c>
      <c r="C137" s="899"/>
      <c r="D137" s="899"/>
      <c r="E137" s="900"/>
      <c r="F137" s="595">
        <f>SUM(F138:F146)</f>
        <v>18551</v>
      </c>
      <c r="G137" s="595">
        <f>SUM(G138:G146)</f>
        <v>0</v>
      </c>
      <c r="H137" s="595">
        <f>SUM(H138:H146)</f>
        <v>0</v>
      </c>
      <c r="I137" s="595">
        <f t="shared" si="7"/>
        <v>18551</v>
      </c>
    </row>
    <row r="138" spans="1:9" ht="12.75" hidden="1">
      <c r="A138" s="596"/>
      <c r="B138" s="596" t="s">
        <v>350</v>
      </c>
      <c r="C138" s="910" t="s">
        <v>351</v>
      </c>
      <c r="D138" s="910"/>
      <c r="E138" s="910"/>
      <c r="F138" s="597">
        <v>0</v>
      </c>
      <c r="G138" s="597">
        <v>0</v>
      </c>
      <c r="H138" s="597">
        <v>0</v>
      </c>
      <c r="I138" s="598">
        <f t="shared" si="7"/>
        <v>0</v>
      </c>
    </row>
    <row r="139" spans="1:9" ht="12.75" hidden="1">
      <c r="A139" s="596"/>
      <c r="B139" s="596" t="s">
        <v>352</v>
      </c>
      <c r="C139" s="910" t="s">
        <v>353</v>
      </c>
      <c r="D139" s="910"/>
      <c r="E139" s="910"/>
      <c r="F139" s="597">
        <v>2199</v>
      </c>
      <c r="G139" s="597">
        <v>0</v>
      </c>
      <c r="H139" s="597">
        <v>0</v>
      </c>
      <c r="I139" s="598">
        <f aca="true" t="shared" si="8" ref="I139:I160">SUM(F139:H139)</f>
        <v>2199</v>
      </c>
    </row>
    <row r="140" spans="1:9" ht="12.75" hidden="1">
      <c r="A140" s="596" t="s">
        <v>331</v>
      </c>
      <c r="B140" s="596" t="s">
        <v>354</v>
      </c>
      <c r="C140" s="910" t="s">
        <v>355</v>
      </c>
      <c r="D140" s="910"/>
      <c r="E140" s="910"/>
      <c r="F140" s="597">
        <v>0</v>
      </c>
      <c r="G140" s="597">
        <v>0</v>
      </c>
      <c r="H140" s="597">
        <v>0</v>
      </c>
      <c r="I140" s="598">
        <f t="shared" si="8"/>
        <v>0</v>
      </c>
    </row>
    <row r="141" spans="1:9" ht="12.75" hidden="1">
      <c r="A141" s="596"/>
      <c r="B141" s="596" t="s">
        <v>356</v>
      </c>
      <c r="C141" s="910" t="s">
        <v>357</v>
      </c>
      <c r="D141" s="910"/>
      <c r="E141" s="910"/>
      <c r="F141" s="597">
        <v>260</v>
      </c>
      <c r="G141" s="597">
        <v>0</v>
      </c>
      <c r="H141" s="597">
        <v>0</v>
      </c>
      <c r="I141" s="598">
        <f t="shared" si="8"/>
        <v>260</v>
      </c>
    </row>
    <row r="142" spans="1:9" ht="12.75" hidden="1">
      <c r="A142" s="596"/>
      <c r="B142" s="596" t="s">
        <v>358</v>
      </c>
      <c r="C142" s="910" t="s">
        <v>359</v>
      </c>
      <c r="D142" s="910"/>
      <c r="E142" s="910"/>
      <c r="F142" s="597">
        <v>0</v>
      </c>
      <c r="G142" s="597">
        <v>0</v>
      </c>
      <c r="H142" s="597">
        <v>0</v>
      </c>
      <c r="I142" s="598">
        <f t="shared" si="8"/>
        <v>0</v>
      </c>
    </row>
    <row r="143" spans="1:9" ht="12.75" hidden="1">
      <c r="A143" s="596"/>
      <c r="B143" s="596" t="s">
        <v>360</v>
      </c>
      <c r="C143" s="910" t="s">
        <v>361</v>
      </c>
      <c r="D143" s="910"/>
      <c r="E143" s="910"/>
      <c r="F143" s="597">
        <v>0</v>
      </c>
      <c r="G143" s="597">
        <v>0</v>
      </c>
      <c r="H143" s="597">
        <v>0</v>
      </c>
      <c r="I143" s="598">
        <f t="shared" si="8"/>
        <v>0</v>
      </c>
    </row>
    <row r="144" spans="1:9" ht="12.75" hidden="1">
      <c r="A144" s="596"/>
      <c r="B144" s="596" t="s">
        <v>362</v>
      </c>
      <c r="C144" s="910" t="s">
        <v>363</v>
      </c>
      <c r="D144" s="910"/>
      <c r="E144" s="910"/>
      <c r="F144" s="597">
        <v>0</v>
      </c>
      <c r="G144" s="597">
        <v>0</v>
      </c>
      <c r="H144" s="597">
        <v>0</v>
      </c>
      <c r="I144" s="598">
        <f t="shared" si="8"/>
        <v>0</v>
      </c>
    </row>
    <row r="145" spans="1:9" ht="12.75" hidden="1">
      <c r="A145" s="596"/>
      <c r="B145" s="596" t="s">
        <v>364</v>
      </c>
      <c r="C145" s="910" t="s">
        <v>919</v>
      </c>
      <c r="D145" s="910"/>
      <c r="E145" s="910"/>
      <c r="F145" s="597">
        <v>0</v>
      </c>
      <c r="G145" s="597">
        <v>0</v>
      </c>
      <c r="H145" s="597">
        <v>0</v>
      </c>
      <c r="I145" s="598">
        <f>SUM(F145:H145)</f>
        <v>0</v>
      </c>
    </row>
    <row r="146" spans="1:9" ht="12.75" hidden="1">
      <c r="A146" s="596"/>
      <c r="B146" s="596" t="s">
        <v>918</v>
      </c>
      <c r="C146" s="910" t="s">
        <v>365</v>
      </c>
      <c r="D146" s="910"/>
      <c r="E146" s="910"/>
      <c r="F146" s="597">
        <f>SUM(F147:F156)</f>
        <v>16092</v>
      </c>
      <c r="G146" s="597">
        <f>SUM(G147:G156)</f>
        <v>0</v>
      </c>
      <c r="H146" s="597">
        <f>SUM(H147:H156)</f>
        <v>0</v>
      </c>
      <c r="I146" s="598">
        <f t="shared" si="8"/>
        <v>16092</v>
      </c>
    </row>
    <row r="147" spans="1:9" ht="12.75" hidden="1">
      <c r="A147" s="614"/>
      <c r="B147" s="614"/>
      <c r="C147" s="607" t="s">
        <v>20</v>
      </c>
      <c r="D147" s="607" t="s">
        <v>281</v>
      </c>
      <c r="E147" s="607" t="s">
        <v>308</v>
      </c>
      <c r="F147" s="613">
        <v>0</v>
      </c>
      <c r="G147" s="613">
        <v>0</v>
      </c>
      <c r="H147" s="613">
        <v>0</v>
      </c>
      <c r="I147" s="598">
        <f t="shared" si="8"/>
        <v>0</v>
      </c>
    </row>
    <row r="148" spans="1:9" ht="12.75" hidden="1">
      <c r="A148" s="614"/>
      <c r="B148" s="614"/>
      <c r="C148" s="607"/>
      <c r="D148" s="607" t="s">
        <v>283</v>
      </c>
      <c r="E148" s="607" t="s">
        <v>913</v>
      </c>
      <c r="F148" s="613">
        <v>399</v>
      </c>
      <c r="G148" s="613"/>
      <c r="H148" s="613"/>
      <c r="I148" s="598">
        <f t="shared" si="8"/>
        <v>399</v>
      </c>
    </row>
    <row r="149" spans="1:9" ht="12.75" hidden="1">
      <c r="A149" s="614"/>
      <c r="B149" s="614"/>
      <c r="C149" s="607"/>
      <c r="D149" s="607" t="s">
        <v>285</v>
      </c>
      <c r="E149" s="607" t="s">
        <v>309</v>
      </c>
      <c r="F149" s="613">
        <v>0</v>
      </c>
      <c r="G149" s="613">
        <v>0</v>
      </c>
      <c r="H149" s="613">
        <v>0</v>
      </c>
      <c r="I149" s="598">
        <f t="shared" si="8"/>
        <v>0</v>
      </c>
    </row>
    <row r="150" spans="1:9" ht="12.75" hidden="1">
      <c r="A150" s="614"/>
      <c r="B150" s="614"/>
      <c r="C150" s="607"/>
      <c r="D150" s="607" t="s">
        <v>287</v>
      </c>
      <c r="E150" s="607" t="s">
        <v>310</v>
      </c>
      <c r="F150" s="613">
        <v>0</v>
      </c>
      <c r="G150" s="613">
        <v>0</v>
      </c>
      <c r="H150" s="613">
        <v>0</v>
      </c>
      <c r="I150" s="598">
        <f t="shared" si="8"/>
        <v>0</v>
      </c>
    </row>
    <row r="151" spans="1:9" ht="12.75" hidden="1">
      <c r="A151" s="614"/>
      <c r="B151" s="614"/>
      <c r="C151" s="607"/>
      <c r="D151" s="607" t="s">
        <v>289</v>
      </c>
      <c r="E151" s="607" t="s">
        <v>311</v>
      </c>
      <c r="F151" s="613">
        <v>0</v>
      </c>
      <c r="G151" s="613">
        <v>0</v>
      </c>
      <c r="H151" s="613">
        <v>0</v>
      </c>
      <c r="I151" s="598">
        <f t="shared" si="8"/>
        <v>0</v>
      </c>
    </row>
    <row r="152" spans="1:9" ht="12.75" hidden="1">
      <c r="A152" s="614"/>
      <c r="B152" s="614"/>
      <c r="C152" s="607"/>
      <c r="D152" s="607" t="s">
        <v>291</v>
      </c>
      <c r="E152" s="607" t="s">
        <v>312</v>
      </c>
      <c r="F152" s="613">
        <v>0</v>
      </c>
      <c r="G152" s="613">
        <v>0</v>
      </c>
      <c r="H152" s="613">
        <v>0</v>
      </c>
      <c r="I152" s="598">
        <f t="shared" si="8"/>
        <v>0</v>
      </c>
    </row>
    <row r="153" spans="1:9" ht="12.75" hidden="1">
      <c r="A153" s="614"/>
      <c r="B153" s="614"/>
      <c r="C153" s="607"/>
      <c r="D153" s="607" t="s">
        <v>293</v>
      </c>
      <c r="E153" s="607" t="s">
        <v>313</v>
      </c>
      <c r="F153" s="613">
        <f>500-500</f>
        <v>0</v>
      </c>
      <c r="G153" s="613">
        <v>0</v>
      </c>
      <c r="H153" s="613">
        <v>0</v>
      </c>
      <c r="I153" s="598">
        <f t="shared" si="8"/>
        <v>0</v>
      </c>
    </row>
    <row r="154" spans="1:9" ht="12.75" hidden="1">
      <c r="A154" s="614"/>
      <c r="B154" s="614"/>
      <c r="C154" s="607"/>
      <c r="D154" s="607" t="s">
        <v>295</v>
      </c>
      <c r="E154" s="607" t="s">
        <v>314</v>
      </c>
      <c r="F154" s="613">
        <v>0</v>
      </c>
      <c r="G154" s="613">
        <v>0</v>
      </c>
      <c r="H154" s="613">
        <v>0</v>
      </c>
      <c r="I154" s="598">
        <f t="shared" si="8"/>
        <v>0</v>
      </c>
    </row>
    <row r="155" spans="1:9" s="258" customFormat="1" ht="12.75" hidden="1">
      <c r="A155" s="614"/>
      <c r="B155" s="614"/>
      <c r="C155" s="607"/>
      <c r="D155" s="607" t="s">
        <v>297</v>
      </c>
      <c r="E155" s="607" t="s">
        <v>316</v>
      </c>
      <c r="F155" s="613">
        <v>0</v>
      </c>
      <c r="G155" s="613">
        <v>0</v>
      </c>
      <c r="H155" s="613">
        <v>0</v>
      </c>
      <c r="I155" s="598">
        <f t="shared" si="8"/>
        <v>0</v>
      </c>
    </row>
    <row r="156" spans="1:9" ht="12.75" hidden="1">
      <c r="A156" s="614"/>
      <c r="B156" s="614"/>
      <c r="C156" s="607"/>
      <c r="D156" s="607" t="s">
        <v>299</v>
      </c>
      <c r="E156" s="607" t="s">
        <v>317</v>
      </c>
      <c r="F156" s="613">
        <f>1830+9561+4302</f>
        <v>15693</v>
      </c>
      <c r="G156" s="613">
        <v>0</v>
      </c>
      <c r="H156" s="613">
        <v>0</v>
      </c>
      <c r="I156" s="598">
        <f t="shared" si="8"/>
        <v>15693</v>
      </c>
    </row>
    <row r="157" spans="1:9" ht="12" customHeight="1">
      <c r="A157" s="594" t="s">
        <v>255</v>
      </c>
      <c r="B157" s="898" t="s">
        <v>254</v>
      </c>
      <c r="C157" s="899"/>
      <c r="D157" s="899"/>
      <c r="E157" s="900"/>
      <c r="F157" s="595">
        <f>SUM(F158:F160)</f>
        <v>86238</v>
      </c>
      <c r="G157" s="595">
        <f>SUM(G158:G160)</f>
        <v>0</v>
      </c>
      <c r="H157" s="595">
        <f>SUM(H158:H160)</f>
        <v>0</v>
      </c>
      <c r="I157" s="595">
        <f>SUM(F157:H157)</f>
        <v>86238</v>
      </c>
    </row>
    <row r="158" spans="1:9" ht="12.75" hidden="1">
      <c r="A158" s="596"/>
      <c r="B158" s="596" t="s">
        <v>366</v>
      </c>
      <c r="C158" s="910" t="s">
        <v>367</v>
      </c>
      <c r="D158" s="910"/>
      <c r="E158" s="910"/>
      <c r="F158" s="597">
        <f>16238+70000</f>
        <v>86238</v>
      </c>
      <c r="G158" s="597">
        <v>0</v>
      </c>
      <c r="H158" s="597">
        <v>0</v>
      </c>
      <c r="I158" s="598">
        <f t="shared" si="8"/>
        <v>86238</v>
      </c>
    </row>
    <row r="159" spans="1:9" s="260" customFormat="1" ht="15" hidden="1">
      <c r="A159" s="596"/>
      <c r="B159" s="596" t="s">
        <v>368</v>
      </c>
      <c r="C159" s="910" t="s">
        <v>369</v>
      </c>
      <c r="D159" s="910"/>
      <c r="E159" s="910"/>
      <c r="F159" s="597">
        <v>0</v>
      </c>
      <c r="G159" s="597">
        <v>0</v>
      </c>
      <c r="H159" s="597">
        <v>0</v>
      </c>
      <c r="I159" s="598">
        <f t="shared" si="8"/>
        <v>0</v>
      </c>
    </row>
    <row r="160" spans="1:9" ht="12.75" hidden="1">
      <c r="A160" s="596"/>
      <c r="B160" s="596" t="s">
        <v>370</v>
      </c>
      <c r="C160" s="910" t="s">
        <v>371</v>
      </c>
      <c r="D160" s="910"/>
      <c r="E160" s="910"/>
      <c r="F160" s="597">
        <v>0</v>
      </c>
      <c r="G160" s="597">
        <v>0</v>
      </c>
      <c r="H160" s="597">
        <v>0</v>
      </c>
      <c r="I160" s="598">
        <f t="shared" si="8"/>
        <v>0</v>
      </c>
    </row>
    <row r="161" spans="1:9" ht="12.75">
      <c r="A161" s="617"/>
      <c r="B161" s="618"/>
      <c r="C161" s="618"/>
      <c r="D161" s="618"/>
      <c r="E161" s="618"/>
      <c r="F161" s="631"/>
      <c r="G161" s="632"/>
      <c r="H161" s="632"/>
      <c r="I161" s="633"/>
    </row>
    <row r="162" spans="1:9" ht="15.75">
      <c r="A162" s="920" t="s">
        <v>372</v>
      </c>
      <c r="B162" s="921"/>
      <c r="C162" s="921"/>
      <c r="D162" s="921"/>
      <c r="E162" s="922"/>
      <c r="F162" s="619">
        <f>SUM(F7+F22+F29+F59+F79+F124+F132+F137+F157)</f>
        <v>2223301</v>
      </c>
      <c r="G162" s="619">
        <f>SUM(G7+G22+G29+G59+G79+G124+G132+G137+G157)</f>
        <v>184180</v>
      </c>
      <c r="H162" s="619">
        <f>SUM(H7+H22+H29+H59+H79+H124+H132+H137+H157)</f>
        <v>210199</v>
      </c>
      <c r="I162" s="619">
        <f>SUM(I7+I22+I29+I59+I79+I124+I132+I137+I157)</f>
        <v>2617680</v>
      </c>
    </row>
  </sheetData>
  <sheetProtection/>
  <mergeCells count="78">
    <mergeCell ref="C127:E127"/>
    <mergeCell ref="C131:E131"/>
    <mergeCell ref="B132:E132"/>
    <mergeCell ref="D104:E104"/>
    <mergeCell ref="D82:E82"/>
    <mergeCell ref="C71:E71"/>
    <mergeCell ref="D84:E84"/>
    <mergeCell ref="C126:E126"/>
    <mergeCell ref="D115:E115"/>
    <mergeCell ref="B124:E124"/>
    <mergeCell ref="C129:E129"/>
    <mergeCell ref="D96:E96"/>
    <mergeCell ref="D97:E97"/>
    <mergeCell ref="D101:E101"/>
    <mergeCell ref="D102:E102"/>
    <mergeCell ref="B157:E157"/>
    <mergeCell ref="C135:E135"/>
    <mergeCell ref="C138:E138"/>
    <mergeCell ref="C125:E125"/>
    <mergeCell ref="C130:E130"/>
    <mergeCell ref="C159:E159"/>
    <mergeCell ref="C160:E160"/>
    <mergeCell ref="C133:E133"/>
    <mergeCell ref="C146:E146"/>
    <mergeCell ref="C145:E145"/>
    <mergeCell ref="C141:E141"/>
    <mergeCell ref="C142:E142"/>
    <mergeCell ref="C139:E139"/>
    <mergeCell ref="C136:E136"/>
    <mergeCell ref="C66:E66"/>
    <mergeCell ref="D67:E67"/>
    <mergeCell ref="D68:E68"/>
    <mergeCell ref="A162:E162"/>
    <mergeCell ref="C134:E134"/>
    <mergeCell ref="B137:E137"/>
    <mergeCell ref="C143:E143"/>
    <mergeCell ref="C144:E144"/>
    <mergeCell ref="C158:E158"/>
    <mergeCell ref="C140:E140"/>
    <mergeCell ref="C33:E33"/>
    <mergeCell ref="D64:E64"/>
    <mergeCell ref="D62:E62"/>
    <mergeCell ref="D63:E63"/>
    <mergeCell ref="C65:E65"/>
    <mergeCell ref="D56:E56"/>
    <mergeCell ref="B59:E59"/>
    <mergeCell ref="C61:E61"/>
    <mergeCell ref="D57:E57"/>
    <mergeCell ref="C69:E69"/>
    <mergeCell ref="B22:E22"/>
    <mergeCell ref="A5:E5"/>
    <mergeCell ref="B7:E7"/>
    <mergeCell ref="C8:E8"/>
    <mergeCell ref="C18:E18"/>
    <mergeCell ref="B6:E6"/>
    <mergeCell ref="C60:E60"/>
    <mergeCell ref="B29:E29"/>
    <mergeCell ref="C30:E30"/>
    <mergeCell ref="C73:E73"/>
    <mergeCell ref="A1:I1"/>
    <mergeCell ref="D85:E85"/>
    <mergeCell ref="C128:E128"/>
    <mergeCell ref="C36:E36"/>
    <mergeCell ref="C50:E50"/>
    <mergeCell ref="D70:E70"/>
    <mergeCell ref="C53:E53"/>
    <mergeCell ref="D83:E83"/>
    <mergeCell ref="D103:E103"/>
    <mergeCell ref="A3:I3"/>
    <mergeCell ref="B79:E79"/>
    <mergeCell ref="C74:E74"/>
    <mergeCell ref="D75:E75"/>
    <mergeCell ref="D76:E76"/>
    <mergeCell ref="D77:E77"/>
    <mergeCell ref="D20:E20"/>
    <mergeCell ref="D78:E78"/>
    <mergeCell ref="D21:E21"/>
    <mergeCell ref="D72:E7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63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136" bestFit="1" customWidth="1"/>
    <col min="2" max="2" width="57.00390625" style="71" customWidth="1"/>
    <col min="3" max="5" width="9.00390625" style="71" customWidth="1"/>
    <col min="6" max="6" width="53.875" style="71" bestFit="1" customWidth="1"/>
    <col min="7" max="7" width="9.875" style="71" bestFit="1" customWidth="1"/>
    <col min="8" max="9" width="10.125" style="71" bestFit="1" customWidth="1"/>
    <col min="10" max="16384" width="9.125" style="71" customWidth="1"/>
  </cols>
  <sheetData>
    <row r="1" spans="6:10" ht="12.75" customHeight="1">
      <c r="F1" s="926" t="s">
        <v>1194</v>
      </c>
      <c r="G1" s="927"/>
      <c r="H1" s="927"/>
      <c r="I1" s="927"/>
      <c r="J1" s="118"/>
    </row>
    <row r="2" spans="2:9" ht="15.75">
      <c r="B2" s="928" t="s">
        <v>812</v>
      </c>
      <c r="C2" s="928"/>
      <c r="D2" s="928"/>
      <c r="E2" s="928"/>
      <c r="F2" s="928"/>
      <c r="G2" s="928"/>
      <c r="H2" s="928"/>
      <c r="I2" s="928"/>
    </row>
    <row r="3" ht="8.25" customHeight="1"/>
    <row r="4" spans="1:9" s="72" customFormat="1" ht="15" customHeight="1">
      <c r="A4" s="930" t="s">
        <v>632</v>
      </c>
      <c r="B4" s="929" t="s">
        <v>639</v>
      </c>
      <c r="C4" s="929"/>
      <c r="D4" s="929"/>
      <c r="E4" s="929"/>
      <c r="F4" s="929" t="s">
        <v>552</v>
      </c>
      <c r="G4" s="929"/>
      <c r="H4" s="929"/>
      <c r="I4" s="929"/>
    </row>
    <row r="5" spans="1:9" s="75" customFormat="1" ht="14.25">
      <c r="A5" s="930"/>
      <c r="B5" s="73" t="s">
        <v>551</v>
      </c>
      <c r="C5" s="74" t="s">
        <v>542</v>
      </c>
      <c r="D5" s="74" t="s">
        <v>541</v>
      </c>
      <c r="E5" s="74" t="s">
        <v>540</v>
      </c>
      <c r="F5" s="73" t="s">
        <v>551</v>
      </c>
      <c r="G5" s="74" t="s">
        <v>542</v>
      </c>
      <c r="H5" s="74" t="s">
        <v>541</v>
      </c>
      <c r="I5" s="74" t="s">
        <v>540</v>
      </c>
    </row>
    <row r="6" spans="1:9" s="135" customFormat="1" ht="12">
      <c r="A6" s="930"/>
      <c r="B6" s="134" t="s">
        <v>626</v>
      </c>
      <c r="C6" s="134" t="s">
        <v>627</v>
      </c>
      <c r="D6" s="134" t="s">
        <v>628</v>
      </c>
      <c r="E6" s="134" t="s">
        <v>629</v>
      </c>
      <c r="F6" s="134" t="s">
        <v>630</v>
      </c>
      <c r="G6" s="134" t="s">
        <v>631</v>
      </c>
      <c r="H6" s="134" t="s">
        <v>634</v>
      </c>
      <c r="I6" s="134" t="s">
        <v>635</v>
      </c>
    </row>
    <row r="7" spans="1:9" s="97" customFormat="1" ht="14.25">
      <c r="A7" s="134">
        <v>1</v>
      </c>
      <c r="B7" s="96" t="s">
        <v>776</v>
      </c>
      <c r="C7" s="114">
        <f>SUM(C8)</f>
        <v>1083543</v>
      </c>
      <c r="D7" s="114">
        <f>SUM(D34,D8)</f>
        <v>1324358</v>
      </c>
      <c r="E7" s="114">
        <f aca="true" t="shared" si="0" ref="E7:E32">SUM(C7:D7)</f>
        <v>2407901</v>
      </c>
      <c r="F7" s="96" t="s">
        <v>777</v>
      </c>
      <c r="G7" s="114">
        <f>SUM(G8,G34)</f>
        <v>1257676</v>
      </c>
      <c r="H7" s="114">
        <f>SUM(H8,H34)</f>
        <v>1273766</v>
      </c>
      <c r="I7" s="114">
        <f aca="true" t="shared" si="1" ref="I7:I12">SUM(G7:H7)</f>
        <v>2531442</v>
      </c>
    </row>
    <row r="8" spans="1:9" s="106" customFormat="1" ht="12.75">
      <c r="A8" s="137">
        <v>2</v>
      </c>
      <c r="B8" s="103" t="s">
        <v>653</v>
      </c>
      <c r="C8" s="104">
        <f>SUM(C30+C18+C14+C9)</f>
        <v>1083543</v>
      </c>
      <c r="D8" s="104">
        <f>SUM(D30+D18+D14+D9)</f>
        <v>0</v>
      </c>
      <c r="E8" s="104">
        <f t="shared" si="0"/>
        <v>1083543</v>
      </c>
      <c r="F8" s="105" t="s">
        <v>659</v>
      </c>
      <c r="G8" s="104">
        <f>SUM(G9:G13)</f>
        <v>1257676</v>
      </c>
      <c r="H8" s="104">
        <f>SUM(H9:H13)</f>
        <v>44800</v>
      </c>
      <c r="I8" s="104">
        <f t="shared" si="1"/>
        <v>1302476</v>
      </c>
    </row>
    <row r="9" spans="1:9" s="78" customFormat="1" ht="12.75">
      <c r="A9" s="137">
        <v>3</v>
      </c>
      <c r="B9" s="112" t="s">
        <v>94</v>
      </c>
      <c r="C9" s="93">
        <f>SUM(C10:C13)</f>
        <v>746132</v>
      </c>
      <c r="D9" s="93">
        <v>0</v>
      </c>
      <c r="E9" s="93">
        <f t="shared" si="0"/>
        <v>746132</v>
      </c>
      <c r="F9" s="113" t="s">
        <v>660</v>
      </c>
      <c r="G9" s="93">
        <f>354028-1478+96+251+3+75649-732-480-50-75649+20648-20648+787+47+54+55+21+428+664+298+197+28+121+135+1243+97+1048+25-302+551+394+1670-32</f>
        <v>359167</v>
      </c>
      <c r="H9" s="93">
        <v>0</v>
      </c>
      <c r="I9" s="93">
        <f t="shared" si="1"/>
        <v>359167</v>
      </c>
    </row>
    <row r="10" spans="1:9" s="78" customFormat="1" ht="12.75">
      <c r="A10" s="134">
        <v>4</v>
      </c>
      <c r="B10" s="90" t="s">
        <v>95</v>
      </c>
      <c r="C10" s="95">
        <f>525185+1721+1589+520+4960+416+960+6038+520-520-277</f>
        <v>541112</v>
      </c>
      <c r="D10" s="95">
        <v>0</v>
      </c>
      <c r="E10" s="95">
        <f t="shared" si="0"/>
        <v>541112</v>
      </c>
      <c r="F10" s="113" t="s">
        <v>122</v>
      </c>
      <c r="G10" s="93">
        <f>92921-396+26+69+10213-198-10213+5467-5467+403+13+15+15+6+116+179+80+53+8+62+36+335+26+283+7-82+149+12+7+106+451-28</f>
        <v>94674</v>
      </c>
      <c r="H10" s="93">
        <v>0</v>
      </c>
      <c r="I10" s="93">
        <f t="shared" si="1"/>
        <v>94674</v>
      </c>
    </row>
    <row r="11" spans="1:9" s="78" customFormat="1" ht="12.75">
      <c r="A11" s="137">
        <v>5</v>
      </c>
      <c r="B11" s="90" t="s">
        <v>96</v>
      </c>
      <c r="C11" s="95">
        <f>842+39900+1455</f>
        <v>42197</v>
      </c>
      <c r="D11" s="95">
        <v>0</v>
      </c>
      <c r="E11" s="95">
        <f t="shared" si="0"/>
        <v>42197</v>
      </c>
      <c r="F11" s="113" t="s">
        <v>123</v>
      </c>
      <c r="G11" s="93">
        <f>607831-911-763-500+11330-221-40-80-50-50-30-50-40-50-30-100-50-500-50-50-35-12-50-50-10-11330+250+150-150-6+6+1589+4810+5105+5+2+850+14+146+7982-183+127+77+1204+8+435+230+196+22+61+14+49+66-284628+960+77+24+1052+440+592+962-578+79421+279-279+594+149+53-53+27-27-440+73+140+200-300+599+38-111+146+6038+3000+560+2500+15+450+217-217+280+40</f>
        <v>439461</v>
      </c>
      <c r="H11" s="93">
        <v>0</v>
      </c>
      <c r="I11" s="93">
        <f t="shared" si="1"/>
        <v>439461</v>
      </c>
    </row>
    <row r="12" spans="1:9" s="78" customFormat="1" ht="12.75">
      <c r="A12" s="137">
        <v>6</v>
      </c>
      <c r="B12" s="90" t="s">
        <v>97</v>
      </c>
      <c r="C12" s="95">
        <f>253834-96734-5429+1428+20+700-5663-6462+3000+1095+3971+280</f>
        <v>150040</v>
      </c>
      <c r="D12" s="95">
        <v>0</v>
      </c>
      <c r="E12" s="95">
        <f t="shared" si="0"/>
        <v>150040</v>
      </c>
      <c r="F12" s="113" t="s">
        <v>124</v>
      </c>
      <c r="G12" s="93">
        <f>57589+2580+1330</f>
        <v>61499</v>
      </c>
      <c r="H12" s="93">
        <v>0</v>
      </c>
      <c r="I12" s="93">
        <f t="shared" si="1"/>
        <v>61499</v>
      </c>
    </row>
    <row r="13" spans="1:9" s="78" customFormat="1" ht="12.75">
      <c r="A13" s="134">
        <v>7</v>
      </c>
      <c r="B13" s="90" t="s">
        <v>935</v>
      </c>
      <c r="C13" s="95">
        <v>12783</v>
      </c>
      <c r="D13" s="95">
        <v>0</v>
      </c>
      <c r="E13" s="95">
        <f t="shared" si="0"/>
        <v>12783</v>
      </c>
      <c r="F13" s="117" t="s">
        <v>127</v>
      </c>
      <c r="G13" s="93">
        <f>SUM(G14:G20)</f>
        <v>302875</v>
      </c>
      <c r="H13" s="93">
        <f>SUM(H14:H20)</f>
        <v>44800</v>
      </c>
      <c r="I13" s="93">
        <f aca="true" t="shared" si="2" ref="I13:I20">SUM(G13:H13)</f>
        <v>347675</v>
      </c>
    </row>
    <row r="14" spans="1:9" s="78" customFormat="1" ht="12.75">
      <c r="A14" s="137">
        <v>8</v>
      </c>
      <c r="B14" s="112" t="s">
        <v>101</v>
      </c>
      <c r="C14" s="93">
        <f>SUM(C15:C17)</f>
        <v>170970</v>
      </c>
      <c r="D14" s="93">
        <f>SUM(D15:D17)</f>
        <v>0</v>
      </c>
      <c r="E14" s="93">
        <f t="shared" si="0"/>
        <v>170970</v>
      </c>
      <c r="F14" s="92" t="s">
        <v>125</v>
      </c>
      <c r="G14" s="95">
        <f>250+186+500+156</f>
        <v>1092</v>
      </c>
      <c r="H14" s="95">
        <v>0</v>
      </c>
      <c r="I14" s="95">
        <f t="shared" si="2"/>
        <v>1092</v>
      </c>
    </row>
    <row r="15" spans="1:9" s="79" customFormat="1" ht="12.75">
      <c r="A15" s="137">
        <v>9</v>
      </c>
      <c r="B15" s="90" t="s">
        <v>230</v>
      </c>
      <c r="C15" s="95">
        <f>147200+1970</f>
        <v>149170</v>
      </c>
      <c r="D15" s="95">
        <v>0</v>
      </c>
      <c r="E15" s="95">
        <f t="shared" si="0"/>
        <v>149170</v>
      </c>
      <c r="F15" s="92" t="s">
        <v>869</v>
      </c>
      <c r="G15" s="95">
        <f>14668+7000+2879</f>
        <v>24547</v>
      </c>
      <c r="H15" s="95">
        <v>0</v>
      </c>
      <c r="I15" s="95">
        <f t="shared" si="2"/>
        <v>24547</v>
      </c>
    </row>
    <row r="16" spans="1:9" s="79" customFormat="1" ht="12.75">
      <c r="A16" s="134">
        <v>10</v>
      </c>
      <c r="B16" s="91" t="s">
        <v>134</v>
      </c>
      <c r="C16" s="95">
        <v>20000</v>
      </c>
      <c r="D16" s="95">
        <v>0</v>
      </c>
      <c r="E16" s="95">
        <f t="shared" si="0"/>
        <v>20000</v>
      </c>
      <c r="F16" s="92" t="s">
        <v>126</v>
      </c>
      <c r="G16" s="95">
        <f>220969-8000-1650+3650-5230-650-3540-7-682-803-5000+5487+100-5429+14274-14274+3+1407+416+67+20-500-5200+3972</f>
        <v>199400</v>
      </c>
      <c r="H16" s="95">
        <v>0</v>
      </c>
      <c r="I16" s="95">
        <f t="shared" si="2"/>
        <v>199400</v>
      </c>
    </row>
    <row r="17" spans="1:9" s="79" customFormat="1" ht="12.75">
      <c r="A17" s="137">
        <v>11</v>
      </c>
      <c r="B17" s="90" t="s">
        <v>102</v>
      </c>
      <c r="C17" s="95">
        <v>1800</v>
      </c>
      <c r="D17" s="95">
        <v>0</v>
      </c>
      <c r="E17" s="95">
        <f t="shared" si="0"/>
        <v>1800</v>
      </c>
      <c r="F17" s="92" t="s">
        <v>937</v>
      </c>
      <c r="G17" s="95">
        <f>13962+18+447</f>
        <v>14427</v>
      </c>
      <c r="H17" s="95">
        <v>0</v>
      </c>
      <c r="I17" s="95">
        <f t="shared" si="2"/>
        <v>14427</v>
      </c>
    </row>
    <row r="18" spans="1:9" s="79" customFormat="1" ht="12.75">
      <c r="A18" s="137">
        <v>12</v>
      </c>
      <c r="B18" s="112" t="s">
        <v>103</v>
      </c>
      <c r="C18" s="93">
        <f>SUM(C19:C29)</f>
        <v>141663</v>
      </c>
      <c r="D18" s="93">
        <f>SUM(D19:D29)</f>
        <v>0</v>
      </c>
      <c r="E18" s="93">
        <f t="shared" si="0"/>
        <v>141663</v>
      </c>
      <c r="F18" s="92" t="s">
        <v>943</v>
      </c>
      <c r="G18" s="95">
        <f>3234+9549</f>
        <v>12783</v>
      </c>
      <c r="H18" s="95">
        <v>0</v>
      </c>
      <c r="I18" s="95">
        <f t="shared" si="2"/>
        <v>12783</v>
      </c>
    </row>
    <row r="19" spans="1:9" s="78" customFormat="1" ht="12.75">
      <c r="A19" s="134">
        <v>13</v>
      </c>
      <c r="B19" s="90" t="s">
        <v>921</v>
      </c>
      <c r="C19" s="95">
        <f>8037+14+63+81+66</f>
        <v>8261</v>
      </c>
      <c r="D19" s="95">
        <v>0</v>
      </c>
      <c r="E19" s="95">
        <f t="shared" si="0"/>
        <v>8261</v>
      </c>
      <c r="F19" s="92" t="s">
        <v>936</v>
      </c>
      <c r="G19" s="95">
        <f>1000+200+1000+1519+3000-323-3517-100-859+720+3517-250+10-70-350-1000-2250-2250-6000+53177-13962-5976+714-714-146-3-7982+2900-2900+2611-2611-16238-18+12783-1000+410-127+3234-3234+9549-9549-1204-67-8-218-360+63-1000-1499-385-207-594-149-707-38+5200-156-12125-165+2609+882+1936+231-277+978+6630+57-2500-450-2121</f>
        <v>9271</v>
      </c>
      <c r="H19" s="95">
        <f>195+40540-882-8489+68969-35894-9122-4252+4252-10330+170-357</f>
        <v>44800</v>
      </c>
      <c r="I19" s="95">
        <f t="shared" si="2"/>
        <v>54071</v>
      </c>
    </row>
    <row r="20" spans="1:9" s="78" customFormat="1" ht="12.75">
      <c r="A20" s="137">
        <v>14</v>
      </c>
      <c r="B20" s="90" t="s">
        <v>104</v>
      </c>
      <c r="C20" s="95">
        <f>85516+195</f>
        <v>85711</v>
      </c>
      <c r="D20" s="95">
        <v>0</v>
      </c>
      <c r="E20" s="95">
        <f t="shared" si="0"/>
        <v>85711</v>
      </c>
      <c r="F20" s="92" t="s">
        <v>1043</v>
      </c>
      <c r="G20" s="95">
        <f>39900+1455</f>
        <v>41355</v>
      </c>
      <c r="H20" s="95">
        <v>0</v>
      </c>
      <c r="I20" s="95">
        <f t="shared" si="2"/>
        <v>41355</v>
      </c>
    </row>
    <row r="21" spans="1:9" s="78" customFormat="1" ht="12.75">
      <c r="A21" s="137">
        <v>15</v>
      </c>
      <c r="B21" s="90" t="s">
        <v>105</v>
      </c>
      <c r="C21" s="95">
        <f>10835+171</f>
        <v>11006</v>
      </c>
      <c r="D21" s="95">
        <v>0</v>
      </c>
      <c r="E21" s="95">
        <f t="shared" si="0"/>
        <v>11006</v>
      </c>
      <c r="F21" s="92"/>
      <c r="G21" s="95"/>
      <c r="H21" s="95"/>
      <c r="I21" s="95"/>
    </row>
    <row r="22" spans="1:9" s="78" customFormat="1" ht="12.75">
      <c r="A22" s="134">
        <v>16</v>
      </c>
      <c r="B22" s="90" t="s">
        <v>823</v>
      </c>
      <c r="C22" s="95">
        <f>695+134</f>
        <v>829</v>
      </c>
      <c r="D22" s="95">
        <v>0</v>
      </c>
      <c r="E22" s="95">
        <f t="shared" si="0"/>
        <v>829</v>
      </c>
      <c r="F22" s="92"/>
      <c r="G22" s="95"/>
      <c r="H22" s="95"/>
      <c r="I22" s="95"/>
    </row>
    <row r="23" spans="1:9" s="78" customFormat="1" ht="12.75">
      <c r="A23" s="137">
        <v>17</v>
      </c>
      <c r="B23" s="90" t="s">
        <v>106</v>
      </c>
      <c r="C23" s="95">
        <v>10183</v>
      </c>
      <c r="D23" s="95">
        <v>0</v>
      </c>
      <c r="E23" s="95">
        <f t="shared" si="0"/>
        <v>10183</v>
      </c>
      <c r="F23" s="92"/>
      <c r="G23" s="95"/>
      <c r="H23" s="95"/>
      <c r="I23" s="95"/>
    </row>
    <row r="24" spans="1:9" s="78" customFormat="1" ht="12.75">
      <c r="A24" s="137">
        <v>18</v>
      </c>
      <c r="B24" s="90" t="s">
        <v>107</v>
      </c>
      <c r="C24" s="95">
        <f>23714+22+4+17+22+18+36+46</f>
        <v>23879</v>
      </c>
      <c r="D24" s="95">
        <v>0</v>
      </c>
      <c r="E24" s="95">
        <f t="shared" si="0"/>
        <v>23879</v>
      </c>
      <c r="F24" s="77"/>
      <c r="G24" s="95"/>
      <c r="H24" s="94"/>
      <c r="I24" s="94"/>
    </row>
    <row r="25" spans="1:9" s="78" customFormat="1" ht="12.75">
      <c r="A25" s="137">
        <v>19</v>
      </c>
      <c r="B25" s="90" t="s">
        <v>489</v>
      </c>
      <c r="C25" s="95">
        <f>284628+4762+77-284628-4762</f>
        <v>77</v>
      </c>
      <c r="D25" s="95">
        <v>0</v>
      </c>
      <c r="E25" s="95">
        <f t="shared" si="0"/>
        <v>77</v>
      </c>
      <c r="F25" s="77"/>
      <c r="G25" s="95"/>
      <c r="H25" s="94"/>
      <c r="I25" s="94"/>
    </row>
    <row r="26" spans="1:9" s="78" customFormat="1" ht="12.75">
      <c r="A26" s="134">
        <v>20</v>
      </c>
      <c r="B26" s="90" t="s">
        <v>108</v>
      </c>
      <c r="C26" s="95">
        <v>487</v>
      </c>
      <c r="D26" s="95">
        <v>0</v>
      </c>
      <c r="E26" s="95">
        <f t="shared" si="0"/>
        <v>487</v>
      </c>
      <c r="F26" s="77"/>
      <c r="G26" s="95"/>
      <c r="H26" s="94"/>
      <c r="I26" s="94"/>
    </row>
    <row r="27" spans="1:9" s="78" customFormat="1" ht="12.75">
      <c r="A27" s="134">
        <v>21</v>
      </c>
      <c r="B27" s="90" t="s">
        <v>1126</v>
      </c>
      <c r="C27" s="95">
        <v>104</v>
      </c>
      <c r="D27" s="95">
        <v>0</v>
      </c>
      <c r="E27" s="95">
        <f>SUM(C27:D27)</f>
        <v>104</v>
      </c>
      <c r="F27" s="77"/>
      <c r="G27" s="95"/>
      <c r="H27" s="94"/>
      <c r="I27" s="94"/>
    </row>
    <row r="28" spans="1:9" s="78" customFormat="1" ht="12.75">
      <c r="A28" s="134">
        <v>22</v>
      </c>
      <c r="B28" s="90" t="s">
        <v>1127</v>
      </c>
      <c r="C28" s="95">
        <f>270+410+47+330+15</f>
        <v>1072</v>
      </c>
      <c r="D28" s="95">
        <v>0</v>
      </c>
      <c r="E28" s="95">
        <f>SUM(C28:D28)</f>
        <v>1072</v>
      </c>
      <c r="F28" s="77"/>
      <c r="G28" s="95"/>
      <c r="H28" s="94"/>
      <c r="I28" s="94"/>
    </row>
    <row r="29" spans="1:9" s="76" customFormat="1" ht="12.75">
      <c r="A29" s="137">
        <v>23</v>
      </c>
      <c r="B29" s="90" t="s">
        <v>1128</v>
      </c>
      <c r="C29" s="95">
        <f>30+24</f>
        <v>54</v>
      </c>
      <c r="D29" s="95">
        <v>0</v>
      </c>
      <c r="E29" s="95">
        <f>SUM(C29:D29)</f>
        <v>54</v>
      </c>
      <c r="F29" s="77"/>
      <c r="G29" s="94"/>
      <c r="H29" s="94"/>
      <c r="I29" s="94"/>
    </row>
    <row r="30" spans="1:9" s="76" customFormat="1" ht="12.75">
      <c r="A30" s="137">
        <v>24</v>
      </c>
      <c r="B30" s="112" t="s">
        <v>114</v>
      </c>
      <c r="C30" s="93">
        <f>SUM(C31:C32)</f>
        <v>24778</v>
      </c>
      <c r="D30" s="93">
        <v>0</v>
      </c>
      <c r="E30" s="93">
        <f t="shared" si="0"/>
        <v>24778</v>
      </c>
      <c r="F30" s="77"/>
      <c r="G30" s="94"/>
      <c r="H30" s="94"/>
      <c r="I30" s="94"/>
    </row>
    <row r="31" spans="1:9" s="76" customFormat="1" ht="12.75">
      <c r="A31" s="134">
        <v>25</v>
      </c>
      <c r="B31" s="90" t="s">
        <v>115</v>
      </c>
      <c r="C31" s="95">
        <f>14668+7000+2879</f>
        <v>24547</v>
      </c>
      <c r="D31" s="95">
        <v>0</v>
      </c>
      <c r="E31" s="95">
        <f t="shared" si="0"/>
        <v>24547</v>
      </c>
      <c r="F31" s="77"/>
      <c r="G31" s="94"/>
      <c r="H31" s="94"/>
      <c r="I31" s="94"/>
    </row>
    <row r="32" spans="1:9" s="76" customFormat="1" ht="12.75">
      <c r="A32" s="137">
        <v>26</v>
      </c>
      <c r="B32" s="90" t="s">
        <v>116</v>
      </c>
      <c r="C32" s="95">
        <f>217+230+1-217</f>
        <v>231</v>
      </c>
      <c r="D32" s="95">
        <v>0</v>
      </c>
      <c r="E32" s="95">
        <f t="shared" si="0"/>
        <v>231</v>
      </c>
      <c r="F32" s="77"/>
      <c r="G32" s="94"/>
      <c r="H32" s="94"/>
      <c r="I32" s="94"/>
    </row>
    <row r="33" spans="1:9" s="76" customFormat="1" ht="12.75">
      <c r="A33" s="137">
        <v>27</v>
      </c>
      <c r="B33" s="90"/>
      <c r="C33" s="95"/>
      <c r="D33" s="95"/>
      <c r="E33" s="95"/>
      <c r="F33" s="77"/>
      <c r="G33" s="94"/>
      <c r="H33" s="94"/>
      <c r="I33" s="94"/>
    </row>
    <row r="34" spans="1:9" s="106" customFormat="1" ht="12.75">
      <c r="A34" s="134">
        <v>28</v>
      </c>
      <c r="B34" s="107" t="s">
        <v>658</v>
      </c>
      <c r="C34" s="104">
        <f>SUM(C44+C39+C35)</f>
        <v>0</v>
      </c>
      <c r="D34" s="104">
        <f>SUM(D44+D39+D35)</f>
        <v>1324358</v>
      </c>
      <c r="E34" s="104">
        <f>SUM(D34:D34)</f>
        <v>1324358</v>
      </c>
      <c r="F34" s="105" t="s">
        <v>537</v>
      </c>
      <c r="G34" s="104">
        <f>SUM(G35:G37)</f>
        <v>0</v>
      </c>
      <c r="H34" s="104">
        <f>SUM(H35:H37)</f>
        <v>1228966</v>
      </c>
      <c r="I34" s="104">
        <f aca="true" t="shared" si="3" ref="I34:I42">SUM(G34:H34)</f>
        <v>1228966</v>
      </c>
    </row>
    <row r="35" spans="1:9" s="76" customFormat="1" ht="12.75">
      <c r="A35" s="137">
        <v>29</v>
      </c>
      <c r="B35" s="112" t="s">
        <v>98</v>
      </c>
      <c r="C35" s="93">
        <f>SUM(C36:C37)</f>
        <v>0</v>
      </c>
      <c r="D35" s="93">
        <f>SUM(D36:D38)</f>
        <v>1064618</v>
      </c>
      <c r="E35" s="93">
        <f>SUM(D35:D35)</f>
        <v>1064618</v>
      </c>
      <c r="F35" s="113" t="s">
        <v>128</v>
      </c>
      <c r="G35" s="93">
        <v>0</v>
      </c>
      <c r="H35" s="93">
        <f>1206490-7620+6000+430+156+8184-50-8184+70+1350+5644+8489+35888+6+9122+10330+333+360-170-79421+170-6000-906-73-140+114+300+108+111-5644-231+920+400+20</f>
        <v>1186556</v>
      </c>
      <c r="I35" s="93">
        <f t="shared" si="3"/>
        <v>1186556</v>
      </c>
    </row>
    <row r="36" spans="1:9" s="76" customFormat="1" ht="12.75">
      <c r="A36" s="137">
        <v>30</v>
      </c>
      <c r="B36" s="90" t="s">
        <v>99</v>
      </c>
      <c r="C36" s="95">
        <v>0</v>
      </c>
      <c r="D36" s="95">
        <f>12750+978+420</f>
        <v>14148</v>
      </c>
      <c r="E36" s="95">
        <f aca="true" t="shared" si="4" ref="E36:E46">SUM(D36:D36)</f>
        <v>14148</v>
      </c>
      <c r="F36" s="113" t="s">
        <v>129</v>
      </c>
      <c r="G36" s="93">
        <v>0</v>
      </c>
      <c r="H36" s="93">
        <f>929+301-301+2250+2250+667+12750+6906-314+357-1936</f>
        <v>23859</v>
      </c>
      <c r="I36" s="93">
        <f t="shared" si="3"/>
        <v>23859</v>
      </c>
    </row>
    <row r="37" spans="1:9" s="76" customFormat="1" ht="12.75">
      <c r="A37" s="134">
        <v>31</v>
      </c>
      <c r="B37" s="90" t="s">
        <v>100</v>
      </c>
      <c r="C37" s="95">
        <v>0</v>
      </c>
      <c r="D37" s="95">
        <f>1032834-8223+9540+2609+6751+4360+400</f>
        <v>1048271</v>
      </c>
      <c r="E37" s="95">
        <f t="shared" si="4"/>
        <v>1048271</v>
      </c>
      <c r="F37" s="113" t="s">
        <v>130</v>
      </c>
      <c r="G37" s="93">
        <f>SUM(G38:G42)</f>
        <v>0</v>
      </c>
      <c r="H37" s="93">
        <f>SUM(H38:H42)</f>
        <v>18551</v>
      </c>
      <c r="I37" s="93">
        <f t="shared" si="3"/>
        <v>18551</v>
      </c>
    </row>
    <row r="38" spans="1:9" s="76" customFormat="1" ht="12.75">
      <c r="A38" s="134">
        <v>32</v>
      </c>
      <c r="B38" s="90" t="s">
        <v>1129</v>
      </c>
      <c r="C38" s="95">
        <v>0</v>
      </c>
      <c r="D38" s="95">
        <v>2199</v>
      </c>
      <c r="E38" s="95">
        <f>SUM(D38:D38)</f>
        <v>2199</v>
      </c>
      <c r="F38" s="92" t="s">
        <v>131</v>
      </c>
      <c r="G38" s="95">
        <v>0</v>
      </c>
      <c r="H38" s="95">
        <v>2199</v>
      </c>
      <c r="I38" s="95">
        <f t="shared" si="3"/>
        <v>2199</v>
      </c>
    </row>
    <row r="39" spans="1:9" s="76" customFormat="1" ht="12.75">
      <c r="A39" s="137">
        <v>33</v>
      </c>
      <c r="B39" s="112" t="s">
        <v>109</v>
      </c>
      <c r="C39" s="93">
        <f>SUM(C40:C43)</f>
        <v>0</v>
      </c>
      <c r="D39" s="93">
        <f>SUM(D40:D43)</f>
        <v>43282</v>
      </c>
      <c r="E39" s="93">
        <f t="shared" si="4"/>
        <v>43282</v>
      </c>
      <c r="F39" s="92" t="s">
        <v>132</v>
      </c>
      <c r="G39" s="95">
        <v>0</v>
      </c>
      <c r="H39" s="95">
        <v>0</v>
      </c>
      <c r="I39" s="95">
        <f t="shared" si="3"/>
        <v>0</v>
      </c>
    </row>
    <row r="40" spans="1:9" s="76" customFormat="1" ht="12.75">
      <c r="A40" s="137">
        <v>34</v>
      </c>
      <c r="B40" s="90" t="s">
        <v>110</v>
      </c>
      <c r="C40" s="95">
        <v>0</v>
      </c>
      <c r="D40" s="95">
        <v>0</v>
      </c>
      <c r="E40" s="95">
        <f t="shared" si="4"/>
        <v>0</v>
      </c>
      <c r="F40" s="92" t="s">
        <v>133</v>
      </c>
      <c r="G40" s="95">
        <v>0</v>
      </c>
      <c r="H40" s="95">
        <v>260</v>
      </c>
      <c r="I40" s="95">
        <f t="shared" si="3"/>
        <v>260</v>
      </c>
    </row>
    <row r="41" spans="1:9" s="78" customFormat="1" ht="12.75">
      <c r="A41" s="134">
        <v>35</v>
      </c>
      <c r="B41" s="90" t="s">
        <v>111</v>
      </c>
      <c r="C41" s="95">
        <f>SUM(C42:C43)</f>
        <v>0</v>
      </c>
      <c r="D41" s="95">
        <f>16000+10000+17272</f>
        <v>43272</v>
      </c>
      <c r="E41" s="95">
        <f t="shared" si="4"/>
        <v>43272</v>
      </c>
      <c r="F41" s="92" t="s">
        <v>135</v>
      </c>
      <c r="G41" s="95">
        <v>0</v>
      </c>
      <c r="H41" s="95">
        <v>0</v>
      </c>
      <c r="I41" s="95">
        <f t="shared" si="3"/>
        <v>0</v>
      </c>
    </row>
    <row r="42" spans="1:9" s="78" customFormat="1" ht="12.75">
      <c r="A42" s="137">
        <v>36</v>
      </c>
      <c r="B42" s="90" t="s">
        <v>112</v>
      </c>
      <c r="C42" s="95">
        <v>0</v>
      </c>
      <c r="D42" s="95">
        <v>0</v>
      </c>
      <c r="E42" s="95">
        <f t="shared" si="4"/>
        <v>0</v>
      </c>
      <c r="F42" s="92" t="s">
        <v>136</v>
      </c>
      <c r="G42" s="95">
        <v>0</v>
      </c>
      <c r="H42" s="95">
        <f>2729+9561+4302-500</f>
        <v>16092</v>
      </c>
      <c r="I42" s="95">
        <f t="shared" si="3"/>
        <v>16092</v>
      </c>
    </row>
    <row r="43" spans="1:9" s="80" customFormat="1" ht="13.5">
      <c r="A43" s="137">
        <v>37</v>
      </c>
      <c r="B43" s="90" t="s">
        <v>113</v>
      </c>
      <c r="C43" s="95">
        <v>0</v>
      </c>
      <c r="D43" s="95">
        <v>10</v>
      </c>
      <c r="E43" s="95">
        <f t="shared" si="4"/>
        <v>10</v>
      </c>
      <c r="F43" s="859"/>
      <c r="G43" s="859"/>
      <c r="H43" s="859"/>
      <c r="I43" s="859"/>
    </row>
    <row r="44" spans="1:9" s="80" customFormat="1" ht="13.5">
      <c r="A44" s="134">
        <v>38</v>
      </c>
      <c r="B44" s="112" t="s">
        <v>117</v>
      </c>
      <c r="C44" s="93">
        <f>SUM(C45:C46)</f>
        <v>0</v>
      </c>
      <c r="D44" s="93">
        <f>SUM(D45:D46)</f>
        <v>216458</v>
      </c>
      <c r="E44" s="93">
        <f t="shared" si="4"/>
        <v>216458</v>
      </c>
      <c r="F44" s="92"/>
      <c r="G44" s="95"/>
      <c r="H44" s="95"/>
      <c r="I44" s="95"/>
    </row>
    <row r="45" spans="1:9" s="80" customFormat="1" ht="13.5">
      <c r="A45" s="137">
        <v>39</v>
      </c>
      <c r="B45" s="90" t="s">
        <v>118</v>
      </c>
      <c r="C45" s="95">
        <v>0</v>
      </c>
      <c r="D45" s="95">
        <v>40540</v>
      </c>
      <c r="E45" s="95">
        <f>SUM(D45:D45)</f>
        <v>40540</v>
      </c>
      <c r="F45" s="81"/>
      <c r="G45" s="95"/>
      <c r="H45" s="95"/>
      <c r="I45" s="95"/>
    </row>
    <row r="46" spans="1:9" s="80" customFormat="1" ht="13.5">
      <c r="A46" s="137">
        <v>40</v>
      </c>
      <c r="B46" s="90" t="s">
        <v>119</v>
      </c>
      <c r="C46" s="95">
        <v>0</v>
      </c>
      <c r="D46" s="95">
        <f>172401+3517</f>
        <v>175918</v>
      </c>
      <c r="E46" s="95">
        <f t="shared" si="4"/>
        <v>175918</v>
      </c>
      <c r="F46" s="81"/>
      <c r="G46" s="95"/>
      <c r="H46" s="95"/>
      <c r="I46" s="95"/>
    </row>
    <row r="47" spans="1:9" s="82" customFormat="1" ht="6" customHeight="1">
      <c r="A47" s="931"/>
      <c r="B47" s="932"/>
      <c r="C47" s="932"/>
      <c r="D47" s="932"/>
      <c r="E47" s="932"/>
      <c r="F47" s="932"/>
      <c r="G47" s="932"/>
      <c r="H47" s="932"/>
      <c r="I47" s="933"/>
    </row>
    <row r="48" spans="1:9" s="82" customFormat="1" ht="15">
      <c r="A48" s="137">
        <v>41</v>
      </c>
      <c r="B48" s="934" t="s">
        <v>778</v>
      </c>
      <c r="C48" s="935"/>
      <c r="D48" s="935"/>
      <c r="E48" s="935"/>
      <c r="F48" s="935"/>
      <c r="G48" s="229">
        <f>C7-G7</f>
        <v>-174133</v>
      </c>
      <c r="H48" s="229">
        <f>D7-H7</f>
        <v>50592</v>
      </c>
      <c r="I48" s="229">
        <f>SUM(G48:H48)</f>
        <v>-123541</v>
      </c>
    </row>
    <row r="49" spans="1:9" s="82" customFormat="1" ht="6" customHeight="1">
      <c r="A49" s="923"/>
      <c r="B49" s="924"/>
      <c r="C49" s="924"/>
      <c r="D49" s="924"/>
      <c r="E49" s="924"/>
      <c r="F49" s="924"/>
      <c r="G49" s="924"/>
      <c r="H49" s="924"/>
      <c r="I49" s="925"/>
    </row>
    <row r="50" spans="1:9" s="100" customFormat="1" ht="28.5">
      <c r="A50" s="137">
        <v>42</v>
      </c>
      <c r="B50" s="96" t="s">
        <v>538</v>
      </c>
      <c r="C50" s="98">
        <f>SUM(C51)</f>
        <v>70810</v>
      </c>
      <c r="D50" s="98">
        <f>SUM(D51)</f>
        <v>68969</v>
      </c>
      <c r="E50" s="98">
        <f aca="true" t="shared" si="5" ref="E50:E56">SUM(C50:D50)</f>
        <v>139779</v>
      </c>
      <c r="F50" s="99"/>
      <c r="G50" s="98"/>
      <c r="H50" s="98"/>
      <c r="I50" s="98"/>
    </row>
    <row r="51" spans="1:9" s="109" customFormat="1" ht="25.5">
      <c r="A51" s="134">
        <v>43</v>
      </c>
      <c r="B51" s="110" t="s">
        <v>934</v>
      </c>
      <c r="C51" s="104">
        <f>3569+1281+2116+51061+3234+9549</f>
        <v>70810</v>
      </c>
      <c r="D51" s="104">
        <v>68969</v>
      </c>
      <c r="E51" s="104">
        <f t="shared" si="5"/>
        <v>139779</v>
      </c>
      <c r="F51" s="105"/>
      <c r="G51" s="104"/>
      <c r="H51" s="104"/>
      <c r="I51" s="104"/>
    </row>
    <row r="52" spans="1:9" s="100" customFormat="1" ht="15">
      <c r="A52" s="137">
        <v>44</v>
      </c>
      <c r="B52" s="96" t="s">
        <v>941</v>
      </c>
      <c r="C52" s="98">
        <f>SUM(C53:C55)</f>
        <v>70000</v>
      </c>
      <c r="D52" s="98">
        <f>SUM(D53:D55)</f>
        <v>0</v>
      </c>
      <c r="E52" s="98">
        <f t="shared" si="5"/>
        <v>70000</v>
      </c>
      <c r="F52" s="115" t="s">
        <v>539</v>
      </c>
      <c r="G52" s="98">
        <f>SUM(G53:G55)</f>
        <v>86238</v>
      </c>
      <c r="H52" s="98">
        <f>SUM(H53:H55)</f>
        <v>0</v>
      </c>
      <c r="I52" s="98">
        <f>SUM(G52:H52)</f>
        <v>86238</v>
      </c>
    </row>
    <row r="53" spans="1:9" s="109" customFormat="1" ht="13.5">
      <c r="A53" s="137">
        <v>45</v>
      </c>
      <c r="B53" s="108" t="s">
        <v>121</v>
      </c>
      <c r="C53" s="104">
        <v>0</v>
      </c>
      <c r="D53" s="104">
        <v>0</v>
      </c>
      <c r="E53" s="104">
        <f t="shared" si="5"/>
        <v>0</v>
      </c>
      <c r="F53" s="105" t="s">
        <v>938</v>
      </c>
      <c r="G53" s="104">
        <v>0</v>
      </c>
      <c r="H53" s="104">
        <v>0</v>
      </c>
      <c r="I53" s="104">
        <f>SUM(G53:H53)</f>
        <v>0</v>
      </c>
    </row>
    <row r="54" spans="1:9" s="111" customFormat="1" ht="12.75">
      <c r="A54" s="137">
        <v>46</v>
      </c>
      <c r="B54" s="108" t="s">
        <v>120</v>
      </c>
      <c r="C54" s="104">
        <v>70000</v>
      </c>
      <c r="D54" s="104">
        <v>0</v>
      </c>
      <c r="E54" s="104">
        <f t="shared" si="5"/>
        <v>70000</v>
      </c>
      <c r="F54" s="105" t="s">
        <v>939</v>
      </c>
      <c r="G54" s="104">
        <v>70000</v>
      </c>
      <c r="H54" s="104">
        <v>0</v>
      </c>
      <c r="I54" s="104">
        <f>SUM(G54:H54)</f>
        <v>70000</v>
      </c>
    </row>
    <row r="55" spans="1:9" s="111" customFormat="1" ht="12.75">
      <c r="A55" s="137">
        <v>47</v>
      </c>
      <c r="B55" s="105" t="s">
        <v>942</v>
      </c>
      <c r="C55" s="104">
        <v>0</v>
      </c>
      <c r="D55" s="104">
        <v>0</v>
      </c>
      <c r="E55" s="104">
        <f t="shared" si="5"/>
        <v>0</v>
      </c>
      <c r="F55" s="105" t="s">
        <v>940</v>
      </c>
      <c r="G55" s="104">
        <v>16238</v>
      </c>
      <c r="H55" s="104">
        <v>0</v>
      </c>
      <c r="I55" s="104">
        <f>SUM(G55:H55)</f>
        <v>16238</v>
      </c>
    </row>
    <row r="56" spans="1:9" s="102" customFormat="1" ht="15.75">
      <c r="A56" s="137">
        <v>48</v>
      </c>
      <c r="B56" s="101" t="s">
        <v>640</v>
      </c>
      <c r="C56" s="116">
        <f>SUM(C7,C50,C52)</f>
        <v>1224353</v>
      </c>
      <c r="D56" s="116">
        <f>SUM(D7,D50,D52)</f>
        <v>1393327</v>
      </c>
      <c r="E56" s="116">
        <f t="shared" si="5"/>
        <v>2617680</v>
      </c>
      <c r="F56" s="101" t="s">
        <v>549</v>
      </c>
      <c r="G56" s="116">
        <f>SUM(G7,G52)</f>
        <v>1343914</v>
      </c>
      <c r="H56" s="116">
        <f>SUM(H7,H52)</f>
        <v>1273766</v>
      </c>
      <c r="I56" s="116">
        <f>SUM(G56:H56)</f>
        <v>2617680</v>
      </c>
    </row>
    <row r="63" ht="15">
      <c r="B63" s="83"/>
    </row>
  </sheetData>
  <sheetProtection/>
  <mergeCells count="8">
    <mergeCell ref="A49:I49"/>
    <mergeCell ref="F1:I1"/>
    <mergeCell ref="B2:I2"/>
    <mergeCell ref="B4:E4"/>
    <mergeCell ref="F4:I4"/>
    <mergeCell ref="A4:A6"/>
    <mergeCell ref="A47:I47"/>
    <mergeCell ref="B48:F48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G59"/>
  <sheetViews>
    <sheetView zoomScale="95" zoomScaleNormal="95" zoomScalePageLayoutView="0" workbookViewId="0" topLeftCell="L1">
      <pane ySplit="7" topLeftCell="A34" activePane="bottomLeft" state="frozen"/>
      <selection pane="topLeft" activeCell="A1" sqref="A1"/>
      <selection pane="bottomLeft" activeCell="E2" sqref="E2:AD2"/>
    </sheetView>
  </sheetViews>
  <sheetFormatPr defaultColWidth="8.875" defaultRowHeight="12.75"/>
  <cols>
    <col min="1" max="1" width="1.37890625" style="26" hidden="1" customWidth="1"/>
    <col min="2" max="2" width="8.00390625" style="39" hidden="1" customWidth="1"/>
    <col min="3" max="3" width="8.00390625" style="39" customWidth="1"/>
    <col min="4" max="4" width="4.625" style="146" bestFit="1" customWidth="1"/>
    <col min="5" max="5" width="30.375" style="26" customWidth="1"/>
    <col min="6" max="6" width="9.25390625" style="142" hidden="1" customWidth="1"/>
    <col min="7" max="7" width="8.375" style="26" customWidth="1"/>
    <col min="8" max="8" width="7.875" style="26" customWidth="1"/>
    <col min="9" max="9" width="8.125" style="26" customWidth="1"/>
    <col min="10" max="10" width="8.75390625" style="26" customWidth="1"/>
    <col min="11" max="11" width="8.375" style="26" customWidth="1"/>
    <col min="12" max="12" width="9.875" style="26" customWidth="1"/>
    <col min="13" max="20" width="8.25390625" style="26" customWidth="1"/>
    <col min="21" max="21" width="9.375" style="26" customWidth="1"/>
    <col min="22" max="22" width="8.25390625" style="26" customWidth="1"/>
    <col min="23" max="23" width="9.625" style="26" bestFit="1" customWidth="1"/>
    <col min="24" max="24" width="9.625" style="26" customWidth="1"/>
    <col min="25" max="25" width="9.625" style="26" bestFit="1" customWidth="1"/>
    <col min="26" max="27" width="7.625" style="26" customWidth="1"/>
    <col min="28" max="28" width="9.125" style="26" customWidth="1"/>
    <col min="29" max="29" width="8.375" style="26" customWidth="1"/>
    <col min="30" max="30" width="9.375" style="36" customWidth="1"/>
    <col min="31" max="31" width="14.375" style="26" customWidth="1"/>
    <col min="32" max="16384" width="8.875" style="26" customWidth="1"/>
  </cols>
  <sheetData>
    <row r="1" spans="3:30" ht="15">
      <c r="C1" s="953"/>
      <c r="Q1" s="27"/>
      <c r="R1" s="27"/>
      <c r="S1" s="27"/>
      <c r="T1" s="27"/>
      <c r="U1" s="27"/>
      <c r="V1" s="27"/>
      <c r="W1" s="926" t="s">
        <v>1195</v>
      </c>
      <c r="X1" s="926"/>
      <c r="Y1" s="927"/>
      <c r="Z1" s="927"/>
      <c r="AA1" s="927"/>
      <c r="AB1" s="927"/>
      <c r="AC1" s="927"/>
      <c r="AD1" s="927"/>
    </row>
    <row r="2" spans="1:30" ht="15.75">
      <c r="A2" s="28"/>
      <c r="B2" s="40"/>
      <c r="C2" s="953"/>
      <c r="D2" s="40"/>
      <c r="E2" s="949" t="s">
        <v>813</v>
      </c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</row>
    <row r="3" ht="12.75" thickBot="1">
      <c r="AD3" s="29"/>
    </row>
    <row r="4" spans="2:30" s="30" customFormat="1" ht="12.75" customHeight="1">
      <c r="B4" s="41"/>
      <c r="C4" s="41"/>
      <c r="D4" s="954" t="s">
        <v>632</v>
      </c>
      <c r="E4" s="946" t="s">
        <v>551</v>
      </c>
      <c r="F4" s="950" t="s">
        <v>559</v>
      </c>
      <c r="G4" s="943" t="s">
        <v>560</v>
      </c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5"/>
      <c r="AD4" s="936" t="s">
        <v>561</v>
      </c>
    </row>
    <row r="5" spans="2:30" s="31" customFormat="1" ht="12" customHeight="1">
      <c r="B5" s="42"/>
      <c r="C5" s="42"/>
      <c r="D5" s="955"/>
      <c r="E5" s="947"/>
      <c r="F5" s="951"/>
      <c r="G5" s="939" t="s">
        <v>548</v>
      </c>
      <c r="H5" s="939" t="s">
        <v>547</v>
      </c>
      <c r="I5" s="939" t="s">
        <v>553</v>
      </c>
      <c r="J5" s="939" t="s">
        <v>87</v>
      </c>
      <c r="K5" s="939" t="s">
        <v>246</v>
      </c>
      <c r="L5" s="939" t="s">
        <v>247</v>
      </c>
      <c r="M5" s="939" t="s">
        <v>1044</v>
      </c>
      <c r="N5" s="939" t="s">
        <v>1045</v>
      </c>
      <c r="O5" s="939" t="s">
        <v>1130</v>
      </c>
      <c r="P5" s="939" t="s">
        <v>945</v>
      </c>
      <c r="Q5" s="939" t="s">
        <v>625</v>
      </c>
      <c r="R5" s="939" t="s">
        <v>638</v>
      </c>
      <c r="S5" s="939" t="s">
        <v>662</v>
      </c>
      <c r="T5" s="939" t="s">
        <v>844</v>
      </c>
      <c r="U5" s="939" t="s">
        <v>944</v>
      </c>
      <c r="V5" s="939" t="s">
        <v>932</v>
      </c>
      <c r="W5" s="939" t="s">
        <v>137</v>
      </c>
      <c r="X5" s="939" t="s">
        <v>845</v>
      </c>
      <c r="Y5" s="941" t="s">
        <v>545</v>
      </c>
      <c r="Z5" s="941" t="s">
        <v>562</v>
      </c>
      <c r="AA5" s="939" t="s">
        <v>1131</v>
      </c>
      <c r="AB5" s="939" t="s">
        <v>248</v>
      </c>
      <c r="AC5" s="939" t="s">
        <v>254</v>
      </c>
      <c r="AD5" s="937"/>
    </row>
    <row r="6" spans="2:30" s="31" customFormat="1" ht="42" customHeight="1">
      <c r="B6" s="42"/>
      <c r="C6" s="42"/>
      <c r="D6" s="955"/>
      <c r="E6" s="948"/>
      <c r="F6" s="952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2"/>
      <c r="Z6" s="942"/>
      <c r="AA6" s="940"/>
      <c r="AB6" s="940"/>
      <c r="AC6" s="940"/>
      <c r="AD6" s="938"/>
    </row>
    <row r="7" spans="2:30" s="621" customFormat="1" ht="12">
      <c r="B7" s="622"/>
      <c r="C7" s="622"/>
      <c r="D7" s="956"/>
      <c r="E7" s="529" t="s">
        <v>626</v>
      </c>
      <c r="F7" s="530" t="s">
        <v>627</v>
      </c>
      <c r="G7" s="531" t="s">
        <v>627</v>
      </c>
      <c r="H7" s="531" t="s">
        <v>628</v>
      </c>
      <c r="I7" s="532" t="s">
        <v>629</v>
      </c>
      <c r="J7" s="529" t="s">
        <v>630</v>
      </c>
      <c r="K7" s="529" t="s">
        <v>631</v>
      </c>
      <c r="L7" s="532" t="s">
        <v>634</v>
      </c>
      <c r="M7" s="532" t="s">
        <v>635</v>
      </c>
      <c r="N7" s="532"/>
      <c r="O7" s="532"/>
      <c r="P7" s="532"/>
      <c r="Q7" s="532" t="s">
        <v>586</v>
      </c>
      <c r="R7" s="532" t="s">
        <v>587</v>
      </c>
      <c r="S7" s="532" t="s">
        <v>588</v>
      </c>
      <c r="T7" s="532" t="s">
        <v>589</v>
      </c>
      <c r="U7" s="531"/>
      <c r="V7" s="531"/>
      <c r="W7" s="531" t="s">
        <v>590</v>
      </c>
      <c r="X7" s="531"/>
      <c r="Y7" s="532" t="s">
        <v>591</v>
      </c>
      <c r="Z7" s="532" t="s">
        <v>592</v>
      </c>
      <c r="AA7" s="533"/>
      <c r="AB7" s="533" t="s">
        <v>593</v>
      </c>
      <c r="AC7" s="533" t="s">
        <v>593</v>
      </c>
      <c r="AD7" s="563" t="s">
        <v>620</v>
      </c>
    </row>
    <row r="8" spans="1:30" s="34" customFormat="1" ht="24">
      <c r="A8" s="26"/>
      <c r="B8" s="39"/>
      <c r="C8" s="39" t="s">
        <v>150</v>
      </c>
      <c r="D8" s="620" t="s">
        <v>594</v>
      </c>
      <c r="E8" s="161" t="s">
        <v>151</v>
      </c>
      <c r="F8" s="143"/>
      <c r="G8" s="43">
        <f>127+20648</f>
        <v>20775</v>
      </c>
      <c r="H8" s="43">
        <f>2476+5467</f>
        <v>7943</v>
      </c>
      <c r="I8" s="44">
        <f>10943+105-6+1204+22+61+440+592+79421+279+594+149+53+27</f>
        <v>93884</v>
      </c>
      <c r="J8" s="44">
        <v>0</v>
      </c>
      <c r="K8" s="44">
        <f>186+500</f>
        <v>686</v>
      </c>
      <c r="L8" s="44">
        <f>3650+100+67</f>
        <v>3817</v>
      </c>
      <c r="M8" s="44">
        <f>14668+7000</f>
        <v>21668</v>
      </c>
      <c r="N8" s="44">
        <f>39900+1455</f>
        <v>41355</v>
      </c>
      <c r="O8" s="44">
        <v>2199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3">
        <v>0</v>
      </c>
      <c r="Y8" s="43">
        <f>3000+1350+8489-170-906-73-140+111-231</f>
        <v>11430</v>
      </c>
      <c r="Z8" s="44">
        <v>6906</v>
      </c>
      <c r="AA8" s="44"/>
      <c r="AB8" s="44">
        <v>0</v>
      </c>
      <c r="AC8" s="44">
        <v>70000</v>
      </c>
      <c r="AD8" s="37">
        <f aca="true" t="shared" si="0" ref="AD8:AD53">SUM(G8:AC8)</f>
        <v>280663</v>
      </c>
    </row>
    <row r="9" spans="1:30" s="34" customFormat="1" ht="17.25" customHeight="1">
      <c r="A9" s="26"/>
      <c r="B9" s="39"/>
      <c r="C9" s="39" t="s">
        <v>150</v>
      </c>
      <c r="D9" s="147" t="s">
        <v>595</v>
      </c>
      <c r="E9" s="162" t="s">
        <v>1085</v>
      </c>
      <c r="F9" s="144"/>
      <c r="G9" s="32">
        <v>4663</v>
      </c>
      <c r="H9" s="32">
        <v>1155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2">
        <v>0</v>
      </c>
      <c r="Y9" s="32">
        <v>0</v>
      </c>
      <c r="Z9" s="33">
        <v>0</v>
      </c>
      <c r="AA9" s="33"/>
      <c r="AB9" s="33">
        <v>0</v>
      </c>
      <c r="AC9" s="33">
        <v>0</v>
      </c>
      <c r="AD9" s="37">
        <f t="shared" si="0"/>
        <v>5820</v>
      </c>
    </row>
    <row r="10" spans="1:30" s="34" customFormat="1" ht="17.25" customHeight="1">
      <c r="A10" s="26"/>
      <c r="B10" s="39"/>
      <c r="C10" s="39" t="s">
        <v>150</v>
      </c>
      <c r="D10" s="147" t="s">
        <v>596</v>
      </c>
      <c r="E10" s="162" t="s">
        <v>1073</v>
      </c>
      <c r="F10" s="144"/>
      <c r="G10" s="32">
        <v>551</v>
      </c>
      <c r="H10" s="32">
        <v>149</v>
      </c>
      <c r="I10" s="33">
        <v>8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2">
        <v>0</v>
      </c>
      <c r="Y10" s="32">
        <f>8184-8184</f>
        <v>0</v>
      </c>
      <c r="Z10" s="33">
        <f>301-301</f>
        <v>0</v>
      </c>
      <c r="AA10" s="33"/>
      <c r="AB10" s="33">
        <v>0</v>
      </c>
      <c r="AC10" s="33">
        <v>0</v>
      </c>
      <c r="AD10" s="37">
        <f>SUM(G10:AC10)</f>
        <v>708</v>
      </c>
    </row>
    <row r="11" spans="1:30" s="34" customFormat="1" ht="24">
      <c r="A11" s="26"/>
      <c r="B11" s="39"/>
      <c r="C11" s="39" t="s">
        <v>837</v>
      </c>
      <c r="D11" s="147" t="s">
        <v>597</v>
      </c>
      <c r="E11" s="162" t="s">
        <v>1083</v>
      </c>
      <c r="F11" s="144"/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100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2">
        <v>0</v>
      </c>
      <c r="Y11" s="32">
        <v>0</v>
      </c>
      <c r="Z11" s="33">
        <v>0</v>
      </c>
      <c r="AA11" s="33"/>
      <c r="AB11" s="33">
        <v>0</v>
      </c>
      <c r="AC11" s="33">
        <v>0</v>
      </c>
      <c r="AD11" s="37">
        <f t="shared" si="0"/>
        <v>100</v>
      </c>
    </row>
    <row r="12" spans="1:30" s="34" customFormat="1" ht="24">
      <c r="A12" s="26"/>
      <c r="B12" s="39" t="s">
        <v>141</v>
      </c>
      <c r="C12" s="39" t="s">
        <v>145</v>
      </c>
      <c r="D12" s="147" t="s">
        <v>598</v>
      </c>
      <c r="E12" s="162" t="s">
        <v>1084</v>
      </c>
      <c r="F12" s="144"/>
      <c r="G12" s="32">
        <v>0</v>
      </c>
      <c r="H12" s="32">
        <v>0</v>
      </c>
      <c r="I12" s="33">
        <f>25982+5105+24-53</f>
        <v>31058</v>
      </c>
      <c r="J12" s="33">
        <v>0</v>
      </c>
      <c r="K12" s="33">
        <v>0</v>
      </c>
      <c r="L12" s="33">
        <f>42597-1650+6774-14274</f>
        <v>33447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2">
        <v>0</v>
      </c>
      <c r="Y12" s="32">
        <f>6000+360-6000</f>
        <v>360</v>
      </c>
      <c r="Z12" s="33">
        <f>579+357</f>
        <v>936</v>
      </c>
      <c r="AA12" s="33"/>
      <c r="AB12" s="33">
        <v>399</v>
      </c>
      <c r="AC12" s="33">
        <v>0</v>
      </c>
      <c r="AD12" s="37">
        <f t="shared" si="0"/>
        <v>66200</v>
      </c>
    </row>
    <row r="13" spans="1:30" s="34" customFormat="1" ht="36">
      <c r="A13" s="26"/>
      <c r="B13" s="39" t="s">
        <v>143</v>
      </c>
      <c r="C13" s="39" t="s">
        <v>147</v>
      </c>
      <c r="D13" s="147" t="s">
        <v>599</v>
      </c>
      <c r="E13" s="162" t="s">
        <v>831</v>
      </c>
      <c r="F13" s="144"/>
      <c r="G13" s="32">
        <f>17665-1472+55+298</f>
        <v>16546</v>
      </c>
      <c r="H13" s="32">
        <f>4770-398+15+80</f>
        <v>4467</v>
      </c>
      <c r="I13" s="33">
        <f>17356-93+147+140+200+6038</f>
        <v>23788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2">
        <v>0</v>
      </c>
      <c r="Y13" s="32">
        <v>114</v>
      </c>
      <c r="Z13" s="33">
        <v>0</v>
      </c>
      <c r="AA13" s="33"/>
      <c r="AB13" s="33">
        <v>0</v>
      </c>
      <c r="AC13" s="33">
        <v>0</v>
      </c>
      <c r="AD13" s="37">
        <f t="shared" si="0"/>
        <v>44915</v>
      </c>
    </row>
    <row r="14" spans="1:30" s="34" customFormat="1" ht="24">
      <c r="A14" s="26"/>
      <c r="B14" s="39" t="s">
        <v>144</v>
      </c>
      <c r="C14" s="39" t="s">
        <v>152</v>
      </c>
      <c r="D14" s="147" t="s">
        <v>600</v>
      </c>
      <c r="E14" s="162" t="s">
        <v>573</v>
      </c>
      <c r="F14" s="144"/>
      <c r="G14" s="32">
        <f>787+121</f>
        <v>908</v>
      </c>
      <c r="H14" s="32">
        <f>403+62</f>
        <v>465</v>
      </c>
      <c r="I14" s="33">
        <f>950+250+6+4810-183+196-300-111+3000</f>
        <v>8618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2">
        <v>0</v>
      </c>
      <c r="Y14" s="32">
        <v>0</v>
      </c>
      <c r="Z14" s="33">
        <v>0</v>
      </c>
      <c r="AA14" s="33"/>
      <c r="AB14" s="33">
        <v>0</v>
      </c>
      <c r="AC14" s="33">
        <v>0</v>
      </c>
      <c r="AD14" s="37">
        <f t="shared" si="0"/>
        <v>9991</v>
      </c>
    </row>
    <row r="15" spans="1:30" s="34" customFormat="1" ht="17.25" customHeight="1">
      <c r="A15" s="26"/>
      <c r="B15" s="39"/>
      <c r="C15" s="39" t="s">
        <v>946</v>
      </c>
      <c r="D15" s="147" t="s">
        <v>601</v>
      </c>
      <c r="E15" s="162" t="s">
        <v>947</v>
      </c>
      <c r="F15" s="144"/>
      <c r="G15" s="32"/>
      <c r="H15" s="32"/>
      <c r="I15" s="33">
        <v>1052</v>
      </c>
      <c r="J15" s="33"/>
      <c r="K15" s="33"/>
      <c r="L15" s="33"/>
      <c r="M15" s="33"/>
      <c r="N15" s="33">
        <v>0</v>
      </c>
      <c r="O15" s="33">
        <v>0</v>
      </c>
      <c r="P15" s="33">
        <f>13962+18+447</f>
        <v>14427</v>
      </c>
      <c r="Q15" s="33"/>
      <c r="R15" s="33"/>
      <c r="S15" s="33"/>
      <c r="T15" s="33"/>
      <c r="U15" s="33"/>
      <c r="V15" s="33"/>
      <c r="W15" s="33"/>
      <c r="X15" s="32"/>
      <c r="Y15" s="32"/>
      <c r="Z15" s="33"/>
      <c r="AA15" s="33"/>
      <c r="AB15" s="33"/>
      <c r="AC15" s="33">
        <v>16238</v>
      </c>
      <c r="AD15" s="37">
        <f t="shared" si="0"/>
        <v>31717</v>
      </c>
    </row>
    <row r="16" spans="1:30" s="34" customFormat="1" ht="24">
      <c r="A16" s="26">
        <v>20215</v>
      </c>
      <c r="B16" s="39" t="s">
        <v>145</v>
      </c>
      <c r="C16" s="39" t="s">
        <v>156</v>
      </c>
      <c r="D16" s="147" t="s">
        <v>602</v>
      </c>
      <c r="E16" s="162" t="s">
        <v>157</v>
      </c>
      <c r="F16" s="144"/>
      <c r="G16" s="32">
        <f>26191-1478+21+197-302</f>
        <v>24629</v>
      </c>
      <c r="H16" s="32">
        <f>7054-396+6+53-82</f>
        <v>6635</v>
      </c>
      <c r="I16" s="33">
        <f>7674-763-911+146+962-578</f>
        <v>6530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2">
        <v>0</v>
      </c>
      <c r="Y16" s="32">
        <v>161</v>
      </c>
      <c r="Z16" s="33">
        <v>0</v>
      </c>
      <c r="AA16" s="33"/>
      <c r="AB16" s="33">
        <v>0</v>
      </c>
      <c r="AC16" s="33">
        <v>0</v>
      </c>
      <c r="AD16" s="37">
        <f t="shared" si="0"/>
        <v>37955</v>
      </c>
    </row>
    <row r="17" spans="1:30" s="34" customFormat="1" ht="17.25" customHeight="1">
      <c r="A17" s="26">
        <v>452025</v>
      </c>
      <c r="B17" s="39" t="s">
        <v>147</v>
      </c>
      <c r="C17" s="39" t="s">
        <v>825</v>
      </c>
      <c r="D17" s="147" t="s">
        <v>603</v>
      </c>
      <c r="E17" s="162" t="s">
        <v>832</v>
      </c>
      <c r="F17" s="144"/>
      <c r="G17" s="32">
        <v>303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2">
        <v>0</v>
      </c>
      <c r="Y17" s="32">
        <v>0</v>
      </c>
      <c r="Z17" s="33">
        <v>0</v>
      </c>
      <c r="AA17" s="33"/>
      <c r="AB17" s="33">
        <v>0</v>
      </c>
      <c r="AC17" s="33">
        <v>0</v>
      </c>
      <c r="AD17" s="37">
        <f t="shared" si="0"/>
        <v>303</v>
      </c>
    </row>
    <row r="18" spans="2:30" ht="36">
      <c r="B18" s="39" t="s">
        <v>149</v>
      </c>
      <c r="C18" s="39" t="s">
        <v>826</v>
      </c>
      <c r="D18" s="147" t="s">
        <v>604</v>
      </c>
      <c r="E18" s="162" t="s">
        <v>920</v>
      </c>
      <c r="F18" s="144"/>
      <c r="G18" s="32">
        <v>21456</v>
      </c>
      <c r="H18" s="33">
        <f>2897+12</f>
        <v>2909</v>
      </c>
      <c r="I18" s="33">
        <f>14+14+146</f>
        <v>174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5">
        <v>0</v>
      </c>
      <c r="Y18" s="33">
        <v>0</v>
      </c>
      <c r="Z18" s="33">
        <v>0</v>
      </c>
      <c r="AA18" s="33"/>
      <c r="AB18" s="33">
        <v>0</v>
      </c>
      <c r="AC18" s="33">
        <v>0</v>
      </c>
      <c r="AD18" s="37">
        <f t="shared" si="0"/>
        <v>24539</v>
      </c>
    </row>
    <row r="19" spans="2:30" ht="24">
      <c r="B19" s="39" t="s">
        <v>150</v>
      </c>
      <c r="C19" s="39" t="s">
        <v>827</v>
      </c>
      <c r="D19" s="147" t="s">
        <v>605</v>
      </c>
      <c r="E19" s="162" t="s">
        <v>833</v>
      </c>
      <c r="F19" s="144"/>
      <c r="G19" s="32">
        <v>21811</v>
      </c>
      <c r="H19" s="33">
        <f>2945+7</f>
        <v>2952</v>
      </c>
      <c r="I19" s="33">
        <v>0</v>
      </c>
      <c r="J19" s="33">
        <v>0</v>
      </c>
      <c r="K19" s="33">
        <v>0</v>
      </c>
      <c r="L19" s="33">
        <v>5487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5">
        <v>0</v>
      </c>
      <c r="Y19" s="33">
        <v>0</v>
      </c>
      <c r="Z19" s="33">
        <v>0</v>
      </c>
      <c r="AA19" s="33"/>
      <c r="AB19" s="33">
        <v>0</v>
      </c>
      <c r="AC19" s="33">
        <v>0</v>
      </c>
      <c r="AD19" s="37">
        <f t="shared" si="0"/>
        <v>30250</v>
      </c>
    </row>
    <row r="20" spans="2:30" ht="24">
      <c r="B20" s="39" t="s">
        <v>150</v>
      </c>
      <c r="C20" s="39" t="s">
        <v>143</v>
      </c>
      <c r="D20" s="147" t="s">
        <v>606</v>
      </c>
      <c r="E20" s="162" t="s">
        <v>834</v>
      </c>
      <c r="F20" s="144"/>
      <c r="G20" s="32">
        <v>0</v>
      </c>
      <c r="H20" s="32">
        <v>0</v>
      </c>
      <c r="I20" s="33">
        <v>0</v>
      </c>
      <c r="J20" s="33">
        <v>0</v>
      </c>
      <c r="K20" s="33">
        <v>0</v>
      </c>
      <c r="L20" s="33">
        <f>15817-8000</f>
        <v>7817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5">
        <v>0</v>
      </c>
      <c r="Y20" s="33">
        <v>0</v>
      </c>
      <c r="Z20" s="33">
        <f>2250-314-1936</f>
        <v>0</v>
      </c>
      <c r="AA20" s="33"/>
      <c r="AB20" s="33">
        <v>0</v>
      </c>
      <c r="AC20" s="33">
        <v>0</v>
      </c>
      <c r="AD20" s="37">
        <f t="shared" si="0"/>
        <v>7817</v>
      </c>
    </row>
    <row r="21" spans="3:30" ht="24">
      <c r="C21" s="39" t="s">
        <v>835</v>
      </c>
      <c r="D21" s="147" t="s">
        <v>607</v>
      </c>
      <c r="E21" s="162" t="s">
        <v>836</v>
      </c>
      <c r="F21" s="144"/>
      <c r="G21" s="32">
        <v>0</v>
      </c>
      <c r="H21" s="32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5">
        <v>0</v>
      </c>
      <c r="Y21" s="33">
        <v>250</v>
      </c>
      <c r="Z21" s="33">
        <v>0</v>
      </c>
      <c r="AA21" s="33"/>
      <c r="AB21" s="33">
        <v>0</v>
      </c>
      <c r="AC21" s="33">
        <v>0</v>
      </c>
      <c r="AD21" s="37">
        <f t="shared" si="0"/>
        <v>250</v>
      </c>
    </row>
    <row r="22" spans="2:30" ht="24">
      <c r="B22" s="39" t="s">
        <v>152</v>
      </c>
      <c r="C22" s="39" t="s">
        <v>158</v>
      </c>
      <c r="D22" s="147" t="s">
        <v>608</v>
      </c>
      <c r="E22" s="162" t="s">
        <v>159</v>
      </c>
      <c r="F22" s="144"/>
      <c r="G22" s="32">
        <v>0</v>
      </c>
      <c r="H22" s="32">
        <v>0</v>
      </c>
      <c r="I22" s="33">
        <v>1000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5">
        <v>0</v>
      </c>
      <c r="Y22" s="33">
        <v>0</v>
      </c>
      <c r="Z22" s="33">
        <v>0</v>
      </c>
      <c r="AA22" s="33"/>
      <c r="AB22" s="33">
        <v>0</v>
      </c>
      <c r="AC22" s="33">
        <v>0</v>
      </c>
      <c r="AD22" s="37">
        <f t="shared" si="0"/>
        <v>1000</v>
      </c>
    </row>
    <row r="23" spans="1:30" ht="36">
      <c r="A23" s="26">
        <v>751791</v>
      </c>
      <c r="B23" s="39" t="s">
        <v>153</v>
      </c>
      <c r="C23" s="39" t="s">
        <v>138</v>
      </c>
      <c r="D23" s="147" t="s">
        <v>609</v>
      </c>
      <c r="E23" s="162" t="s">
        <v>139</v>
      </c>
      <c r="F23" s="164"/>
      <c r="G23" s="33">
        <v>0</v>
      </c>
      <c r="H23" s="32">
        <v>0</v>
      </c>
      <c r="I23" s="33">
        <v>760</v>
      </c>
      <c r="J23" s="33">
        <v>0</v>
      </c>
      <c r="K23" s="33">
        <v>0</v>
      </c>
      <c r="L23" s="33">
        <v>1090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5">
        <v>0</v>
      </c>
      <c r="Y23" s="33">
        <v>0</v>
      </c>
      <c r="Z23" s="33">
        <v>0</v>
      </c>
      <c r="AA23" s="33"/>
      <c r="AB23" s="33">
        <v>0</v>
      </c>
      <c r="AC23" s="33">
        <v>0</v>
      </c>
      <c r="AD23" s="37">
        <f t="shared" si="0"/>
        <v>1850</v>
      </c>
    </row>
    <row r="24" spans="1:30" ht="24">
      <c r="A24" s="26">
        <v>751834</v>
      </c>
      <c r="B24" s="39" t="s">
        <v>154</v>
      </c>
      <c r="C24" s="39" t="s">
        <v>140</v>
      </c>
      <c r="D24" s="147" t="s">
        <v>610</v>
      </c>
      <c r="E24" s="162" t="s">
        <v>570</v>
      </c>
      <c r="F24" s="144"/>
      <c r="G24" s="32">
        <v>0</v>
      </c>
      <c r="H24" s="32">
        <v>0</v>
      </c>
      <c r="I24" s="33">
        <f>9998-122+2500</f>
        <v>12376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5">
        <v>0</v>
      </c>
      <c r="Y24" s="33">
        <v>0</v>
      </c>
      <c r="Z24" s="33">
        <v>0</v>
      </c>
      <c r="AA24" s="33"/>
      <c r="AB24" s="33">
        <v>0</v>
      </c>
      <c r="AC24" s="33">
        <v>0</v>
      </c>
      <c r="AD24" s="37">
        <f t="shared" si="0"/>
        <v>12376</v>
      </c>
    </row>
    <row r="25" spans="1:30" ht="24">
      <c r="A25" s="26">
        <v>751845</v>
      </c>
      <c r="B25" s="39" t="s">
        <v>155</v>
      </c>
      <c r="C25" s="39" t="s">
        <v>141</v>
      </c>
      <c r="D25" s="147" t="s">
        <v>611</v>
      </c>
      <c r="E25" s="162" t="s">
        <v>142</v>
      </c>
      <c r="F25" s="144"/>
      <c r="G25" s="32">
        <v>0</v>
      </c>
      <c r="H25" s="33">
        <v>0</v>
      </c>
      <c r="I25" s="33">
        <f>284829+850-284628</f>
        <v>1051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2">
        <v>0</v>
      </c>
      <c r="Y25" s="32">
        <f>768006+35888</f>
        <v>803894</v>
      </c>
      <c r="Z25" s="33">
        <v>0</v>
      </c>
      <c r="AA25" s="33"/>
      <c r="AB25" s="33">
        <v>0</v>
      </c>
      <c r="AC25" s="33">
        <v>0</v>
      </c>
      <c r="AD25" s="37">
        <f t="shared" si="0"/>
        <v>804945</v>
      </c>
    </row>
    <row r="26" spans="1:30" s="34" customFormat="1" ht="17.25" customHeight="1">
      <c r="A26" s="26"/>
      <c r="B26" s="39"/>
      <c r="C26" s="39" t="s">
        <v>950</v>
      </c>
      <c r="D26" s="147" t="s">
        <v>612</v>
      </c>
      <c r="E26" s="162" t="s">
        <v>951</v>
      </c>
      <c r="F26" s="144"/>
      <c r="G26" s="32"/>
      <c r="H26" s="32"/>
      <c r="I26" s="33">
        <v>960</v>
      </c>
      <c r="J26" s="33"/>
      <c r="K26" s="33">
        <v>156</v>
      </c>
      <c r="L26" s="33"/>
      <c r="M26" s="33"/>
      <c r="N26" s="33">
        <v>0</v>
      </c>
      <c r="O26" s="33">
        <v>0</v>
      </c>
      <c r="P26" s="33"/>
      <c r="Q26" s="33"/>
      <c r="R26" s="33"/>
      <c r="S26" s="33"/>
      <c r="T26" s="33"/>
      <c r="U26" s="33"/>
      <c r="V26" s="33"/>
      <c r="W26" s="33"/>
      <c r="X26" s="32"/>
      <c r="Y26" s="32">
        <v>248</v>
      </c>
      <c r="Z26" s="33"/>
      <c r="AA26" s="33"/>
      <c r="AB26" s="33"/>
      <c r="AC26" s="33"/>
      <c r="AD26" s="37">
        <f t="shared" si="0"/>
        <v>1364</v>
      </c>
    </row>
    <row r="27" spans="1:30" s="34" customFormat="1" ht="17.25" customHeight="1">
      <c r="A27" s="26">
        <v>751966</v>
      </c>
      <c r="B27" s="39" t="s">
        <v>156</v>
      </c>
      <c r="C27" s="39" t="s">
        <v>153</v>
      </c>
      <c r="D27" s="147" t="s">
        <v>613</v>
      </c>
      <c r="E27" s="162" t="s">
        <v>574</v>
      </c>
      <c r="F27" s="144"/>
      <c r="G27" s="32">
        <v>0</v>
      </c>
      <c r="H27" s="32">
        <v>0</v>
      </c>
      <c r="I27" s="33">
        <f>30048-8000+1749</f>
        <v>23797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2">
        <v>0</v>
      </c>
      <c r="Y27" s="32">
        <v>0</v>
      </c>
      <c r="Z27" s="33">
        <v>0</v>
      </c>
      <c r="AA27" s="33"/>
      <c r="AB27" s="33">
        <v>0</v>
      </c>
      <c r="AC27" s="33">
        <v>0</v>
      </c>
      <c r="AD27" s="37">
        <f t="shared" si="0"/>
        <v>23797</v>
      </c>
    </row>
    <row r="28" spans="1:30" s="34" customFormat="1" ht="17.25" customHeight="1">
      <c r="A28" s="26">
        <v>751999</v>
      </c>
      <c r="B28" s="39" t="s">
        <v>158</v>
      </c>
      <c r="C28" s="39" t="s">
        <v>149</v>
      </c>
      <c r="D28" s="147" t="s">
        <v>614</v>
      </c>
      <c r="E28" s="162" t="s">
        <v>1086</v>
      </c>
      <c r="F28" s="144"/>
      <c r="G28" s="32">
        <v>0</v>
      </c>
      <c r="H28" s="32">
        <v>0</v>
      </c>
      <c r="I28" s="33">
        <v>150</v>
      </c>
      <c r="J28" s="33">
        <v>0</v>
      </c>
      <c r="K28" s="33">
        <v>0</v>
      </c>
      <c r="L28" s="33">
        <f>20503+5500</f>
        <v>26003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/>
      <c r="U28" s="33"/>
      <c r="V28" s="33"/>
      <c r="W28" s="33">
        <v>0</v>
      </c>
      <c r="X28" s="32"/>
      <c r="Y28" s="32">
        <v>0</v>
      </c>
      <c r="Z28" s="33">
        <v>0</v>
      </c>
      <c r="AA28" s="33"/>
      <c r="AB28" s="33">
        <v>0</v>
      </c>
      <c r="AC28" s="33">
        <v>0</v>
      </c>
      <c r="AD28" s="37">
        <f t="shared" si="0"/>
        <v>26153</v>
      </c>
    </row>
    <row r="29" spans="2:31" ht="24">
      <c r="B29" s="39" t="s">
        <v>160</v>
      </c>
      <c r="C29" s="39" t="s">
        <v>154</v>
      </c>
      <c r="D29" s="147" t="s">
        <v>615</v>
      </c>
      <c r="E29" s="162" t="s">
        <v>838</v>
      </c>
      <c r="F29" s="144"/>
      <c r="G29" s="32">
        <f>192+25</f>
        <v>217</v>
      </c>
      <c r="H29" s="32">
        <f>47+7</f>
        <v>54</v>
      </c>
      <c r="I29" s="33">
        <f>4813-150+150+167+1+435+49+77-27+73+599+38+217-217</f>
        <v>6225</v>
      </c>
      <c r="J29" s="33">
        <v>0</v>
      </c>
      <c r="K29" s="33">
        <v>0</v>
      </c>
      <c r="L29" s="33">
        <f>16201-5230-650+2000</f>
        <v>12321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2">
        <v>0</v>
      </c>
      <c r="Y29" s="32">
        <f>420421+430+156+6+8825-79421+108</f>
        <v>350525</v>
      </c>
      <c r="Z29" s="33">
        <v>350</v>
      </c>
      <c r="AA29" s="33">
        <v>0</v>
      </c>
      <c r="AB29" s="33">
        <v>0</v>
      </c>
      <c r="AC29" s="33">
        <v>0</v>
      </c>
      <c r="AD29" s="37">
        <f t="shared" si="0"/>
        <v>369692</v>
      </c>
      <c r="AE29" s="38"/>
    </row>
    <row r="30" spans="2:31" ht="18" customHeight="1">
      <c r="B30" s="39" t="s">
        <v>161</v>
      </c>
      <c r="C30" s="39" t="s">
        <v>161</v>
      </c>
      <c r="D30" s="957" t="s">
        <v>1038</v>
      </c>
      <c r="E30" s="162" t="s">
        <v>576</v>
      </c>
      <c r="F30" s="268"/>
      <c r="G30" s="33">
        <v>0</v>
      </c>
      <c r="H30" s="33">
        <v>0</v>
      </c>
      <c r="I30" s="33">
        <v>479</v>
      </c>
      <c r="J30" s="33">
        <v>0</v>
      </c>
      <c r="K30" s="33">
        <v>0</v>
      </c>
      <c r="L30" s="33">
        <f>9130-5429+3+20</f>
        <v>3724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7">
        <f t="shared" si="0"/>
        <v>4203</v>
      </c>
      <c r="AE30" s="38"/>
    </row>
    <row r="31" spans="2:30" ht="18" customHeight="1">
      <c r="B31" s="39" t="s">
        <v>162</v>
      </c>
      <c r="C31" s="39" t="s">
        <v>162</v>
      </c>
      <c r="D31" s="957"/>
      <c r="E31" s="162" t="s">
        <v>577</v>
      </c>
      <c r="F31" s="268"/>
      <c r="G31" s="33">
        <f>11367+96+54+664+1670</f>
        <v>13851</v>
      </c>
      <c r="H31" s="33">
        <f>3068+26+15+179+451</f>
        <v>3739</v>
      </c>
      <c r="I31" s="33">
        <f>16182+205</f>
        <v>16387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127</v>
      </c>
      <c r="Z31" s="33">
        <v>0</v>
      </c>
      <c r="AA31" s="33">
        <v>0</v>
      </c>
      <c r="AB31" s="33">
        <v>0</v>
      </c>
      <c r="AC31" s="33">
        <v>0</v>
      </c>
      <c r="AD31" s="37">
        <f t="shared" si="0"/>
        <v>34104</v>
      </c>
    </row>
    <row r="32" spans="1:30" ht="18" customHeight="1">
      <c r="A32" s="26">
        <v>851286</v>
      </c>
      <c r="B32" s="39" t="s">
        <v>163</v>
      </c>
      <c r="C32" s="39" t="s">
        <v>163</v>
      </c>
      <c r="D32" s="957"/>
      <c r="E32" s="162" t="s">
        <v>578</v>
      </c>
      <c r="F32" s="268"/>
      <c r="G32" s="33">
        <v>0</v>
      </c>
      <c r="H32" s="33">
        <v>0</v>
      </c>
      <c r="I32" s="33">
        <v>120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7">
        <f t="shared" si="0"/>
        <v>120</v>
      </c>
    </row>
    <row r="33" spans="1:30" s="34" customFormat="1" ht="24">
      <c r="A33" s="26">
        <v>851297</v>
      </c>
      <c r="B33" s="39" t="s">
        <v>164</v>
      </c>
      <c r="C33" s="39" t="s">
        <v>164</v>
      </c>
      <c r="D33" s="957"/>
      <c r="E33" s="162" t="s">
        <v>637</v>
      </c>
      <c r="F33" s="268"/>
      <c r="G33" s="33">
        <f>11031+251+3+47+428</f>
        <v>11760</v>
      </c>
      <c r="H33" s="33">
        <f>2979+69+13+116</f>
        <v>3177</v>
      </c>
      <c r="I33" s="33">
        <f>1981+127</f>
        <v>2108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490</v>
      </c>
      <c r="Z33" s="33">
        <v>0</v>
      </c>
      <c r="AA33" s="33">
        <v>0</v>
      </c>
      <c r="AB33" s="33">
        <v>0</v>
      </c>
      <c r="AC33" s="33">
        <v>0</v>
      </c>
      <c r="AD33" s="37">
        <f t="shared" si="0"/>
        <v>17535</v>
      </c>
    </row>
    <row r="34" spans="1:30" s="34" customFormat="1" ht="24" customHeight="1">
      <c r="A34" s="26">
        <v>853322</v>
      </c>
      <c r="B34" s="39" t="s">
        <v>165</v>
      </c>
      <c r="C34" s="39" t="s">
        <v>183</v>
      </c>
      <c r="D34" s="147" t="s">
        <v>705</v>
      </c>
      <c r="E34" s="162" t="s">
        <v>184</v>
      </c>
      <c r="F34" s="269"/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f>28917-5000</f>
        <v>23917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70</v>
      </c>
      <c r="Z34" s="33">
        <f>2250+12750</f>
        <v>15000</v>
      </c>
      <c r="AA34" s="33">
        <v>0</v>
      </c>
      <c r="AB34" s="33">
        <v>0</v>
      </c>
      <c r="AC34" s="33">
        <v>0</v>
      </c>
      <c r="AD34" s="37">
        <f t="shared" si="0"/>
        <v>38987</v>
      </c>
    </row>
    <row r="35" spans="1:30" s="34" customFormat="1" ht="24">
      <c r="A35" s="26"/>
      <c r="B35" s="39" t="s">
        <v>166</v>
      </c>
      <c r="C35" s="39" t="s">
        <v>144</v>
      </c>
      <c r="D35" s="147" t="s">
        <v>706</v>
      </c>
      <c r="E35" s="163" t="s">
        <v>839</v>
      </c>
      <c r="F35" s="269"/>
      <c r="G35" s="33">
        <v>0</v>
      </c>
      <c r="H35" s="33">
        <v>0</v>
      </c>
      <c r="I35" s="33">
        <v>0</v>
      </c>
      <c r="J35" s="33">
        <v>0</v>
      </c>
      <c r="K35" s="33">
        <v>250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7">
        <f t="shared" si="0"/>
        <v>250</v>
      </c>
    </row>
    <row r="36" spans="1:30" s="34" customFormat="1" ht="36">
      <c r="A36" s="26"/>
      <c r="B36" s="39" t="s">
        <v>168</v>
      </c>
      <c r="C36" s="39" t="s">
        <v>828</v>
      </c>
      <c r="D36" s="147" t="s">
        <v>661</v>
      </c>
      <c r="E36" s="163" t="s">
        <v>1087</v>
      </c>
      <c r="F36" s="269"/>
      <c r="G36" s="33">
        <f>570+394</f>
        <v>964</v>
      </c>
      <c r="H36" s="33">
        <f>154+106</f>
        <v>260</v>
      </c>
      <c r="I36" s="33">
        <f>387+5+230+560</f>
        <v>1182</v>
      </c>
      <c r="J36" s="33">
        <v>0</v>
      </c>
      <c r="K36" s="33">
        <v>0</v>
      </c>
      <c r="L36" s="33">
        <f>999+1407+3972</f>
        <v>6378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300</v>
      </c>
      <c r="Z36" s="33">
        <v>0</v>
      </c>
      <c r="AA36" s="33">
        <v>260</v>
      </c>
      <c r="AB36" s="33">
        <f>1830+9561+4302</f>
        <v>15693</v>
      </c>
      <c r="AC36" s="33">
        <v>0</v>
      </c>
      <c r="AD36" s="37">
        <f t="shared" si="0"/>
        <v>25037</v>
      </c>
    </row>
    <row r="37" spans="1:30" s="34" customFormat="1" ht="24">
      <c r="A37" s="26"/>
      <c r="B37" s="39" t="s">
        <v>170</v>
      </c>
      <c r="C37" s="39" t="s">
        <v>829</v>
      </c>
      <c r="D37" s="147" t="s">
        <v>707</v>
      </c>
      <c r="E37" s="163" t="s">
        <v>840</v>
      </c>
      <c r="F37" s="269"/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1070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7">
        <f t="shared" si="0"/>
        <v>1070</v>
      </c>
    </row>
    <row r="38" spans="1:30" s="34" customFormat="1" ht="17.25" customHeight="1">
      <c r="A38" s="26"/>
      <c r="B38" s="39" t="s">
        <v>172</v>
      </c>
      <c r="C38" s="39" t="s">
        <v>179</v>
      </c>
      <c r="D38" s="147" t="s">
        <v>616</v>
      </c>
      <c r="E38" s="162" t="s">
        <v>579</v>
      </c>
      <c r="F38" s="144"/>
      <c r="G38" s="32">
        <v>0</v>
      </c>
      <c r="H38" s="32">
        <v>0</v>
      </c>
      <c r="I38" s="33">
        <v>0</v>
      </c>
      <c r="J38" s="33">
        <v>0</v>
      </c>
      <c r="K38" s="33">
        <v>0</v>
      </c>
      <c r="L38" s="33">
        <f>8032-7+416</f>
        <v>8441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2">
        <v>0</v>
      </c>
      <c r="Y38" s="32">
        <v>0</v>
      </c>
      <c r="Z38" s="33">
        <v>0</v>
      </c>
      <c r="AA38" s="33">
        <v>0</v>
      </c>
      <c r="AB38" s="33">
        <v>0</v>
      </c>
      <c r="AC38" s="33">
        <v>0</v>
      </c>
      <c r="AD38" s="37">
        <f t="shared" si="0"/>
        <v>8441</v>
      </c>
    </row>
    <row r="39" spans="1:30" ht="25.5" customHeight="1">
      <c r="A39" s="26">
        <v>853333</v>
      </c>
      <c r="B39" s="39" t="s">
        <v>174</v>
      </c>
      <c r="C39" s="39" t="s">
        <v>180</v>
      </c>
      <c r="D39" s="147" t="s">
        <v>617</v>
      </c>
      <c r="E39" s="163" t="s">
        <v>188</v>
      </c>
      <c r="F39" s="268"/>
      <c r="G39" s="33">
        <v>0</v>
      </c>
      <c r="H39" s="33">
        <v>0</v>
      </c>
      <c r="I39" s="33">
        <v>47</v>
      </c>
      <c r="J39" s="33">
        <v>0</v>
      </c>
      <c r="K39" s="33">
        <v>0</v>
      </c>
      <c r="L39" s="17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7">
        <f t="shared" si="0"/>
        <v>47</v>
      </c>
    </row>
    <row r="40" spans="2:30" ht="36">
      <c r="B40" s="39" t="s">
        <v>175</v>
      </c>
      <c r="C40" s="39" t="s">
        <v>181</v>
      </c>
      <c r="D40" s="147" t="s">
        <v>618</v>
      </c>
      <c r="E40" s="162" t="s">
        <v>1088</v>
      </c>
      <c r="F40" s="268"/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173">
        <f>9148-682</f>
        <v>8466</v>
      </c>
      <c r="M40" s="33">
        <v>2879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f>49+10330+920</f>
        <v>11299</v>
      </c>
      <c r="Z40" s="33">
        <v>0</v>
      </c>
      <c r="AA40" s="33">
        <v>0</v>
      </c>
      <c r="AB40" s="33">
        <f>500-500</f>
        <v>0</v>
      </c>
      <c r="AC40" s="33">
        <v>0</v>
      </c>
      <c r="AD40" s="37">
        <f t="shared" si="0"/>
        <v>22644</v>
      </c>
    </row>
    <row r="41" spans="2:30" ht="24">
      <c r="B41" s="39" t="s">
        <v>176</v>
      </c>
      <c r="C41" s="39" t="s">
        <v>160</v>
      </c>
      <c r="D41" s="147" t="s">
        <v>709</v>
      </c>
      <c r="E41" s="162" t="s">
        <v>841</v>
      </c>
      <c r="F41" s="268"/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17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5500</v>
      </c>
      <c r="Z41" s="33">
        <v>0</v>
      </c>
      <c r="AA41" s="33">
        <v>0</v>
      </c>
      <c r="AB41" s="33">
        <v>0</v>
      </c>
      <c r="AC41" s="33">
        <v>0</v>
      </c>
      <c r="AD41" s="37">
        <f t="shared" si="0"/>
        <v>5500</v>
      </c>
    </row>
    <row r="42" spans="2:30" ht="22.5" customHeight="1">
      <c r="B42" s="39" t="s">
        <v>177</v>
      </c>
      <c r="C42" s="39" t="s">
        <v>165</v>
      </c>
      <c r="D42" s="958" t="s">
        <v>1039</v>
      </c>
      <c r="E42" s="162" t="s">
        <v>842</v>
      </c>
      <c r="F42" s="268"/>
      <c r="G42" s="33">
        <v>0</v>
      </c>
      <c r="H42" s="33">
        <v>0</v>
      </c>
      <c r="I42" s="33">
        <v>16500</v>
      </c>
      <c r="J42" s="33">
        <v>0</v>
      </c>
      <c r="K42" s="33">
        <v>0</v>
      </c>
      <c r="L42" s="33">
        <f>19453-3540-500-5200</f>
        <v>10213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7">
        <f t="shared" si="0"/>
        <v>26713</v>
      </c>
    </row>
    <row r="43" spans="2:30" ht="22.5" customHeight="1">
      <c r="B43" s="39" t="s">
        <v>178</v>
      </c>
      <c r="C43" s="39" t="s">
        <v>168</v>
      </c>
      <c r="D43" s="959"/>
      <c r="E43" s="162" t="s">
        <v>169</v>
      </c>
      <c r="F43" s="268"/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73">
        <v>6501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7">
        <f t="shared" si="0"/>
        <v>6501</v>
      </c>
    </row>
    <row r="44" spans="3:30" ht="17.25" customHeight="1">
      <c r="C44" s="39" t="s">
        <v>170</v>
      </c>
      <c r="D44" s="959"/>
      <c r="E44" s="162" t="s">
        <v>171</v>
      </c>
      <c r="F44" s="268"/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173">
        <f>18174</f>
        <v>18174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7">
        <f t="shared" si="0"/>
        <v>18174</v>
      </c>
    </row>
    <row r="45" spans="3:30" ht="17.25" customHeight="1">
      <c r="C45" s="39" t="s">
        <v>166</v>
      </c>
      <c r="D45" s="959"/>
      <c r="E45" s="162" t="s">
        <v>167</v>
      </c>
      <c r="F45" s="268"/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1509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7">
        <f t="shared" si="0"/>
        <v>1509</v>
      </c>
    </row>
    <row r="46" spans="3:30" ht="17.25" customHeight="1">
      <c r="C46" s="39" t="s">
        <v>172</v>
      </c>
      <c r="D46" s="959"/>
      <c r="E46" s="162" t="s">
        <v>173</v>
      </c>
      <c r="F46" s="268"/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3405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7">
        <f t="shared" si="0"/>
        <v>3405</v>
      </c>
    </row>
    <row r="47" spans="2:30" ht="17.25" customHeight="1">
      <c r="B47" s="39" t="s">
        <v>179</v>
      </c>
      <c r="C47" s="39" t="s">
        <v>174</v>
      </c>
      <c r="D47" s="959"/>
      <c r="E47" s="162" t="s">
        <v>656</v>
      </c>
      <c r="F47" s="268"/>
      <c r="G47" s="33">
        <v>0</v>
      </c>
      <c r="H47" s="33">
        <v>0</v>
      </c>
      <c r="I47" s="33">
        <f>2350-500+450</f>
        <v>2300</v>
      </c>
      <c r="J47" s="33">
        <v>0</v>
      </c>
      <c r="K47" s="33">
        <v>0</v>
      </c>
      <c r="L47" s="33">
        <v>5324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7">
        <f t="shared" si="0"/>
        <v>7624</v>
      </c>
    </row>
    <row r="48" spans="2:30" ht="17.25" customHeight="1">
      <c r="B48" s="39" t="s">
        <v>180</v>
      </c>
      <c r="C48" s="39" t="s">
        <v>175</v>
      </c>
      <c r="D48" s="959"/>
      <c r="E48" s="162" t="s">
        <v>657</v>
      </c>
      <c r="F48" s="268"/>
      <c r="G48" s="33">
        <v>0</v>
      </c>
      <c r="H48" s="33">
        <v>0</v>
      </c>
      <c r="I48" s="33">
        <v>15</v>
      </c>
      <c r="J48" s="33">
        <v>0</v>
      </c>
      <c r="K48" s="33">
        <v>0</v>
      </c>
      <c r="L48" s="33">
        <v>3017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7">
        <f t="shared" si="0"/>
        <v>3032</v>
      </c>
    </row>
    <row r="49" spans="2:30" ht="17.25" customHeight="1">
      <c r="B49" s="39" t="s">
        <v>181</v>
      </c>
      <c r="C49" s="39" t="s">
        <v>176</v>
      </c>
      <c r="D49" s="959"/>
      <c r="E49" s="162" t="s">
        <v>655</v>
      </c>
      <c r="F49" s="268"/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9179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7">
        <f t="shared" si="0"/>
        <v>9179</v>
      </c>
    </row>
    <row r="50" spans="2:30" ht="24">
      <c r="B50" s="39" t="s">
        <v>183</v>
      </c>
      <c r="C50" s="39" t="s">
        <v>178</v>
      </c>
      <c r="D50" s="579" t="s">
        <v>636</v>
      </c>
      <c r="E50" s="162" t="s">
        <v>843</v>
      </c>
      <c r="F50" s="268"/>
      <c r="G50" s="33">
        <v>0</v>
      </c>
      <c r="H50" s="33">
        <v>0</v>
      </c>
      <c r="I50" s="33">
        <v>0</v>
      </c>
      <c r="J50" s="33">
        <f>2800+1330</f>
        <v>4130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7">
        <f t="shared" si="0"/>
        <v>4130</v>
      </c>
    </row>
    <row r="51" spans="3:30" ht="24">
      <c r="C51" s="39" t="s">
        <v>155</v>
      </c>
      <c r="D51" s="579" t="s">
        <v>713</v>
      </c>
      <c r="E51" s="162" t="s">
        <v>575</v>
      </c>
      <c r="F51" s="581"/>
      <c r="G51" s="582">
        <v>0</v>
      </c>
      <c r="H51" s="583">
        <v>0</v>
      </c>
      <c r="I51" s="583">
        <v>0</v>
      </c>
      <c r="J51" s="583">
        <v>0</v>
      </c>
      <c r="K51" s="583">
        <v>0</v>
      </c>
      <c r="L51" s="583">
        <v>0</v>
      </c>
      <c r="M51" s="583">
        <v>0</v>
      </c>
      <c r="N51" s="583">
        <v>0</v>
      </c>
      <c r="O51" s="583">
        <v>0</v>
      </c>
      <c r="P51" s="583">
        <v>0</v>
      </c>
      <c r="Q51" s="583">
        <f>1000-1000</f>
        <v>0</v>
      </c>
      <c r="R51" s="583">
        <f>200+2611</f>
        <v>2811</v>
      </c>
      <c r="S51" s="583">
        <f>1000-3517-100-859+720+3517-250+10-70-350-2250-2250-6000+12783-1000+410-1204-67-8-218-360+63+5200-156-12125-165+2609+882+1936+231-277+978+6630+57-2500-450-2121</f>
        <v>729</v>
      </c>
      <c r="T51" s="583">
        <f>1519-323+714+2900-127</f>
        <v>4683</v>
      </c>
      <c r="U51" s="583">
        <f>-882-8489+122146-13962-41870-714-146-3-7982-9122-2900-2611-4252-16238-18-10330-1499-385-594-149</f>
        <v>0</v>
      </c>
      <c r="V51" s="583">
        <f>3000-1000-207-707-38</f>
        <v>1048</v>
      </c>
      <c r="W51" s="583">
        <f>195+4252+170-357</f>
        <v>4260</v>
      </c>
      <c r="X51" s="583">
        <v>40540</v>
      </c>
      <c r="Y51" s="583">
        <v>0</v>
      </c>
      <c r="Z51" s="583">
        <v>0</v>
      </c>
      <c r="AA51" s="583">
        <v>0</v>
      </c>
      <c r="AB51" s="583">
        <v>0</v>
      </c>
      <c r="AC51" s="583">
        <v>0</v>
      </c>
      <c r="AD51" s="37">
        <f t="shared" si="0"/>
        <v>54071</v>
      </c>
    </row>
    <row r="52" spans="3:30" ht="24">
      <c r="C52" s="39" t="s">
        <v>948</v>
      </c>
      <c r="D52" s="579" t="s">
        <v>714</v>
      </c>
      <c r="E52" s="580" t="s">
        <v>1089</v>
      </c>
      <c r="F52" s="581"/>
      <c r="G52" s="582">
        <v>0</v>
      </c>
      <c r="H52" s="583">
        <v>0</v>
      </c>
      <c r="I52" s="583">
        <f>7683+1039+66-279</f>
        <v>8509</v>
      </c>
      <c r="J52" s="583">
        <v>0</v>
      </c>
      <c r="K52" s="583">
        <v>0</v>
      </c>
      <c r="L52" s="583">
        <v>0</v>
      </c>
      <c r="M52" s="583">
        <v>0</v>
      </c>
      <c r="N52" s="583">
        <v>0</v>
      </c>
      <c r="O52" s="583">
        <v>0</v>
      </c>
      <c r="P52" s="583">
        <v>0</v>
      </c>
      <c r="Q52" s="583">
        <v>0</v>
      </c>
      <c r="R52" s="583">
        <v>0</v>
      </c>
      <c r="S52" s="583">
        <v>0</v>
      </c>
      <c r="T52" s="583">
        <v>0</v>
      </c>
      <c r="U52" s="583">
        <v>0</v>
      </c>
      <c r="V52" s="583">
        <v>0</v>
      </c>
      <c r="W52" s="583">
        <v>0</v>
      </c>
      <c r="X52" s="583">
        <v>0</v>
      </c>
      <c r="Y52" s="583">
        <v>0</v>
      </c>
      <c r="Z52" s="583">
        <v>0</v>
      </c>
      <c r="AA52" s="583">
        <v>0</v>
      </c>
      <c r="AB52" s="583">
        <v>0</v>
      </c>
      <c r="AC52" s="583">
        <v>0</v>
      </c>
      <c r="AD52" s="37">
        <f t="shared" si="0"/>
        <v>8509</v>
      </c>
    </row>
    <row r="53" spans="1:30" s="34" customFormat="1" ht="17.25" customHeight="1">
      <c r="A53" s="26"/>
      <c r="B53" s="39"/>
      <c r="C53" s="39" t="s">
        <v>830</v>
      </c>
      <c r="D53" s="147" t="s">
        <v>715</v>
      </c>
      <c r="E53" s="162" t="s">
        <v>550</v>
      </c>
      <c r="F53" s="144"/>
      <c r="G53" s="32">
        <f>26525+1472+28</f>
        <v>28025</v>
      </c>
      <c r="H53" s="32">
        <f>7152+398+8</f>
        <v>7558</v>
      </c>
      <c r="I53" s="33">
        <f>97956+93+1589+4674</f>
        <v>104312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2">
        <v>0</v>
      </c>
      <c r="Y53" s="32">
        <f>7836-7620+5644-5644</f>
        <v>216</v>
      </c>
      <c r="Z53" s="33">
        <v>0</v>
      </c>
      <c r="AA53" s="33">
        <v>0</v>
      </c>
      <c r="AB53" s="33">
        <v>0</v>
      </c>
      <c r="AC53" s="33">
        <v>0</v>
      </c>
      <c r="AD53" s="37">
        <f t="shared" si="0"/>
        <v>140111</v>
      </c>
    </row>
    <row r="54" spans="1:33" s="165" customFormat="1" ht="13.5" thickBot="1">
      <c r="A54" s="165">
        <v>999997</v>
      </c>
      <c r="B54" s="166"/>
      <c r="D54" s="168" t="s">
        <v>716</v>
      </c>
      <c r="E54" s="169" t="s">
        <v>555</v>
      </c>
      <c r="F54" s="170">
        <f>SUM(F8:F50)</f>
        <v>0</v>
      </c>
      <c r="G54" s="171">
        <f>SUM(G8:G53)</f>
        <v>166459</v>
      </c>
      <c r="H54" s="171">
        <f aca="true" t="shared" si="1" ref="H54:AD54">SUM(H8:H53)</f>
        <v>41463</v>
      </c>
      <c r="I54" s="171">
        <f t="shared" si="1"/>
        <v>363392</v>
      </c>
      <c r="J54" s="171">
        <f t="shared" si="1"/>
        <v>4130</v>
      </c>
      <c r="K54" s="171">
        <f t="shared" si="1"/>
        <v>1092</v>
      </c>
      <c r="L54" s="171">
        <f t="shared" si="1"/>
        <v>199400</v>
      </c>
      <c r="M54" s="171">
        <f t="shared" si="1"/>
        <v>24547</v>
      </c>
      <c r="N54" s="171">
        <f t="shared" si="1"/>
        <v>41355</v>
      </c>
      <c r="O54" s="171">
        <f t="shared" si="1"/>
        <v>2199</v>
      </c>
      <c r="P54" s="171">
        <f t="shared" si="1"/>
        <v>14427</v>
      </c>
      <c r="Q54" s="171">
        <f t="shared" si="1"/>
        <v>0</v>
      </c>
      <c r="R54" s="171">
        <f t="shared" si="1"/>
        <v>2811</v>
      </c>
      <c r="S54" s="171">
        <f t="shared" si="1"/>
        <v>729</v>
      </c>
      <c r="T54" s="171">
        <f t="shared" si="1"/>
        <v>4683</v>
      </c>
      <c r="U54" s="171">
        <f t="shared" si="1"/>
        <v>0</v>
      </c>
      <c r="V54" s="171">
        <f t="shared" si="1"/>
        <v>1048</v>
      </c>
      <c r="W54" s="171">
        <f t="shared" si="1"/>
        <v>4260</v>
      </c>
      <c r="X54" s="171">
        <f t="shared" si="1"/>
        <v>40540</v>
      </c>
      <c r="Y54" s="171">
        <f t="shared" si="1"/>
        <v>1184984</v>
      </c>
      <c r="Z54" s="171">
        <f t="shared" si="1"/>
        <v>23192</v>
      </c>
      <c r="AA54" s="171">
        <f t="shared" si="1"/>
        <v>260</v>
      </c>
      <c r="AB54" s="171">
        <f t="shared" si="1"/>
        <v>16092</v>
      </c>
      <c r="AC54" s="171">
        <f t="shared" si="1"/>
        <v>86238</v>
      </c>
      <c r="AD54" s="172">
        <f t="shared" si="1"/>
        <v>2223301</v>
      </c>
      <c r="AE54" s="624">
        <f>SUM(G54:AC54)</f>
        <v>2223301</v>
      </c>
      <c r="AF54" s="167"/>
      <c r="AG54" s="167"/>
    </row>
    <row r="55" ht="12.75">
      <c r="E55" s="623"/>
    </row>
    <row r="59" ht="12">
      <c r="F59" s="145"/>
    </row>
  </sheetData>
  <sheetProtection/>
  <mergeCells count="33">
    <mergeCell ref="D42:D49"/>
    <mergeCell ref="S5:S6"/>
    <mergeCell ref="H5:H6"/>
    <mergeCell ref="K5:K6"/>
    <mergeCell ref="I5:I6"/>
    <mergeCell ref="L5:L6"/>
    <mergeCell ref="F4:F6"/>
    <mergeCell ref="M5:M6"/>
    <mergeCell ref="C1:C2"/>
    <mergeCell ref="V5:V6"/>
    <mergeCell ref="D4:D7"/>
    <mergeCell ref="D30:D33"/>
    <mergeCell ref="O5:O6"/>
    <mergeCell ref="U5:U6"/>
    <mergeCell ref="W1:AD1"/>
    <mergeCell ref="Y5:Y6"/>
    <mergeCell ref="E4:E6"/>
    <mergeCell ref="AC5:AC6"/>
    <mergeCell ref="Q5:Q6"/>
    <mergeCell ref="G5:G6"/>
    <mergeCell ref="E2:AD2"/>
    <mergeCell ref="T5:T6"/>
    <mergeCell ref="P5:P6"/>
    <mergeCell ref="N5:N6"/>
    <mergeCell ref="AD4:AD6"/>
    <mergeCell ref="AB5:AB6"/>
    <mergeCell ref="Z5:Z6"/>
    <mergeCell ref="J5:J6"/>
    <mergeCell ref="R5:R6"/>
    <mergeCell ref="W5:W6"/>
    <mergeCell ref="X5:X6"/>
    <mergeCell ref="G4:AC4"/>
    <mergeCell ref="AA5:AA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60" r:id="rId1"/>
  <rowBreaks count="1" manualBreakCount="1">
    <brk id="28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77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10.37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2.75">
      <c r="A1" s="211"/>
      <c r="B1" s="212"/>
      <c r="C1" s="213"/>
      <c r="D1" s="213"/>
      <c r="E1" s="213"/>
      <c r="F1" s="213"/>
      <c r="G1" s="986" t="s">
        <v>1196</v>
      </c>
      <c r="H1" s="986"/>
      <c r="I1" s="987"/>
      <c r="J1" s="987"/>
      <c r="K1" s="987"/>
      <c r="L1" s="987"/>
      <c r="M1" s="987"/>
      <c r="N1" s="212"/>
      <c r="O1" s="212"/>
      <c r="P1" s="212"/>
      <c r="Q1" s="212"/>
      <c r="R1" s="216"/>
      <c r="S1" s="216"/>
      <c r="T1" s="216"/>
      <c r="U1" s="212"/>
    </row>
    <row r="2" spans="1:21" ht="12.75">
      <c r="A2" s="211"/>
      <c r="B2" s="212"/>
      <c r="C2" s="213"/>
      <c r="D2" s="213"/>
      <c r="E2" s="213"/>
      <c r="F2" s="213"/>
      <c r="G2" s="214"/>
      <c r="H2" s="214"/>
      <c r="I2" s="215"/>
      <c r="J2" s="215"/>
      <c r="K2" s="215"/>
      <c r="L2" s="215"/>
      <c r="M2" s="215"/>
      <c r="N2" s="212"/>
      <c r="O2" s="212"/>
      <c r="P2" s="212"/>
      <c r="Q2" s="212"/>
      <c r="R2" s="216"/>
      <c r="S2" s="216"/>
      <c r="T2" s="216"/>
      <c r="U2" s="212"/>
    </row>
    <row r="3" spans="1:27" ht="15.75" customHeight="1">
      <c r="A3" s="991" t="s">
        <v>814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ht="13.5" thickBot="1">
      <c r="A4" s="991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ht="16.5" thickBot="1">
      <c r="A5" s="975" t="s">
        <v>632</v>
      </c>
      <c r="B5" s="972" t="s">
        <v>551</v>
      </c>
      <c r="C5" s="978" t="s">
        <v>691</v>
      </c>
      <c r="D5" s="978"/>
      <c r="E5" s="978"/>
      <c r="F5" s="978"/>
      <c r="G5" s="978"/>
      <c r="H5" s="978"/>
      <c r="I5" s="978"/>
      <c r="J5" s="978"/>
      <c r="K5" s="978"/>
      <c r="L5" s="978"/>
      <c r="M5" s="979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9"/>
    </row>
    <row r="6" spans="1:13" ht="12.75" customHeight="1">
      <c r="A6" s="976"/>
      <c r="B6" s="973"/>
      <c r="C6" s="992" t="s">
        <v>692</v>
      </c>
      <c r="D6" s="966" t="s">
        <v>693</v>
      </c>
      <c r="E6" s="967"/>
      <c r="F6" s="968"/>
      <c r="G6" s="966" t="s">
        <v>694</v>
      </c>
      <c r="H6" s="967"/>
      <c r="I6" s="968"/>
      <c r="J6" s="966" t="s">
        <v>695</v>
      </c>
      <c r="K6" s="967"/>
      <c r="L6" s="968"/>
      <c r="M6" s="988" t="s">
        <v>561</v>
      </c>
    </row>
    <row r="7" spans="1:13" ht="12.75" customHeight="1">
      <c r="A7" s="976"/>
      <c r="B7" s="973"/>
      <c r="C7" s="993"/>
      <c r="D7" s="969"/>
      <c r="E7" s="970"/>
      <c r="F7" s="971"/>
      <c r="G7" s="969"/>
      <c r="H7" s="970"/>
      <c r="I7" s="971"/>
      <c r="J7" s="969"/>
      <c r="K7" s="970"/>
      <c r="L7" s="971"/>
      <c r="M7" s="989"/>
    </row>
    <row r="8" spans="1:13" ht="24" customHeight="1" thickBot="1">
      <c r="A8" s="977"/>
      <c r="B8" s="974"/>
      <c r="C8" s="994"/>
      <c r="D8" s="545" t="s">
        <v>189</v>
      </c>
      <c r="E8" s="546" t="s">
        <v>190</v>
      </c>
      <c r="F8" s="294" t="s">
        <v>191</v>
      </c>
      <c r="G8" s="547" t="s">
        <v>189</v>
      </c>
      <c r="H8" s="546" t="s">
        <v>190</v>
      </c>
      <c r="I8" s="294" t="s">
        <v>191</v>
      </c>
      <c r="J8" s="547" t="s">
        <v>189</v>
      </c>
      <c r="K8" s="546" t="s">
        <v>190</v>
      </c>
      <c r="L8" s="294" t="s">
        <v>191</v>
      </c>
      <c r="M8" s="990"/>
    </row>
    <row r="9" spans="1:13" ht="13.5" thickBot="1">
      <c r="A9" s="542"/>
      <c r="B9" s="980" t="s">
        <v>696</v>
      </c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2"/>
    </row>
    <row r="10" spans="1:13" ht="29.25" customHeight="1">
      <c r="A10" s="543" t="s">
        <v>594</v>
      </c>
      <c r="B10" s="544" t="s">
        <v>151</v>
      </c>
      <c r="C10" s="273" t="s">
        <v>702</v>
      </c>
      <c r="D10" s="535">
        <f>28214+7000+3650+186+105+100+20648+5467-6+70000+39900+1204+67+1455+22+61+440+592+79421+279+594+149+53+27+500</f>
        <v>260128</v>
      </c>
      <c r="E10" s="536">
        <f>3000+1350+8489-170+6906-906-73-140+111+2199-231</f>
        <v>20535</v>
      </c>
      <c r="F10" s="276">
        <f aca="true" t="shared" si="0" ref="F10:F44">SUM(D10:E10)</f>
        <v>280663</v>
      </c>
      <c r="G10" s="627"/>
      <c r="H10" s="536"/>
      <c r="I10" s="276">
        <f aca="true" t="shared" si="1" ref="I10:I44">SUM(G10:H10)</f>
        <v>0</v>
      </c>
      <c r="J10" s="537"/>
      <c r="K10" s="538"/>
      <c r="L10" s="276">
        <f aca="true" t="shared" si="2" ref="L10:L44">SUM(J10:K10)</f>
        <v>0</v>
      </c>
      <c r="M10" s="550">
        <f aca="true" t="shared" si="3" ref="M10:M24">SUM(F10+I10+L10)</f>
        <v>280663</v>
      </c>
    </row>
    <row r="11" spans="1:13" ht="29.25" customHeight="1">
      <c r="A11" s="626" t="s">
        <v>595</v>
      </c>
      <c r="B11" s="534" t="s">
        <v>1085</v>
      </c>
      <c r="C11" s="293"/>
      <c r="D11" s="535"/>
      <c r="E11" s="536"/>
      <c r="F11" s="276">
        <f t="shared" si="0"/>
        <v>0</v>
      </c>
      <c r="G11" s="627">
        <f>5818+2</f>
        <v>5820</v>
      </c>
      <c r="H11" s="536"/>
      <c r="I11" s="276">
        <f t="shared" si="1"/>
        <v>5820</v>
      </c>
      <c r="J11" s="537"/>
      <c r="K11" s="538"/>
      <c r="L11" s="276">
        <f t="shared" si="2"/>
        <v>0</v>
      </c>
      <c r="M11" s="550">
        <f t="shared" si="3"/>
        <v>5820</v>
      </c>
    </row>
    <row r="12" spans="1:13" ht="29.25" customHeight="1">
      <c r="A12" s="626" t="s">
        <v>596</v>
      </c>
      <c r="B12" s="534" t="s">
        <v>1073</v>
      </c>
      <c r="C12" s="293"/>
      <c r="D12" s="535"/>
      <c r="E12" s="536"/>
      <c r="F12" s="276"/>
      <c r="G12" s="627">
        <v>708</v>
      </c>
      <c r="H12" s="536"/>
      <c r="I12" s="276">
        <f t="shared" si="1"/>
        <v>708</v>
      </c>
      <c r="J12" s="537"/>
      <c r="K12" s="538"/>
      <c r="L12" s="276"/>
      <c r="M12" s="550">
        <f t="shared" si="3"/>
        <v>708</v>
      </c>
    </row>
    <row r="13" spans="1:13" ht="29.25" customHeight="1">
      <c r="A13" s="626" t="s">
        <v>597</v>
      </c>
      <c r="B13" s="534" t="s">
        <v>846</v>
      </c>
      <c r="C13" s="293" t="s">
        <v>699</v>
      </c>
      <c r="D13" s="535">
        <v>100</v>
      </c>
      <c r="E13" s="536"/>
      <c r="F13" s="276">
        <f t="shared" si="0"/>
        <v>100</v>
      </c>
      <c r="G13" s="627"/>
      <c r="H13" s="536"/>
      <c r="I13" s="276">
        <f t="shared" si="1"/>
        <v>0</v>
      </c>
      <c r="J13" s="537"/>
      <c r="K13" s="538"/>
      <c r="L13" s="276">
        <f t="shared" si="2"/>
        <v>0</v>
      </c>
      <c r="M13" s="550">
        <f t="shared" si="3"/>
        <v>100</v>
      </c>
    </row>
    <row r="14" spans="1:13" ht="29.25" customHeight="1">
      <c r="A14" s="626" t="s">
        <v>598</v>
      </c>
      <c r="B14" s="534" t="s">
        <v>146</v>
      </c>
      <c r="C14" s="293" t="s">
        <v>701</v>
      </c>
      <c r="D14" s="535">
        <f>68579-1650+6774-14274+5105+24-53</f>
        <v>64505</v>
      </c>
      <c r="E14" s="536">
        <f>978+6000+360-6000+357</f>
        <v>1695</v>
      </c>
      <c r="F14" s="276">
        <f t="shared" si="0"/>
        <v>66200</v>
      </c>
      <c r="G14" s="627"/>
      <c r="H14" s="536"/>
      <c r="I14" s="276">
        <f t="shared" si="1"/>
        <v>0</v>
      </c>
      <c r="J14" s="537"/>
      <c r="K14" s="538"/>
      <c r="L14" s="276">
        <f t="shared" si="2"/>
        <v>0</v>
      </c>
      <c r="M14" s="550">
        <f t="shared" si="3"/>
        <v>66200</v>
      </c>
    </row>
    <row r="15" spans="1:13" ht="29.25" customHeight="1">
      <c r="A15" s="626" t="s">
        <v>599</v>
      </c>
      <c r="B15" s="534" t="s">
        <v>148</v>
      </c>
      <c r="C15" s="293" t="s">
        <v>701</v>
      </c>
      <c r="D15" s="535">
        <f>39791-1963+147+55+15+298+80+140+200+6038</f>
        <v>44801</v>
      </c>
      <c r="E15" s="536">
        <v>114</v>
      </c>
      <c r="F15" s="276">
        <f t="shared" si="0"/>
        <v>44915</v>
      </c>
      <c r="G15" s="627"/>
      <c r="H15" s="536"/>
      <c r="I15" s="276">
        <f t="shared" si="1"/>
        <v>0</v>
      </c>
      <c r="J15" s="537"/>
      <c r="K15" s="538"/>
      <c r="L15" s="276">
        <f t="shared" si="2"/>
        <v>0</v>
      </c>
      <c r="M15" s="550">
        <f t="shared" si="3"/>
        <v>44915</v>
      </c>
    </row>
    <row r="16" spans="1:13" ht="29.25" customHeight="1">
      <c r="A16" s="626" t="s">
        <v>600</v>
      </c>
      <c r="B16" s="534" t="s">
        <v>573</v>
      </c>
      <c r="C16" s="541"/>
      <c r="D16" s="535"/>
      <c r="E16" s="536"/>
      <c r="F16" s="276">
        <f t="shared" si="0"/>
        <v>0</v>
      </c>
      <c r="G16" s="627">
        <f>950+250+6+787+403+4810+121+62-183+196-300-111+3000</f>
        <v>9991</v>
      </c>
      <c r="H16" s="536"/>
      <c r="I16" s="276">
        <f t="shared" si="1"/>
        <v>9991</v>
      </c>
      <c r="J16" s="537"/>
      <c r="K16" s="538"/>
      <c r="L16" s="276">
        <f t="shared" si="2"/>
        <v>0</v>
      </c>
      <c r="M16" s="550">
        <f t="shared" si="3"/>
        <v>9991</v>
      </c>
    </row>
    <row r="17" spans="1:13" ht="29.25" customHeight="1">
      <c r="A17" s="626" t="s">
        <v>601</v>
      </c>
      <c r="B17" s="534" t="s">
        <v>947</v>
      </c>
      <c r="C17" s="293" t="s">
        <v>952</v>
      </c>
      <c r="D17" s="535">
        <f>13962+16238+18+1052+447</f>
        <v>31717</v>
      </c>
      <c r="E17" s="536"/>
      <c r="F17" s="276">
        <f t="shared" si="0"/>
        <v>31717</v>
      </c>
      <c r="G17" s="627"/>
      <c r="H17" s="536"/>
      <c r="I17" s="276">
        <f t="shared" si="1"/>
        <v>0</v>
      </c>
      <c r="J17" s="537"/>
      <c r="K17" s="538"/>
      <c r="L17" s="276">
        <f t="shared" si="2"/>
        <v>0</v>
      </c>
      <c r="M17" s="550">
        <f t="shared" si="3"/>
        <v>31717</v>
      </c>
    </row>
    <row r="18" spans="1:13" ht="29.25" customHeight="1">
      <c r="A18" s="626" t="s">
        <v>602</v>
      </c>
      <c r="B18" s="534" t="s">
        <v>157</v>
      </c>
      <c r="C18" s="293" t="s">
        <v>194</v>
      </c>
      <c r="D18" s="535"/>
      <c r="E18" s="536"/>
      <c r="F18" s="276">
        <f t="shared" si="0"/>
        <v>0</v>
      </c>
      <c r="G18" s="627"/>
      <c r="H18" s="536"/>
      <c r="I18" s="276">
        <f t="shared" si="1"/>
        <v>0</v>
      </c>
      <c r="J18" s="537">
        <f>40919-911-1478-396-763+21+6+197+53+146+962-578-302-82</f>
        <v>37794</v>
      </c>
      <c r="K18" s="538">
        <v>161</v>
      </c>
      <c r="L18" s="276">
        <f t="shared" si="2"/>
        <v>37955</v>
      </c>
      <c r="M18" s="550">
        <f t="shared" si="3"/>
        <v>37955</v>
      </c>
    </row>
    <row r="19" spans="1:13" ht="29.25" customHeight="1">
      <c r="A19" s="626" t="s">
        <v>603</v>
      </c>
      <c r="B19" s="534" t="s">
        <v>832</v>
      </c>
      <c r="C19" s="983" t="s">
        <v>722</v>
      </c>
      <c r="D19" s="535">
        <v>303</v>
      </c>
      <c r="E19" s="536"/>
      <c r="F19" s="276">
        <f t="shared" si="0"/>
        <v>303</v>
      </c>
      <c r="G19" s="627"/>
      <c r="H19" s="536"/>
      <c r="I19" s="276">
        <f t="shared" si="1"/>
        <v>0</v>
      </c>
      <c r="J19" s="537"/>
      <c r="K19" s="538"/>
      <c r="L19" s="276">
        <f t="shared" si="2"/>
        <v>0</v>
      </c>
      <c r="M19" s="550">
        <f t="shared" si="3"/>
        <v>303</v>
      </c>
    </row>
    <row r="20" spans="1:13" ht="34.5" customHeight="1">
      <c r="A20" s="626" t="s">
        <v>604</v>
      </c>
      <c r="B20" s="534" t="s">
        <v>1074</v>
      </c>
      <c r="C20" s="984"/>
      <c r="D20" s="535">
        <f>24353+14+14+12+146</f>
        <v>24539</v>
      </c>
      <c r="E20" s="536"/>
      <c r="F20" s="276">
        <f t="shared" si="0"/>
        <v>24539</v>
      </c>
      <c r="G20" s="627"/>
      <c r="H20" s="536"/>
      <c r="I20" s="276">
        <f t="shared" si="1"/>
        <v>0</v>
      </c>
      <c r="J20" s="537"/>
      <c r="K20" s="538"/>
      <c r="L20" s="276">
        <f t="shared" si="2"/>
        <v>0</v>
      </c>
      <c r="M20" s="550">
        <f t="shared" si="3"/>
        <v>24539</v>
      </c>
    </row>
    <row r="21" spans="1:13" ht="29.25" customHeight="1">
      <c r="A21" s="626" t="s">
        <v>605</v>
      </c>
      <c r="B21" s="534" t="s">
        <v>833</v>
      </c>
      <c r="C21" s="985"/>
      <c r="D21" s="535">
        <f>24756+5487+7</f>
        <v>30250</v>
      </c>
      <c r="E21" s="536"/>
      <c r="F21" s="276">
        <f t="shared" si="0"/>
        <v>30250</v>
      </c>
      <c r="G21" s="627"/>
      <c r="H21" s="536"/>
      <c r="I21" s="276">
        <f t="shared" si="1"/>
        <v>0</v>
      </c>
      <c r="J21" s="537"/>
      <c r="K21" s="538"/>
      <c r="L21" s="276">
        <f t="shared" si="2"/>
        <v>0</v>
      </c>
      <c r="M21" s="550">
        <f t="shared" si="3"/>
        <v>30250</v>
      </c>
    </row>
    <row r="22" spans="1:13" ht="29.25" customHeight="1">
      <c r="A22" s="626" t="s">
        <v>606</v>
      </c>
      <c r="B22" s="534" t="s">
        <v>546</v>
      </c>
      <c r="C22" s="293" t="s">
        <v>699</v>
      </c>
      <c r="D22" s="535">
        <f>15817-8000</f>
        <v>7817</v>
      </c>
      <c r="E22" s="536">
        <f>2250-314-1936</f>
        <v>0</v>
      </c>
      <c r="F22" s="276">
        <f t="shared" si="0"/>
        <v>7817</v>
      </c>
      <c r="G22" s="627"/>
      <c r="H22" s="536"/>
      <c r="I22" s="276">
        <f t="shared" si="1"/>
        <v>0</v>
      </c>
      <c r="J22" s="537"/>
      <c r="K22" s="538"/>
      <c r="L22" s="276">
        <f t="shared" si="2"/>
        <v>0</v>
      </c>
      <c r="M22" s="550">
        <f t="shared" si="3"/>
        <v>7817</v>
      </c>
    </row>
    <row r="23" spans="1:13" ht="29.25" customHeight="1">
      <c r="A23" s="626" t="s">
        <v>607</v>
      </c>
      <c r="B23" s="534" t="s">
        <v>836</v>
      </c>
      <c r="C23" s="293" t="s">
        <v>699</v>
      </c>
      <c r="D23" s="535"/>
      <c r="E23" s="536">
        <v>250</v>
      </c>
      <c r="F23" s="276">
        <f t="shared" si="0"/>
        <v>250</v>
      </c>
      <c r="G23" s="627"/>
      <c r="H23" s="536"/>
      <c r="I23" s="276">
        <f t="shared" si="1"/>
        <v>0</v>
      </c>
      <c r="J23" s="537"/>
      <c r="K23" s="538"/>
      <c r="L23" s="276">
        <f t="shared" si="2"/>
        <v>0</v>
      </c>
      <c r="M23" s="550">
        <f t="shared" si="3"/>
        <v>250</v>
      </c>
    </row>
    <row r="24" spans="1:13" ht="29.25" customHeight="1">
      <c r="A24" s="626" t="s">
        <v>608</v>
      </c>
      <c r="B24" s="534" t="s">
        <v>159</v>
      </c>
      <c r="C24" s="293" t="s">
        <v>703</v>
      </c>
      <c r="D24" s="535">
        <v>1000</v>
      </c>
      <c r="E24" s="536"/>
      <c r="F24" s="276">
        <f t="shared" si="0"/>
        <v>1000</v>
      </c>
      <c r="G24" s="627"/>
      <c r="H24" s="536"/>
      <c r="I24" s="276">
        <f t="shared" si="1"/>
        <v>0</v>
      </c>
      <c r="J24" s="537"/>
      <c r="K24" s="538"/>
      <c r="L24" s="276">
        <f t="shared" si="2"/>
        <v>0</v>
      </c>
      <c r="M24" s="550">
        <f t="shared" si="3"/>
        <v>1000</v>
      </c>
    </row>
    <row r="25" spans="1:13" ht="39.75" customHeight="1">
      <c r="A25" s="220" t="s">
        <v>609</v>
      </c>
      <c r="B25" s="534" t="s">
        <v>139</v>
      </c>
      <c r="C25" s="293" t="s">
        <v>697</v>
      </c>
      <c r="D25" s="274">
        <v>1850</v>
      </c>
      <c r="E25" s="275"/>
      <c r="F25" s="276">
        <f t="shared" si="0"/>
        <v>1850</v>
      </c>
      <c r="G25" s="283"/>
      <c r="H25" s="275"/>
      <c r="I25" s="276">
        <f t="shared" si="1"/>
        <v>0</v>
      </c>
      <c r="J25" s="222"/>
      <c r="K25" s="223"/>
      <c r="L25" s="276">
        <f t="shared" si="2"/>
        <v>0</v>
      </c>
      <c r="M25" s="550">
        <f>SUM(F25+I25+L25)</f>
        <v>1850</v>
      </c>
    </row>
    <row r="26" spans="1:13" ht="31.5" customHeight="1">
      <c r="A26" s="220" t="s">
        <v>610</v>
      </c>
      <c r="B26" s="534" t="s">
        <v>570</v>
      </c>
      <c r="C26" s="293" t="s">
        <v>698</v>
      </c>
      <c r="D26" s="274">
        <f>9998-122+2500</f>
        <v>12376</v>
      </c>
      <c r="E26" s="275"/>
      <c r="F26" s="276">
        <f t="shared" si="0"/>
        <v>12376</v>
      </c>
      <c r="G26" s="283"/>
      <c r="H26" s="275"/>
      <c r="I26" s="276">
        <f t="shared" si="1"/>
        <v>0</v>
      </c>
      <c r="J26" s="222"/>
      <c r="K26" s="223"/>
      <c r="L26" s="276">
        <f t="shared" si="2"/>
        <v>0</v>
      </c>
      <c r="M26" s="550">
        <f aca="true" t="shared" si="4" ref="M26:M55">SUM(F26+I26+L26)</f>
        <v>12376</v>
      </c>
    </row>
    <row r="27" spans="1:13" ht="31.5" customHeight="1">
      <c r="A27" s="220" t="s">
        <v>611</v>
      </c>
      <c r="B27" s="534" t="s">
        <v>951</v>
      </c>
      <c r="C27" s="293" t="s">
        <v>953</v>
      </c>
      <c r="D27" s="274">
        <f>960+156</f>
        <v>1116</v>
      </c>
      <c r="E27" s="275">
        <v>248</v>
      </c>
      <c r="F27" s="276">
        <f t="shared" si="0"/>
        <v>1364</v>
      </c>
      <c r="G27" s="283"/>
      <c r="H27" s="275"/>
      <c r="I27" s="276">
        <f t="shared" si="1"/>
        <v>0</v>
      </c>
      <c r="J27" s="222"/>
      <c r="K27" s="223"/>
      <c r="L27" s="276">
        <f t="shared" si="2"/>
        <v>0</v>
      </c>
      <c r="M27" s="550">
        <f t="shared" si="4"/>
        <v>1364</v>
      </c>
    </row>
    <row r="28" spans="1:13" ht="30" customHeight="1">
      <c r="A28" s="220" t="s">
        <v>612</v>
      </c>
      <c r="B28" s="534" t="s">
        <v>142</v>
      </c>
      <c r="C28" s="293" t="s">
        <v>703</v>
      </c>
      <c r="D28" s="274">
        <f>284829+850-284628</f>
        <v>1051</v>
      </c>
      <c r="E28" s="275">
        <f>768006+35888</f>
        <v>803894</v>
      </c>
      <c r="F28" s="276">
        <f t="shared" si="0"/>
        <v>804945</v>
      </c>
      <c r="G28" s="283"/>
      <c r="H28" s="275"/>
      <c r="I28" s="276">
        <f t="shared" si="1"/>
        <v>0</v>
      </c>
      <c r="J28" s="222"/>
      <c r="K28" s="223"/>
      <c r="L28" s="276">
        <f t="shared" si="2"/>
        <v>0</v>
      </c>
      <c r="M28" s="550">
        <f t="shared" si="4"/>
        <v>804945</v>
      </c>
    </row>
    <row r="29" spans="1:13" ht="29.25" customHeight="1">
      <c r="A29" s="220" t="s">
        <v>613</v>
      </c>
      <c r="B29" s="534" t="s">
        <v>574</v>
      </c>
      <c r="C29" s="293" t="s">
        <v>699</v>
      </c>
      <c r="D29" s="274">
        <f>30048-8000+1749</f>
        <v>23797</v>
      </c>
      <c r="E29" s="275"/>
      <c r="F29" s="276">
        <f t="shared" si="0"/>
        <v>23797</v>
      </c>
      <c r="G29" s="283"/>
      <c r="H29" s="275"/>
      <c r="I29" s="276">
        <f t="shared" si="1"/>
        <v>0</v>
      </c>
      <c r="J29" s="222"/>
      <c r="K29" s="223"/>
      <c r="L29" s="276">
        <f t="shared" si="2"/>
        <v>0</v>
      </c>
      <c r="M29" s="550">
        <f t="shared" si="4"/>
        <v>23797</v>
      </c>
    </row>
    <row r="30" spans="1:13" ht="29.25" customHeight="1">
      <c r="A30" s="220" t="s">
        <v>614</v>
      </c>
      <c r="B30" s="534" t="s">
        <v>572</v>
      </c>
      <c r="C30" s="293" t="s">
        <v>699</v>
      </c>
      <c r="D30" s="274">
        <f>20653+5500</f>
        <v>26153</v>
      </c>
      <c r="E30" s="275"/>
      <c r="F30" s="276">
        <f t="shared" si="0"/>
        <v>26153</v>
      </c>
      <c r="G30" s="283"/>
      <c r="H30" s="275"/>
      <c r="I30" s="276">
        <f t="shared" si="1"/>
        <v>0</v>
      </c>
      <c r="J30" s="222"/>
      <c r="K30" s="223"/>
      <c r="L30" s="276">
        <f t="shared" si="2"/>
        <v>0</v>
      </c>
      <c r="M30" s="550">
        <f t="shared" si="4"/>
        <v>26153</v>
      </c>
    </row>
    <row r="31" spans="1:13" ht="29.25" customHeight="1">
      <c r="A31" s="220" t="s">
        <v>615</v>
      </c>
      <c r="B31" s="534" t="s">
        <v>185</v>
      </c>
      <c r="C31" s="293" t="s">
        <v>192</v>
      </c>
      <c r="D31" s="274">
        <f>21253-5230-650+2000+167+1+435+25+7+49+77-27+73+217-217</f>
        <v>18180</v>
      </c>
      <c r="E31" s="275">
        <f>350+430+156</f>
        <v>936</v>
      </c>
      <c r="F31" s="276">
        <f t="shared" si="0"/>
        <v>19116</v>
      </c>
      <c r="G31" s="283">
        <f>599+38</f>
        <v>637</v>
      </c>
      <c r="H31" s="275">
        <f>420421+6+8825-79421+108</f>
        <v>349939</v>
      </c>
      <c r="I31" s="276">
        <f t="shared" si="1"/>
        <v>350576</v>
      </c>
      <c r="J31" s="222"/>
      <c r="K31" s="223"/>
      <c r="L31" s="276">
        <f t="shared" si="2"/>
        <v>0</v>
      </c>
      <c r="M31" s="550">
        <f t="shared" si="4"/>
        <v>369692</v>
      </c>
    </row>
    <row r="32" spans="1:13" ht="29.25" customHeight="1">
      <c r="A32" s="220" t="s">
        <v>704</v>
      </c>
      <c r="B32" s="539" t="s">
        <v>576</v>
      </c>
      <c r="C32" s="293" t="s">
        <v>1115</v>
      </c>
      <c r="D32" s="274">
        <f>9609-5429+3+20</f>
        <v>4203</v>
      </c>
      <c r="E32" s="275"/>
      <c r="F32" s="276">
        <f t="shared" si="0"/>
        <v>4203</v>
      </c>
      <c r="G32" s="283"/>
      <c r="H32" s="275"/>
      <c r="I32" s="276">
        <f t="shared" si="1"/>
        <v>0</v>
      </c>
      <c r="J32" s="222"/>
      <c r="K32" s="223"/>
      <c r="L32" s="276">
        <f t="shared" si="2"/>
        <v>0</v>
      </c>
      <c r="M32" s="550">
        <f t="shared" si="4"/>
        <v>4203</v>
      </c>
    </row>
    <row r="33" spans="1:13" ht="29.25" customHeight="1">
      <c r="A33" s="220" t="s">
        <v>705</v>
      </c>
      <c r="B33" s="534" t="s">
        <v>577</v>
      </c>
      <c r="C33" s="293" t="s">
        <v>1115</v>
      </c>
      <c r="D33" s="274">
        <f>30617+96+26+205+54+15+664+179+1670+451</f>
        <v>33977</v>
      </c>
      <c r="E33" s="275">
        <v>127</v>
      </c>
      <c r="F33" s="276">
        <f t="shared" si="0"/>
        <v>34104</v>
      </c>
      <c r="G33" s="283"/>
      <c r="H33" s="275"/>
      <c r="I33" s="276">
        <f t="shared" si="1"/>
        <v>0</v>
      </c>
      <c r="J33" s="222"/>
      <c r="K33" s="223"/>
      <c r="L33" s="276">
        <f t="shared" si="2"/>
        <v>0</v>
      </c>
      <c r="M33" s="550">
        <f t="shared" si="4"/>
        <v>34104</v>
      </c>
    </row>
    <row r="34" spans="1:13" ht="29.25" customHeight="1">
      <c r="A34" s="220" t="s">
        <v>706</v>
      </c>
      <c r="B34" s="534" t="s">
        <v>578</v>
      </c>
      <c r="C34" s="293" t="s">
        <v>1115</v>
      </c>
      <c r="D34" s="274">
        <v>120</v>
      </c>
      <c r="E34" s="275"/>
      <c r="F34" s="276">
        <f t="shared" si="0"/>
        <v>120</v>
      </c>
      <c r="G34" s="283"/>
      <c r="H34" s="275"/>
      <c r="I34" s="276">
        <f t="shared" si="1"/>
        <v>0</v>
      </c>
      <c r="J34" s="222"/>
      <c r="K34" s="223"/>
      <c r="L34" s="276">
        <f t="shared" si="2"/>
        <v>0</v>
      </c>
      <c r="M34" s="550">
        <f t="shared" si="4"/>
        <v>120</v>
      </c>
    </row>
    <row r="35" spans="1:13" ht="29.25" customHeight="1">
      <c r="A35" s="220" t="s">
        <v>661</v>
      </c>
      <c r="B35" s="534" t="s">
        <v>637</v>
      </c>
      <c r="C35" s="293" t="s">
        <v>1115</v>
      </c>
      <c r="D35" s="274">
        <f>15991+251+3+69+47+13+428+116+127</f>
        <v>17045</v>
      </c>
      <c r="E35" s="275">
        <v>490</v>
      </c>
      <c r="F35" s="276">
        <f t="shared" si="0"/>
        <v>17535</v>
      </c>
      <c r="G35" s="283"/>
      <c r="H35" s="275"/>
      <c r="I35" s="276">
        <f t="shared" si="1"/>
        <v>0</v>
      </c>
      <c r="J35" s="222"/>
      <c r="K35" s="223"/>
      <c r="L35" s="276">
        <f t="shared" si="2"/>
        <v>0</v>
      </c>
      <c r="M35" s="550">
        <f t="shared" si="4"/>
        <v>17535</v>
      </c>
    </row>
    <row r="36" spans="1:13" ht="29.25" customHeight="1">
      <c r="A36" s="220" t="s">
        <v>707</v>
      </c>
      <c r="B36" s="539" t="s">
        <v>184</v>
      </c>
      <c r="C36" s="276" t="s">
        <v>725</v>
      </c>
      <c r="D36" s="274">
        <f>28917-5000</f>
        <v>23917</v>
      </c>
      <c r="E36" s="275">
        <f>2250+12750</f>
        <v>15000</v>
      </c>
      <c r="F36" s="276">
        <f t="shared" si="0"/>
        <v>38917</v>
      </c>
      <c r="G36" s="283"/>
      <c r="H36" s="275">
        <v>70</v>
      </c>
      <c r="I36" s="276">
        <f t="shared" si="1"/>
        <v>70</v>
      </c>
      <c r="J36" s="222"/>
      <c r="K36" s="223"/>
      <c r="L36" s="276">
        <f t="shared" si="2"/>
        <v>0</v>
      </c>
      <c r="M36" s="550">
        <f t="shared" si="4"/>
        <v>38987</v>
      </c>
    </row>
    <row r="37" spans="1:13" ht="29.25" customHeight="1">
      <c r="A37" s="220" t="s">
        <v>616</v>
      </c>
      <c r="B37" s="534" t="s">
        <v>571</v>
      </c>
      <c r="C37" s="540"/>
      <c r="D37" s="274"/>
      <c r="E37" s="275"/>
      <c r="F37" s="276">
        <f t="shared" si="0"/>
        <v>0</v>
      </c>
      <c r="G37" s="283">
        <v>250</v>
      </c>
      <c r="H37" s="275"/>
      <c r="I37" s="276">
        <f t="shared" si="1"/>
        <v>250</v>
      </c>
      <c r="J37" s="222"/>
      <c r="K37" s="223"/>
      <c r="L37" s="276">
        <f t="shared" si="2"/>
        <v>0</v>
      </c>
      <c r="M37" s="550">
        <f t="shared" si="4"/>
        <v>250</v>
      </c>
    </row>
    <row r="38" spans="1:13" ht="29.25" customHeight="1">
      <c r="A38" s="220" t="s">
        <v>617</v>
      </c>
      <c r="B38" s="539" t="s">
        <v>847</v>
      </c>
      <c r="C38" s="276"/>
      <c r="D38" s="274"/>
      <c r="E38" s="275"/>
      <c r="F38" s="276">
        <f t="shared" si="0"/>
        <v>0</v>
      </c>
      <c r="G38" s="283">
        <f>2110+5+1407+230+394+106+560+3972</f>
        <v>8784</v>
      </c>
      <c r="H38" s="275">
        <f>1830+9561+300+260+4302</f>
        <v>16253</v>
      </c>
      <c r="I38" s="276">
        <f t="shared" si="1"/>
        <v>25037</v>
      </c>
      <c r="J38" s="222"/>
      <c r="K38" s="223"/>
      <c r="L38" s="276">
        <f t="shared" si="2"/>
        <v>0</v>
      </c>
      <c r="M38" s="550">
        <f t="shared" si="4"/>
        <v>25037</v>
      </c>
    </row>
    <row r="39" spans="1:13" ht="29.25" customHeight="1">
      <c r="A39" s="220" t="s">
        <v>618</v>
      </c>
      <c r="B39" s="539" t="s">
        <v>840</v>
      </c>
      <c r="C39" s="293" t="s">
        <v>723</v>
      </c>
      <c r="D39" s="274">
        <v>1070</v>
      </c>
      <c r="E39" s="275"/>
      <c r="F39" s="276">
        <f t="shared" si="0"/>
        <v>1070</v>
      </c>
      <c r="G39" s="283"/>
      <c r="H39" s="275"/>
      <c r="I39" s="276">
        <f t="shared" si="1"/>
        <v>0</v>
      </c>
      <c r="J39" s="222"/>
      <c r="K39" s="223"/>
      <c r="L39" s="276">
        <f t="shared" si="2"/>
        <v>0</v>
      </c>
      <c r="M39" s="550">
        <f t="shared" si="4"/>
        <v>1070</v>
      </c>
    </row>
    <row r="40" spans="1:13" ht="29.25" customHeight="1">
      <c r="A40" s="220" t="s">
        <v>709</v>
      </c>
      <c r="B40" s="534" t="s">
        <v>579</v>
      </c>
      <c r="C40" s="293" t="s">
        <v>723</v>
      </c>
      <c r="D40" s="274">
        <f>8032-7+416</f>
        <v>8441</v>
      </c>
      <c r="E40" s="275"/>
      <c r="F40" s="276">
        <f t="shared" si="0"/>
        <v>8441</v>
      </c>
      <c r="G40" s="283"/>
      <c r="H40" s="275"/>
      <c r="I40" s="276">
        <f t="shared" si="1"/>
        <v>0</v>
      </c>
      <c r="J40" s="222"/>
      <c r="K40" s="223"/>
      <c r="L40" s="276">
        <f t="shared" si="2"/>
        <v>0</v>
      </c>
      <c r="M40" s="550">
        <f t="shared" si="4"/>
        <v>8441</v>
      </c>
    </row>
    <row r="41" spans="1:13" ht="29.25" customHeight="1">
      <c r="A41" s="220" t="s">
        <v>619</v>
      </c>
      <c r="B41" s="534" t="s">
        <v>188</v>
      </c>
      <c r="C41" s="629" t="s">
        <v>196</v>
      </c>
      <c r="D41" s="274"/>
      <c r="E41" s="275"/>
      <c r="F41" s="276">
        <f t="shared" si="0"/>
        <v>0</v>
      </c>
      <c r="G41" s="283">
        <v>47</v>
      </c>
      <c r="H41" s="275"/>
      <c r="I41" s="276">
        <f t="shared" si="1"/>
        <v>47</v>
      </c>
      <c r="J41" s="222"/>
      <c r="K41" s="223"/>
      <c r="L41" s="276">
        <f t="shared" si="2"/>
        <v>0</v>
      </c>
      <c r="M41" s="550">
        <f t="shared" si="4"/>
        <v>47</v>
      </c>
    </row>
    <row r="42" spans="1:13" ht="33.75">
      <c r="A42" s="220" t="s">
        <v>636</v>
      </c>
      <c r="B42" s="534" t="s">
        <v>182</v>
      </c>
      <c r="C42" s="293" t="s">
        <v>724</v>
      </c>
      <c r="D42" s="277">
        <f>9148-682+2879</f>
        <v>11345</v>
      </c>
      <c r="E42" s="278">
        <f>500-500+920</f>
        <v>920</v>
      </c>
      <c r="F42" s="276">
        <f t="shared" si="0"/>
        <v>12265</v>
      </c>
      <c r="G42" s="284"/>
      <c r="H42" s="278">
        <f>49+10330</f>
        <v>10379</v>
      </c>
      <c r="I42" s="276">
        <f t="shared" si="1"/>
        <v>10379</v>
      </c>
      <c r="J42" s="222"/>
      <c r="K42" s="223"/>
      <c r="L42" s="276">
        <f t="shared" si="2"/>
        <v>0</v>
      </c>
      <c r="M42" s="550">
        <f t="shared" si="4"/>
        <v>22644</v>
      </c>
    </row>
    <row r="43" spans="1:13" ht="24">
      <c r="A43" s="220" t="s">
        <v>713</v>
      </c>
      <c r="B43" s="534" t="s">
        <v>841</v>
      </c>
      <c r="C43" s="293" t="s">
        <v>731</v>
      </c>
      <c r="D43" s="277"/>
      <c r="E43" s="278">
        <v>5500</v>
      </c>
      <c r="F43" s="276">
        <f t="shared" si="0"/>
        <v>5500</v>
      </c>
      <c r="G43" s="284"/>
      <c r="H43" s="278"/>
      <c r="I43" s="276">
        <f t="shared" si="1"/>
        <v>0</v>
      </c>
      <c r="J43" s="222"/>
      <c r="K43" s="223"/>
      <c r="L43" s="276">
        <f t="shared" si="2"/>
        <v>0</v>
      </c>
      <c r="M43" s="550">
        <f t="shared" si="4"/>
        <v>5500</v>
      </c>
    </row>
    <row r="44" spans="1:13" ht="24">
      <c r="A44" s="220" t="s">
        <v>714</v>
      </c>
      <c r="B44" s="534" t="s">
        <v>186</v>
      </c>
      <c r="C44" s="629"/>
      <c r="D44" s="277"/>
      <c r="E44" s="278"/>
      <c r="F44" s="276">
        <f t="shared" si="0"/>
        <v>0</v>
      </c>
      <c r="G44" s="284">
        <f>35953-3540-500-5200</f>
        <v>26713</v>
      </c>
      <c r="H44" s="278"/>
      <c r="I44" s="276">
        <f t="shared" si="1"/>
        <v>26713</v>
      </c>
      <c r="J44" s="222"/>
      <c r="K44" s="223"/>
      <c r="L44" s="276">
        <f t="shared" si="2"/>
        <v>0</v>
      </c>
      <c r="M44" s="550">
        <f t="shared" si="4"/>
        <v>26713</v>
      </c>
    </row>
    <row r="45" spans="1:13" ht="27" customHeight="1">
      <c r="A45" s="220" t="s">
        <v>715</v>
      </c>
      <c r="B45" s="534" t="s">
        <v>169</v>
      </c>
      <c r="C45" s="540" t="s">
        <v>710</v>
      </c>
      <c r="D45" s="279">
        <v>6501</v>
      </c>
      <c r="E45" s="280"/>
      <c r="F45" s="276">
        <f aca="true" t="shared" si="5" ref="F45:F55">SUM(D45:E45)</f>
        <v>6501</v>
      </c>
      <c r="G45" s="285"/>
      <c r="H45" s="280">
        <v>0</v>
      </c>
      <c r="I45" s="276">
        <f aca="true" t="shared" si="6" ref="I45:I55">SUM(G45:H45)</f>
        <v>0</v>
      </c>
      <c r="J45" s="222"/>
      <c r="K45" s="223"/>
      <c r="L45" s="276">
        <f aca="true" t="shared" si="7" ref="L45:L55">SUM(J45:K45)</f>
        <v>0</v>
      </c>
      <c r="M45" s="550">
        <f t="shared" si="4"/>
        <v>6501</v>
      </c>
    </row>
    <row r="46" spans="1:13" ht="31.5" customHeight="1">
      <c r="A46" s="220" t="s">
        <v>716</v>
      </c>
      <c r="B46" s="628" t="s">
        <v>654</v>
      </c>
      <c r="C46" s="293" t="s">
        <v>708</v>
      </c>
      <c r="D46" s="274">
        <f>18174</f>
        <v>18174</v>
      </c>
      <c r="E46" s="275"/>
      <c r="F46" s="276">
        <f t="shared" si="5"/>
        <v>18174</v>
      </c>
      <c r="G46" s="283"/>
      <c r="H46" s="275"/>
      <c r="I46" s="276">
        <f t="shared" si="6"/>
        <v>0</v>
      </c>
      <c r="J46" s="222"/>
      <c r="K46" s="223"/>
      <c r="L46" s="276">
        <f t="shared" si="7"/>
        <v>0</v>
      </c>
      <c r="M46" s="550">
        <f t="shared" si="4"/>
        <v>18174</v>
      </c>
    </row>
    <row r="47" spans="1:13" ht="33.75" customHeight="1">
      <c r="A47" s="220" t="s">
        <v>717</v>
      </c>
      <c r="B47" s="628" t="s">
        <v>187</v>
      </c>
      <c r="C47" s="629" t="s">
        <v>195</v>
      </c>
      <c r="D47" s="274"/>
      <c r="E47" s="275"/>
      <c r="F47" s="276">
        <f t="shared" si="5"/>
        <v>0</v>
      </c>
      <c r="G47" s="283">
        <v>1509</v>
      </c>
      <c r="H47" s="275"/>
      <c r="I47" s="276">
        <f t="shared" si="6"/>
        <v>1509</v>
      </c>
      <c r="J47" s="222"/>
      <c r="K47" s="223"/>
      <c r="L47" s="276">
        <f t="shared" si="7"/>
        <v>0</v>
      </c>
      <c r="M47" s="550">
        <f t="shared" si="4"/>
        <v>1509</v>
      </c>
    </row>
    <row r="48" spans="1:13" ht="21.75" customHeight="1">
      <c r="A48" s="220" t="s">
        <v>718</v>
      </c>
      <c r="B48" s="628" t="s">
        <v>173</v>
      </c>
      <c r="C48" s="629" t="s">
        <v>195</v>
      </c>
      <c r="D48" s="274"/>
      <c r="E48" s="275"/>
      <c r="F48" s="276">
        <f t="shared" si="5"/>
        <v>0</v>
      </c>
      <c r="G48" s="283">
        <v>3405</v>
      </c>
      <c r="H48" s="275"/>
      <c r="I48" s="276">
        <f t="shared" si="6"/>
        <v>3405</v>
      </c>
      <c r="J48" s="222"/>
      <c r="K48" s="223"/>
      <c r="L48" s="276">
        <f t="shared" si="7"/>
        <v>0</v>
      </c>
      <c r="M48" s="550">
        <f t="shared" si="4"/>
        <v>3405</v>
      </c>
    </row>
    <row r="49" spans="1:13" ht="28.5" customHeight="1">
      <c r="A49" s="220" t="s">
        <v>719</v>
      </c>
      <c r="B49" s="534" t="s">
        <v>656</v>
      </c>
      <c r="C49" s="540" t="s">
        <v>711</v>
      </c>
      <c r="D49" s="274">
        <f>7674-500+450</f>
        <v>7624</v>
      </c>
      <c r="E49" s="275"/>
      <c r="F49" s="276">
        <f t="shared" si="5"/>
        <v>7624</v>
      </c>
      <c r="G49" s="283"/>
      <c r="H49" s="275"/>
      <c r="I49" s="276">
        <f t="shared" si="6"/>
        <v>0</v>
      </c>
      <c r="J49" s="222"/>
      <c r="K49" s="223"/>
      <c r="L49" s="276">
        <f t="shared" si="7"/>
        <v>0</v>
      </c>
      <c r="M49" s="550">
        <f t="shared" si="4"/>
        <v>7624</v>
      </c>
    </row>
    <row r="50" spans="1:13" ht="20.25" customHeight="1">
      <c r="A50" s="220" t="s">
        <v>720</v>
      </c>
      <c r="B50" s="534" t="s">
        <v>657</v>
      </c>
      <c r="C50" s="540" t="s">
        <v>712</v>
      </c>
      <c r="D50" s="274">
        <f>3017+15</f>
        <v>3032</v>
      </c>
      <c r="E50" s="275"/>
      <c r="F50" s="276">
        <f t="shared" si="5"/>
        <v>3032</v>
      </c>
      <c r="G50" s="283"/>
      <c r="H50" s="275"/>
      <c r="I50" s="276">
        <f t="shared" si="6"/>
        <v>0</v>
      </c>
      <c r="J50" s="222"/>
      <c r="K50" s="223"/>
      <c r="L50" s="276">
        <f t="shared" si="7"/>
        <v>0</v>
      </c>
      <c r="M50" s="550">
        <f t="shared" si="4"/>
        <v>3032</v>
      </c>
    </row>
    <row r="51" spans="1:13" ht="27" customHeight="1">
      <c r="A51" s="220" t="s">
        <v>721</v>
      </c>
      <c r="B51" s="628" t="s">
        <v>655</v>
      </c>
      <c r="C51" s="540" t="s">
        <v>710</v>
      </c>
      <c r="D51" s="277">
        <v>9179</v>
      </c>
      <c r="E51" s="281"/>
      <c r="F51" s="276">
        <f t="shared" si="5"/>
        <v>9179</v>
      </c>
      <c r="G51" s="284"/>
      <c r="H51" s="281"/>
      <c r="I51" s="276">
        <f t="shared" si="6"/>
        <v>0</v>
      </c>
      <c r="J51" s="222"/>
      <c r="K51" s="223"/>
      <c r="L51" s="276">
        <f t="shared" si="7"/>
        <v>0</v>
      </c>
      <c r="M51" s="550">
        <f t="shared" si="4"/>
        <v>9179</v>
      </c>
    </row>
    <row r="52" spans="1:13" ht="38.25" customHeight="1">
      <c r="A52" s="220" t="s">
        <v>490</v>
      </c>
      <c r="B52" s="534" t="s">
        <v>1112</v>
      </c>
      <c r="C52" s="276" t="s">
        <v>1111</v>
      </c>
      <c r="D52" s="274">
        <f>2800+1330</f>
        <v>4130</v>
      </c>
      <c r="E52" s="275"/>
      <c r="F52" s="276">
        <f t="shared" si="5"/>
        <v>4130</v>
      </c>
      <c r="G52" s="283"/>
      <c r="H52" s="275"/>
      <c r="I52" s="276">
        <f t="shared" si="6"/>
        <v>0</v>
      </c>
      <c r="J52" s="222"/>
      <c r="K52" s="223"/>
      <c r="L52" s="276">
        <f t="shared" si="7"/>
        <v>0</v>
      </c>
      <c r="M52" s="550">
        <f t="shared" si="4"/>
        <v>4130</v>
      </c>
    </row>
    <row r="53" spans="1:13" s="230" customFormat="1" ht="27.75" customHeight="1">
      <c r="A53" s="270" t="s">
        <v>849</v>
      </c>
      <c r="B53" s="534" t="s">
        <v>575</v>
      </c>
      <c r="C53" s="293" t="s">
        <v>193</v>
      </c>
      <c r="D53" s="290">
        <f>6719-323-3517-100-859+720+3517-250+10-70-350-1000-2250-2250-6000+53177-13962-5976+714-714-146-3-7982+2900-2900+2611-2611-16238-18+12783-1000+410-127-1204-67-8-218-360+63-1000-1499-385-207-594-149-707-38+5200-156-12125-165+2609+882+1936+231-277+978+6630+57-2500-450-2121</f>
        <v>9271</v>
      </c>
      <c r="E53" s="291">
        <f>40735-882-8489+68969-35894-9122+4252-4252-10330+170-357</f>
        <v>44800</v>
      </c>
      <c r="F53" s="276">
        <f t="shared" si="5"/>
        <v>54071</v>
      </c>
      <c r="G53" s="287"/>
      <c r="H53" s="282"/>
      <c r="I53" s="276">
        <f t="shared" si="6"/>
        <v>0</v>
      </c>
      <c r="J53" s="226"/>
      <c r="K53" s="226"/>
      <c r="L53" s="276">
        <f t="shared" si="7"/>
        <v>0</v>
      </c>
      <c r="M53" s="550">
        <f t="shared" si="4"/>
        <v>54071</v>
      </c>
    </row>
    <row r="54" spans="1:13" s="230" customFormat="1" ht="27.75" customHeight="1">
      <c r="A54" s="270" t="s">
        <v>963</v>
      </c>
      <c r="B54" s="534" t="s">
        <v>949</v>
      </c>
      <c r="C54" s="642"/>
      <c r="D54" s="535"/>
      <c r="E54" s="536"/>
      <c r="F54" s="276">
        <f>SUM(D54:E54)</f>
        <v>0</v>
      </c>
      <c r="G54" s="627">
        <f>7683+1039+66-279</f>
        <v>8509</v>
      </c>
      <c r="H54" s="536"/>
      <c r="I54" s="276">
        <f t="shared" si="6"/>
        <v>8509</v>
      </c>
      <c r="J54" s="537"/>
      <c r="K54" s="538"/>
      <c r="L54" s="276">
        <f t="shared" si="7"/>
        <v>0</v>
      </c>
      <c r="M54" s="550">
        <f>SUM(F54+I54+L54)</f>
        <v>8509</v>
      </c>
    </row>
    <row r="55" spans="1:13" ht="23.25" customHeight="1" thickBot="1">
      <c r="A55" s="220" t="s">
        <v>964</v>
      </c>
      <c r="B55" s="534" t="s">
        <v>550</v>
      </c>
      <c r="C55" s="630" t="s">
        <v>1116</v>
      </c>
      <c r="D55" s="277">
        <f>131633+1963+1589+4674+28+8</f>
        <v>139895</v>
      </c>
      <c r="E55" s="278">
        <f>7836-7620+5644-5644</f>
        <v>216</v>
      </c>
      <c r="F55" s="276">
        <f t="shared" si="5"/>
        <v>140111</v>
      </c>
      <c r="G55" s="286"/>
      <c r="H55" s="281"/>
      <c r="I55" s="276">
        <f t="shared" si="6"/>
        <v>0</v>
      </c>
      <c r="J55" s="222"/>
      <c r="K55" s="222"/>
      <c r="L55" s="276">
        <f t="shared" si="7"/>
        <v>0</v>
      </c>
      <c r="M55" s="550">
        <f t="shared" si="4"/>
        <v>140111</v>
      </c>
    </row>
    <row r="56" spans="1:13" s="230" customFormat="1" ht="13.5" thickBot="1">
      <c r="A56" s="963" t="s">
        <v>726</v>
      </c>
      <c r="B56" s="964"/>
      <c r="C56" s="965"/>
      <c r="D56" s="292">
        <f aca="true" t="shared" si="8" ref="D56:M56">SUM(D10:D55)</f>
        <v>847607</v>
      </c>
      <c r="E56" s="292">
        <f t="shared" si="8"/>
        <v>894725</v>
      </c>
      <c r="F56" s="292">
        <f t="shared" si="8"/>
        <v>1742332</v>
      </c>
      <c r="G56" s="292">
        <f t="shared" si="8"/>
        <v>66373</v>
      </c>
      <c r="H56" s="292">
        <f t="shared" si="8"/>
        <v>376641</v>
      </c>
      <c r="I56" s="292">
        <f t="shared" si="8"/>
        <v>443014</v>
      </c>
      <c r="J56" s="292">
        <f t="shared" si="8"/>
        <v>37794</v>
      </c>
      <c r="K56" s="292">
        <f t="shared" si="8"/>
        <v>161</v>
      </c>
      <c r="L56" s="292">
        <f t="shared" si="8"/>
        <v>37955</v>
      </c>
      <c r="M56" s="584">
        <f t="shared" si="8"/>
        <v>2223301</v>
      </c>
    </row>
    <row r="57" spans="1:13" ht="30.75" customHeight="1">
      <c r="A57" s="220" t="s">
        <v>594</v>
      </c>
      <c r="B57" s="534" t="s">
        <v>151</v>
      </c>
      <c r="C57" s="273" t="s">
        <v>702</v>
      </c>
      <c r="D57" s="271">
        <f>147768-20648-5467+135+36+1243+335+3234-440</f>
        <v>126196</v>
      </c>
      <c r="E57" s="272">
        <f>445+170</f>
        <v>615</v>
      </c>
      <c r="F57" s="276">
        <f>SUM(D57:E57)</f>
        <v>126811</v>
      </c>
      <c r="G57" s="271"/>
      <c r="H57" s="272"/>
      <c r="I57" s="273">
        <f>SUM(G57:H57)</f>
        <v>0</v>
      </c>
      <c r="J57" s="271"/>
      <c r="K57" s="272"/>
      <c r="L57" s="273">
        <f>SUM(J57:K57)</f>
        <v>0</v>
      </c>
      <c r="M57" s="550">
        <f>SUM(L57,I57,F57)</f>
        <v>126811</v>
      </c>
    </row>
    <row r="58" spans="1:13" ht="22.5">
      <c r="A58" s="220" t="s">
        <v>595</v>
      </c>
      <c r="B58" s="224" t="s">
        <v>198</v>
      </c>
      <c r="C58" s="221" t="s">
        <v>1117</v>
      </c>
      <c r="D58" s="274">
        <f>26959+2580</f>
        <v>29539</v>
      </c>
      <c r="E58" s="275"/>
      <c r="F58" s="276">
        <f>SUM(D58:E58)</f>
        <v>29539</v>
      </c>
      <c r="G58" s="274"/>
      <c r="H58" s="275"/>
      <c r="I58" s="276">
        <f>SUM(G58:H58)</f>
        <v>0</v>
      </c>
      <c r="J58" s="274"/>
      <c r="K58" s="275"/>
      <c r="L58" s="276">
        <f>SUM(J58:K58)</f>
        <v>0</v>
      </c>
      <c r="M58" s="550">
        <f>SUM(L58,I58,F58)</f>
        <v>29539</v>
      </c>
    </row>
    <row r="59" spans="1:13" ht="24">
      <c r="A59" s="220" t="s">
        <v>596</v>
      </c>
      <c r="B59" s="224" t="s">
        <v>197</v>
      </c>
      <c r="C59" s="221" t="s">
        <v>1118</v>
      </c>
      <c r="D59" s="274">
        <v>14669</v>
      </c>
      <c r="E59" s="275"/>
      <c r="F59" s="276">
        <f>SUM(D59:E59)</f>
        <v>14669</v>
      </c>
      <c r="G59" s="274"/>
      <c r="H59" s="275"/>
      <c r="I59" s="276">
        <f>SUM(G59:H59)</f>
        <v>0</v>
      </c>
      <c r="J59" s="274"/>
      <c r="K59" s="275"/>
      <c r="L59" s="276">
        <f>SUM(J59:K59)</f>
        <v>0</v>
      </c>
      <c r="M59" s="550">
        <f>SUM(L59,I59,F59)</f>
        <v>14669</v>
      </c>
    </row>
    <row r="60" spans="1:13" ht="48">
      <c r="A60" s="220" t="s">
        <v>597</v>
      </c>
      <c r="B60" s="224" t="s">
        <v>1197</v>
      </c>
      <c r="C60" s="228" t="s">
        <v>1119</v>
      </c>
      <c r="D60" s="274">
        <v>12626</v>
      </c>
      <c r="E60" s="275"/>
      <c r="F60" s="276">
        <f>SUM(D60:E60)</f>
        <v>12626</v>
      </c>
      <c r="G60" s="274"/>
      <c r="H60" s="275"/>
      <c r="I60" s="276">
        <f>SUM(G60:H60)</f>
        <v>0</v>
      </c>
      <c r="J60" s="274"/>
      <c r="K60" s="275"/>
      <c r="L60" s="276">
        <f>SUM(J60:K60)</f>
        <v>0</v>
      </c>
      <c r="M60" s="550">
        <f>SUM(L60,I60,F60)</f>
        <v>12626</v>
      </c>
    </row>
    <row r="61" spans="1:13" ht="24.75" thickBot="1">
      <c r="A61" s="220" t="s">
        <v>598</v>
      </c>
      <c r="B61" s="224" t="s">
        <v>848</v>
      </c>
      <c r="C61" s="221" t="s">
        <v>1120</v>
      </c>
      <c r="D61" s="296">
        <v>520</v>
      </c>
      <c r="E61" s="297"/>
      <c r="F61" s="298">
        <f>SUM(D61:E61)</f>
        <v>520</v>
      </c>
      <c r="G61" s="296"/>
      <c r="H61" s="297"/>
      <c r="I61" s="276">
        <f>SUM(G61:H61)</f>
        <v>0</v>
      </c>
      <c r="J61" s="296">
        <v>15</v>
      </c>
      <c r="K61" s="297"/>
      <c r="L61" s="276">
        <f>SUM(J61:K61)</f>
        <v>15</v>
      </c>
      <c r="M61" s="550">
        <f>SUM(L61,I61,F61)</f>
        <v>535</v>
      </c>
    </row>
    <row r="62" spans="1:13" s="230" customFormat="1" ht="13.5" thickBot="1">
      <c r="A62" s="963" t="s">
        <v>728</v>
      </c>
      <c r="B62" s="964"/>
      <c r="C62" s="965"/>
      <c r="D62" s="299">
        <f aca="true" t="shared" si="9" ref="D62:M62">SUM(D57:D61)</f>
        <v>183550</v>
      </c>
      <c r="E62" s="299">
        <f t="shared" si="9"/>
        <v>615</v>
      </c>
      <c r="F62" s="299">
        <f t="shared" si="9"/>
        <v>184165</v>
      </c>
      <c r="G62" s="299">
        <f t="shared" si="9"/>
        <v>0</v>
      </c>
      <c r="H62" s="299">
        <f t="shared" si="9"/>
        <v>0</v>
      </c>
      <c r="I62" s="299">
        <f t="shared" si="9"/>
        <v>0</v>
      </c>
      <c r="J62" s="299">
        <f t="shared" si="9"/>
        <v>15</v>
      </c>
      <c r="K62" s="299">
        <f t="shared" si="9"/>
        <v>0</v>
      </c>
      <c r="L62" s="299">
        <f t="shared" si="9"/>
        <v>15</v>
      </c>
      <c r="M62" s="549">
        <f t="shared" si="9"/>
        <v>184180</v>
      </c>
    </row>
    <row r="63" spans="1:13" ht="12.75">
      <c r="A63" s="220" t="s">
        <v>594</v>
      </c>
      <c r="B63" s="224" t="s">
        <v>729</v>
      </c>
      <c r="C63" s="225" t="s">
        <v>700</v>
      </c>
      <c r="D63" s="300">
        <f>32865-221</f>
        <v>32644</v>
      </c>
      <c r="E63" s="301"/>
      <c r="F63" s="273">
        <f>SUM(D63:E63)</f>
        <v>32644</v>
      </c>
      <c r="G63" s="300"/>
      <c r="H63" s="301"/>
      <c r="I63" s="289">
        <f>SUM(G63:H63)</f>
        <v>0</v>
      </c>
      <c r="J63" s="300"/>
      <c r="K63" s="301"/>
      <c r="L63" s="273">
        <f>SUM(J63:K63)</f>
        <v>0</v>
      </c>
      <c r="M63" s="550">
        <f>SUM(L63,I63,F63)</f>
        <v>32644</v>
      </c>
    </row>
    <row r="64" spans="1:13" ht="12.75">
      <c r="A64" s="220" t="s">
        <v>595</v>
      </c>
      <c r="B64" s="224" t="s">
        <v>730</v>
      </c>
      <c r="C64" s="221" t="s">
        <v>731</v>
      </c>
      <c r="D64" s="274">
        <f>149459-2787+97+26+1048+283+77+9549</f>
        <v>157752</v>
      </c>
      <c r="E64" s="275">
        <f>254-50+333+667</f>
        <v>1204</v>
      </c>
      <c r="F64" s="276">
        <f>SUM(D64:E64)</f>
        <v>158956</v>
      </c>
      <c r="G64" s="274"/>
      <c r="H64" s="275"/>
      <c r="I64" s="298">
        <f>SUM(G64:H64)</f>
        <v>0</v>
      </c>
      <c r="J64" s="274"/>
      <c r="K64" s="275"/>
      <c r="L64" s="276">
        <f>SUM(J64:K64)</f>
        <v>0</v>
      </c>
      <c r="M64" s="550">
        <f>SUM(L64,I64,F64)</f>
        <v>158956</v>
      </c>
    </row>
    <row r="65" spans="1:13" ht="15.75" customHeight="1">
      <c r="A65" s="295" t="s">
        <v>596</v>
      </c>
      <c r="B65" s="227" t="s">
        <v>732</v>
      </c>
      <c r="C65" s="276" t="s">
        <v>731</v>
      </c>
      <c r="D65" s="296">
        <v>11674</v>
      </c>
      <c r="E65" s="297"/>
      <c r="F65" s="298">
        <f>SUM(D65:E65)</f>
        <v>11674</v>
      </c>
      <c r="G65" s="296"/>
      <c r="H65" s="297"/>
      <c r="I65" s="298">
        <f>SUM(G65:H65)</f>
        <v>0</v>
      </c>
      <c r="J65" s="296"/>
      <c r="K65" s="297"/>
      <c r="L65" s="298">
        <f>SUM(J65:K65)</f>
        <v>0</v>
      </c>
      <c r="M65" s="550">
        <f>SUM(L65,I65,F65)</f>
        <v>11674</v>
      </c>
    </row>
    <row r="66" spans="1:13" ht="15.75" customHeight="1" thickBot="1">
      <c r="A66" s="295" t="s">
        <v>597</v>
      </c>
      <c r="B66" s="227" t="s">
        <v>850</v>
      </c>
      <c r="C66" s="288"/>
      <c r="D66" s="296"/>
      <c r="E66" s="297"/>
      <c r="F66" s="298">
        <f>SUM(D66:E66)</f>
        <v>0</v>
      </c>
      <c r="G66" s="296">
        <f>6245+280-32-28+40</f>
        <v>6505</v>
      </c>
      <c r="H66" s="297">
        <f>400+20</f>
        <v>420</v>
      </c>
      <c r="I66" s="298">
        <f>SUM(G66:H66)</f>
        <v>6925</v>
      </c>
      <c r="J66" s="296"/>
      <c r="K66" s="297"/>
      <c r="L66" s="298">
        <f>SUM(J66:K66)</f>
        <v>0</v>
      </c>
      <c r="M66" s="550">
        <f>SUM(L66,I66,F66)</f>
        <v>6925</v>
      </c>
    </row>
    <row r="67" spans="1:13" ht="13.5" thickBot="1">
      <c r="A67" s="963" t="s">
        <v>780</v>
      </c>
      <c r="B67" s="964"/>
      <c r="C67" s="965"/>
      <c r="D67" s="303">
        <f>SUM(D63:D66)</f>
        <v>202070</v>
      </c>
      <c r="E67" s="303">
        <f aca="true" t="shared" si="10" ref="E67:L67">SUM(E63:E66)</f>
        <v>1204</v>
      </c>
      <c r="F67" s="303">
        <f t="shared" si="10"/>
        <v>203274</v>
      </c>
      <c r="G67" s="303">
        <f t="shared" si="10"/>
        <v>6505</v>
      </c>
      <c r="H67" s="303">
        <f t="shared" si="10"/>
        <v>420</v>
      </c>
      <c r="I67" s="303">
        <f t="shared" si="10"/>
        <v>6925</v>
      </c>
      <c r="J67" s="303">
        <f t="shared" si="10"/>
        <v>0</v>
      </c>
      <c r="K67" s="303">
        <f t="shared" si="10"/>
        <v>0</v>
      </c>
      <c r="L67" s="303">
        <f t="shared" si="10"/>
        <v>0</v>
      </c>
      <c r="M67" s="549">
        <f>SUM(M63:M66)</f>
        <v>210199</v>
      </c>
    </row>
    <row r="68" spans="1:13" s="231" customFormat="1" ht="15.75" thickBot="1">
      <c r="A68" s="960" t="s">
        <v>733</v>
      </c>
      <c r="B68" s="961"/>
      <c r="C68" s="962"/>
      <c r="D68" s="302">
        <f aca="true" t="shared" si="11" ref="D68:M68">D56+D62+D67</f>
        <v>1233227</v>
      </c>
      <c r="E68" s="302">
        <f t="shared" si="11"/>
        <v>896544</v>
      </c>
      <c r="F68" s="302">
        <f t="shared" si="11"/>
        <v>2129771</v>
      </c>
      <c r="G68" s="302">
        <f t="shared" si="11"/>
        <v>72878</v>
      </c>
      <c r="H68" s="302">
        <f t="shared" si="11"/>
        <v>377061</v>
      </c>
      <c r="I68" s="302">
        <f t="shared" si="11"/>
        <v>449939</v>
      </c>
      <c r="J68" s="302">
        <f t="shared" si="11"/>
        <v>37809</v>
      </c>
      <c r="K68" s="302">
        <f t="shared" si="11"/>
        <v>161</v>
      </c>
      <c r="L68" s="548">
        <f t="shared" si="11"/>
        <v>37970</v>
      </c>
      <c r="M68" s="551">
        <f t="shared" si="11"/>
        <v>2617680</v>
      </c>
    </row>
    <row r="71" spans="1:2" ht="12.75">
      <c r="A71" t="s">
        <v>734</v>
      </c>
      <c r="B71" t="s">
        <v>735</v>
      </c>
    </row>
    <row r="72" spans="1:2" ht="12.75">
      <c r="A72" t="s">
        <v>736</v>
      </c>
      <c r="B72" t="s">
        <v>737</v>
      </c>
    </row>
    <row r="73" spans="1:2" ht="12.75">
      <c r="A73" t="s">
        <v>738</v>
      </c>
      <c r="B73" t="s">
        <v>739</v>
      </c>
    </row>
    <row r="74" spans="1:2" ht="12.75">
      <c r="A74" t="s">
        <v>740</v>
      </c>
      <c r="B74" t="s">
        <v>741</v>
      </c>
    </row>
    <row r="75" spans="1:2" ht="12.75">
      <c r="A75" t="s">
        <v>742</v>
      </c>
      <c r="B75" t="s">
        <v>743</v>
      </c>
    </row>
    <row r="76" spans="1:2" ht="12.75">
      <c r="A76" t="s">
        <v>1113</v>
      </c>
      <c r="B76" t="s">
        <v>1114</v>
      </c>
    </row>
    <row r="77" spans="1:2" ht="12.75">
      <c r="A77" t="s">
        <v>744</v>
      </c>
      <c r="B77" t="s">
        <v>745</v>
      </c>
    </row>
  </sheetData>
  <sheetProtection/>
  <mergeCells count="16">
    <mergeCell ref="G1:M1"/>
    <mergeCell ref="M6:M8"/>
    <mergeCell ref="A3:M4"/>
    <mergeCell ref="C6:C8"/>
    <mergeCell ref="G6:I7"/>
    <mergeCell ref="J6:L7"/>
    <mergeCell ref="A68:C68"/>
    <mergeCell ref="A62:C62"/>
    <mergeCell ref="D6:F7"/>
    <mergeCell ref="A67:C67"/>
    <mergeCell ref="B5:B8"/>
    <mergeCell ref="A5:A8"/>
    <mergeCell ref="C5:M5"/>
    <mergeCell ref="A56:C56"/>
    <mergeCell ref="B9:M9"/>
    <mergeCell ref="C19:C21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O96"/>
  <sheetViews>
    <sheetView zoomScalePageLayoutView="0" workbookViewId="0" topLeftCell="R1">
      <selection activeCell="T2" sqref="T2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1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3.25390625" style="0" bestFit="1" customWidth="1"/>
    <col min="21" max="21" width="9.875" style="0" customWidth="1"/>
    <col min="22" max="22" width="10.125" style="0" bestFit="1" customWidth="1"/>
    <col min="23" max="23" width="13.875" style="0" customWidth="1"/>
    <col min="24" max="24" width="13.875" style="232" bestFit="1" customWidth="1"/>
    <col min="25" max="25" width="13.875" style="232" customWidth="1"/>
    <col min="26" max="26" width="14.75390625" style="232" bestFit="1" customWidth="1"/>
    <col min="27" max="27" width="13.125" style="232" bestFit="1" customWidth="1"/>
    <col min="28" max="28" width="12.625" style="232" bestFit="1" customWidth="1"/>
    <col min="29" max="29" width="13.125" style="232" bestFit="1" customWidth="1"/>
    <col min="30" max="223" width="9.125" style="232" customWidth="1"/>
  </cols>
  <sheetData>
    <row r="1" spans="1:28" ht="15">
      <c r="A1" s="211"/>
      <c r="B1" s="212"/>
      <c r="C1" s="213"/>
      <c r="H1" s="212"/>
      <c r="I1" s="212"/>
      <c r="J1" s="212"/>
      <c r="K1" s="216"/>
      <c r="L1" s="216"/>
      <c r="M1" s="216"/>
      <c r="N1" s="212"/>
      <c r="T1" s="1031" t="s">
        <v>1198</v>
      </c>
      <c r="U1" s="1032"/>
      <c r="V1" s="1032"/>
      <c r="W1" s="1032"/>
      <c r="X1" s="1033"/>
      <c r="Y1" s="1033"/>
      <c r="Z1" s="1033"/>
      <c r="AA1" s="1033"/>
      <c r="AB1" s="1033"/>
    </row>
    <row r="2" spans="1:14" ht="12.75">
      <c r="A2" s="211"/>
      <c r="B2" s="212"/>
      <c r="C2" s="213"/>
      <c r="D2" s="214"/>
      <c r="E2" s="215"/>
      <c r="F2" s="215"/>
      <c r="G2" s="215"/>
      <c r="H2" s="212"/>
      <c r="I2" s="212"/>
      <c r="J2" s="212"/>
      <c r="K2" s="216"/>
      <c r="L2" s="216"/>
      <c r="M2" s="216"/>
      <c r="N2" s="212"/>
    </row>
    <row r="3" spans="1:29" ht="15.75" customHeight="1">
      <c r="A3" s="1054" t="s">
        <v>1040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</row>
    <row r="4" spans="1:24" ht="13.5" customHeight="1" thickBot="1">
      <c r="A4" s="853"/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</row>
    <row r="5" spans="1:223" s="233" customFormat="1" ht="15" customHeight="1" thickBot="1" thickTop="1">
      <c r="A5" s="1039" t="s">
        <v>199</v>
      </c>
      <c r="B5" s="1040"/>
      <c r="C5" s="1040"/>
      <c r="D5" s="1045" t="s">
        <v>552</v>
      </c>
      <c r="E5" s="1046"/>
      <c r="F5" s="1047"/>
      <c r="G5" s="1048" t="s">
        <v>746</v>
      </c>
      <c r="H5" s="1049"/>
      <c r="I5" s="1049"/>
      <c r="J5" s="1049"/>
      <c r="K5" s="1050"/>
      <c r="L5" s="997" t="s">
        <v>747</v>
      </c>
      <c r="M5" s="1016"/>
      <c r="N5" s="1016"/>
      <c r="O5" s="1016"/>
      <c r="P5" s="1016"/>
      <c r="Q5" s="1043"/>
      <c r="R5" s="997" t="s">
        <v>748</v>
      </c>
      <c r="S5" s="1016"/>
      <c r="T5" s="1016"/>
      <c r="U5" s="1016"/>
      <c r="V5" s="1016"/>
      <c r="W5" s="1016"/>
      <c r="X5" s="1034" t="s">
        <v>749</v>
      </c>
      <c r="Y5" s="1035"/>
      <c r="Z5" s="1035"/>
      <c r="AA5" s="1036" t="s">
        <v>200</v>
      </c>
      <c r="AB5" s="1037"/>
      <c r="AC5" s="1038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</row>
    <row r="6" spans="1:29" s="232" customFormat="1" ht="16.5" customHeight="1" thickBot="1">
      <c r="A6" s="1041"/>
      <c r="B6" s="1042"/>
      <c r="C6" s="1042"/>
      <c r="D6" s="305" t="s">
        <v>201</v>
      </c>
      <c r="E6" s="306" t="s">
        <v>190</v>
      </c>
      <c r="F6" s="307" t="s">
        <v>202</v>
      </c>
      <c r="G6" s="1051"/>
      <c r="H6" s="1052"/>
      <c r="I6" s="1052"/>
      <c r="J6" s="1052"/>
      <c r="K6" s="1053"/>
      <c r="L6" s="1018"/>
      <c r="M6" s="1019"/>
      <c r="N6" s="1019"/>
      <c r="O6" s="1019"/>
      <c r="P6" s="1019"/>
      <c r="Q6" s="1044"/>
      <c r="R6" s="1018"/>
      <c r="S6" s="1019"/>
      <c r="T6" s="1019"/>
      <c r="U6" s="1019"/>
      <c r="V6" s="1019"/>
      <c r="W6" s="1019"/>
      <c r="X6" s="308" t="s">
        <v>201</v>
      </c>
      <c r="Y6" s="309" t="s">
        <v>190</v>
      </c>
      <c r="Z6" s="310" t="s">
        <v>202</v>
      </c>
      <c r="AA6" s="311" t="s">
        <v>201</v>
      </c>
      <c r="AB6" s="312" t="s">
        <v>190</v>
      </c>
      <c r="AC6" s="313" t="s">
        <v>202</v>
      </c>
    </row>
    <row r="7" spans="1:29" s="234" customFormat="1" ht="26.25" customHeight="1">
      <c r="A7" s="314"/>
      <c r="B7" s="315"/>
      <c r="C7" s="316"/>
      <c r="D7" s="317"/>
      <c r="E7" s="315"/>
      <c r="F7" s="318"/>
      <c r="G7" s="1055" t="s">
        <v>750</v>
      </c>
      <c r="H7" s="1056"/>
      <c r="I7" s="1056"/>
      <c r="J7" s="322">
        <v>80739</v>
      </c>
      <c r="K7" s="1003">
        <f>SUM(J7:J25)</f>
        <v>220329</v>
      </c>
      <c r="L7" s="1012" t="s">
        <v>222</v>
      </c>
      <c r="M7" s="1013"/>
      <c r="N7" s="1013"/>
      <c r="O7" s="1013"/>
      <c r="P7" s="319">
        <v>1365</v>
      </c>
      <c r="Q7" s="1026">
        <f>SUM(P7:P25)</f>
        <v>146569</v>
      </c>
      <c r="R7" s="1008" t="s">
        <v>751</v>
      </c>
      <c r="S7" s="1009"/>
      <c r="T7" s="1009"/>
      <c r="U7" s="1009"/>
      <c r="V7" s="322">
        <v>248</v>
      </c>
      <c r="W7" s="1021">
        <f>SUM(V7:V25)</f>
        <v>425825</v>
      </c>
      <c r="X7" s="323"/>
      <c r="Y7" s="324"/>
      <c r="Z7" s="325"/>
      <c r="AA7" s="326"/>
      <c r="AB7" s="327"/>
      <c r="AC7" s="328"/>
    </row>
    <row r="8" spans="1:29" s="234" customFormat="1" ht="30.75" customHeight="1">
      <c r="A8" s="314"/>
      <c r="B8" s="315"/>
      <c r="C8" s="317"/>
      <c r="D8" s="317"/>
      <c r="E8" s="315"/>
      <c r="F8" s="318"/>
      <c r="G8" s="1010" t="s">
        <v>754</v>
      </c>
      <c r="H8" s="1011"/>
      <c r="I8" s="1011"/>
      <c r="J8" s="322">
        <v>7276</v>
      </c>
      <c r="K8" s="1004"/>
      <c r="L8" s="1023" t="s">
        <v>752</v>
      </c>
      <c r="M8" s="996"/>
      <c r="N8" s="996"/>
      <c r="O8" s="996"/>
      <c r="P8" s="322">
        <v>2960</v>
      </c>
      <c r="Q8" s="1027"/>
      <c r="R8" s="1023" t="s">
        <v>753</v>
      </c>
      <c r="S8" s="996"/>
      <c r="T8" s="996"/>
      <c r="U8" s="996"/>
      <c r="V8" s="322">
        <v>1007</v>
      </c>
      <c r="W8" s="1022"/>
      <c r="X8" s="329"/>
      <c r="Y8" s="324"/>
      <c r="Z8" s="330"/>
      <c r="AA8" s="314"/>
      <c r="AB8" s="331"/>
      <c r="AC8" s="332"/>
    </row>
    <row r="9" spans="1:29" s="234" customFormat="1" ht="24.75" customHeight="1">
      <c r="A9" s="333"/>
      <c r="B9" s="334"/>
      <c r="C9" s="335" t="s">
        <v>693</v>
      </c>
      <c r="D9" s="336">
        <v>847607</v>
      </c>
      <c r="E9" s="337">
        <v>894725</v>
      </c>
      <c r="F9" s="338">
        <f>SUM(D9:E9)</f>
        <v>1742332</v>
      </c>
      <c r="G9" s="995" t="s">
        <v>757</v>
      </c>
      <c r="H9" s="996"/>
      <c r="I9" s="996"/>
      <c r="J9" s="322">
        <v>10499</v>
      </c>
      <c r="K9" s="1004"/>
      <c r="L9" s="1008" t="s">
        <v>755</v>
      </c>
      <c r="M9" s="1009"/>
      <c r="N9" s="1009"/>
      <c r="O9" s="1009"/>
      <c r="P9" s="322">
        <v>12792</v>
      </c>
      <c r="Q9" s="1027"/>
      <c r="R9" s="1008" t="s">
        <v>756</v>
      </c>
      <c r="S9" s="1009"/>
      <c r="T9" s="1009"/>
      <c r="U9" s="1009"/>
      <c r="V9" s="322">
        <v>97395</v>
      </c>
      <c r="W9" s="1022"/>
      <c r="X9" s="339"/>
      <c r="Y9" s="340"/>
      <c r="Z9" s="330"/>
      <c r="AA9" s="341"/>
      <c r="AB9" s="342"/>
      <c r="AC9" s="343"/>
    </row>
    <row r="10" spans="1:29" s="234" customFormat="1" ht="28.5" customHeight="1">
      <c r="A10" s="344"/>
      <c r="B10" s="345"/>
      <c r="C10" s="346"/>
      <c r="D10" s="346"/>
      <c r="E10" s="315"/>
      <c r="F10" s="318"/>
      <c r="G10" s="996" t="s">
        <v>853</v>
      </c>
      <c r="H10" s="996"/>
      <c r="I10" s="996"/>
      <c r="J10" s="322">
        <v>14804</v>
      </c>
      <c r="K10" s="1004"/>
      <c r="L10" s="1023" t="s">
        <v>758</v>
      </c>
      <c r="M10" s="996"/>
      <c r="N10" s="996"/>
      <c r="O10" s="996"/>
      <c r="P10" s="322">
        <v>18000</v>
      </c>
      <c r="Q10" s="1027"/>
      <c r="R10" s="1008" t="s">
        <v>759</v>
      </c>
      <c r="S10" s="1009"/>
      <c r="T10" s="1009"/>
      <c r="U10" s="1009"/>
      <c r="V10" s="322">
        <v>4943</v>
      </c>
      <c r="W10" s="1022"/>
      <c r="X10" s="339"/>
      <c r="Y10" s="340"/>
      <c r="Z10" s="330"/>
      <c r="AA10" s="341"/>
      <c r="AB10" s="342"/>
      <c r="AC10" s="343"/>
    </row>
    <row r="11" spans="1:29" s="234" customFormat="1" ht="24.75" customHeight="1">
      <c r="A11" s="344"/>
      <c r="B11" s="345"/>
      <c r="C11" s="346"/>
      <c r="D11" s="346"/>
      <c r="E11" s="315"/>
      <c r="F11" s="318"/>
      <c r="G11" s="995" t="s">
        <v>487</v>
      </c>
      <c r="H11" s="996"/>
      <c r="I11" s="996"/>
      <c r="J11" s="322">
        <v>25652</v>
      </c>
      <c r="K11" s="1004"/>
      <c r="L11" s="1023" t="s">
        <v>857</v>
      </c>
      <c r="M11" s="996"/>
      <c r="N11" s="996"/>
      <c r="O11" s="996"/>
      <c r="P11" s="322">
        <v>303</v>
      </c>
      <c r="Q11" s="1027"/>
      <c r="R11" s="1023" t="s">
        <v>760</v>
      </c>
      <c r="S11" s="996"/>
      <c r="T11" s="996"/>
      <c r="U11" s="996"/>
      <c r="V11" s="322">
        <f>168900+1970</f>
        <v>170870</v>
      </c>
      <c r="W11" s="1022"/>
      <c r="X11" s="339"/>
      <c r="Y11" s="340"/>
      <c r="Z11" s="330"/>
      <c r="AA11" s="341"/>
      <c r="AB11" s="342"/>
      <c r="AC11" s="343"/>
    </row>
    <row r="12" spans="1:29" s="234" customFormat="1" ht="25.5" customHeight="1">
      <c r="A12" s="344"/>
      <c r="B12" s="345"/>
      <c r="C12" s="346"/>
      <c r="D12" s="346"/>
      <c r="E12" s="315"/>
      <c r="F12" s="348"/>
      <c r="G12" s="1009" t="s">
        <v>852</v>
      </c>
      <c r="H12" s="1009"/>
      <c r="I12" s="1009"/>
      <c r="J12" s="322">
        <v>70079</v>
      </c>
      <c r="K12" s="1004"/>
      <c r="L12" s="1023" t="s">
        <v>858</v>
      </c>
      <c r="M12" s="996"/>
      <c r="N12" s="996"/>
      <c r="O12" s="996"/>
      <c r="P12" s="322">
        <f>24353-5663</f>
        <v>18690</v>
      </c>
      <c r="Q12" s="1027"/>
      <c r="R12" s="1023" t="s">
        <v>223</v>
      </c>
      <c r="S12" s="996"/>
      <c r="T12" s="996"/>
      <c r="U12" s="996"/>
      <c r="V12" s="322">
        <f>5550+500+134+36</f>
        <v>6220</v>
      </c>
      <c r="W12" s="1022"/>
      <c r="X12" s="349">
        <f>SUM(W7,Q7,K7)</f>
        <v>792723</v>
      </c>
      <c r="Y12" s="350">
        <f>SUM(Q26,W26,K26)</f>
        <v>906812</v>
      </c>
      <c r="Z12" s="351">
        <f>SUM(Y12,X12)</f>
        <v>1699535</v>
      </c>
      <c r="AA12" s="349">
        <f>X12-D9</f>
        <v>-54884</v>
      </c>
      <c r="AB12" s="350">
        <f>Y12-E9</f>
        <v>12087</v>
      </c>
      <c r="AC12" s="352">
        <f>SUM(AA12:AB12)</f>
        <v>-42797</v>
      </c>
    </row>
    <row r="13" spans="1:29" s="232" customFormat="1" ht="27.75" customHeight="1">
      <c r="A13" s="353"/>
      <c r="B13" s="354"/>
      <c r="C13" s="355"/>
      <c r="D13" s="355"/>
      <c r="E13" s="356"/>
      <c r="F13" s="357"/>
      <c r="G13" s="995" t="s">
        <v>955</v>
      </c>
      <c r="H13" s="996"/>
      <c r="I13" s="996"/>
      <c r="J13" s="322">
        <v>1589</v>
      </c>
      <c r="K13" s="1004"/>
      <c r="L13" s="1023" t="s">
        <v>859</v>
      </c>
      <c r="M13" s="996"/>
      <c r="N13" s="996"/>
      <c r="O13" s="996"/>
      <c r="P13" s="322">
        <f>24756-6462</f>
        <v>18294</v>
      </c>
      <c r="Q13" s="1027"/>
      <c r="R13" s="1008" t="s">
        <v>761</v>
      </c>
      <c r="S13" s="1009"/>
      <c r="T13" s="1009"/>
      <c r="U13" s="1009"/>
      <c r="V13" s="358">
        <v>512</v>
      </c>
      <c r="W13" s="1022"/>
      <c r="X13" s="339"/>
      <c r="Y13" s="340"/>
      <c r="Z13" s="330"/>
      <c r="AA13" s="341"/>
      <c r="AB13" s="342"/>
      <c r="AC13" s="343"/>
    </row>
    <row r="14" spans="1:29" s="232" customFormat="1" ht="16.5" customHeight="1">
      <c r="A14" s="353"/>
      <c r="B14" s="354"/>
      <c r="C14" s="355"/>
      <c r="D14" s="355"/>
      <c r="E14" s="356"/>
      <c r="F14" s="357"/>
      <c r="G14" s="995" t="s">
        <v>959</v>
      </c>
      <c r="H14" s="996"/>
      <c r="I14" s="996"/>
      <c r="J14" s="322">
        <v>226</v>
      </c>
      <c r="K14" s="1004"/>
      <c r="L14" s="1008" t="s">
        <v>1133</v>
      </c>
      <c r="M14" s="1009"/>
      <c r="N14" s="1009"/>
      <c r="O14" s="1009"/>
      <c r="P14" s="359">
        <v>2879</v>
      </c>
      <c r="Q14" s="1027"/>
      <c r="R14" s="1008" t="s">
        <v>772</v>
      </c>
      <c r="S14" s="1009"/>
      <c r="T14" s="1009"/>
      <c r="U14" s="1009"/>
      <c r="V14" s="358">
        <v>447</v>
      </c>
      <c r="W14" s="1022"/>
      <c r="X14" s="339"/>
      <c r="Y14" s="340"/>
      <c r="Z14" s="330"/>
      <c r="AA14" s="341"/>
      <c r="AB14" s="342"/>
      <c r="AC14" s="343"/>
    </row>
    <row r="15" spans="1:29" s="232" customFormat="1" ht="12.75" customHeight="1">
      <c r="A15" s="353"/>
      <c r="B15" s="354"/>
      <c r="C15" s="355"/>
      <c r="D15" s="355"/>
      <c r="E15" s="356"/>
      <c r="F15" s="357"/>
      <c r="G15" s="995" t="s">
        <v>960</v>
      </c>
      <c r="H15" s="996"/>
      <c r="I15" s="996"/>
      <c r="J15" s="322">
        <v>2051</v>
      </c>
      <c r="K15" s="1004"/>
      <c r="L15" s="1008" t="s">
        <v>854</v>
      </c>
      <c r="M15" s="1009"/>
      <c r="N15" s="1009"/>
      <c r="O15" s="1009"/>
      <c r="P15" s="359">
        <f>842+1455</f>
        <v>2297</v>
      </c>
      <c r="Q15" s="1027"/>
      <c r="R15" s="1008" t="s">
        <v>1052</v>
      </c>
      <c r="S15" s="1009"/>
      <c r="T15" s="1009"/>
      <c r="U15" s="1009"/>
      <c r="V15" s="358">
        <f>127+18+80+103</f>
        <v>328</v>
      </c>
      <c r="W15" s="1022"/>
      <c r="X15" s="339"/>
      <c r="Y15" s="340"/>
      <c r="Z15" s="330"/>
      <c r="AA15" s="341"/>
      <c r="AB15" s="342"/>
      <c r="AC15" s="343"/>
    </row>
    <row r="16" spans="1:29" s="232" customFormat="1" ht="27" customHeight="1">
      <c r="A16" s="353"/>
      <c r="B16" s="354"/>
      <c r="C16" s="355"/>
      <c r="D16" s="355"/>
      <c r="E16" s="356"/>
      <c r="F16" s="357"/>
      <c r="G16" s="995" t="s">
        <v>961</v>
      </c>
      <c r="H16" s="996"/>
      <c r="I16" s="996"/>
      <c r="J16" s="322">
        <v>416</v>
      </c>
      <c r="K16" s="1004"/>
      <c r="L16" s="1008" t="s">
        <v>855</v>
      </c>
      <c r="M16" s="1009"/>
      <c r="N16" s="1009"/>
      <c r="O16" s="1009"/>
      <c r="P16" s="380">
        <v>14668</v>
      </c>
      <c r="Q16" s="1027"/>
      <c r="R16" s="1008" t="s">
        <v>861</v>
      </c>
      <c r="S16" s="1009"/>
      <c r="T16" s="1009"/>
      <c r="U16" s="1009"/>
      <c r="V16" s="358">
        <v>364</v>
      </c>
      <c r="W16" s="1022"/>
      <c r="X16" s="339"/>
      <c r="Y16" s="340"/>
      <c r="Z16" s="330"/>
      <c r="AA16" s="341"/>
      <c r="AB16" s="342"/>
      <c r="AC16" s="343"/>
    </row>
    <row r="17" spans="1:29" s="232" customFormat="1" ht="16.5" customHeight="1">
      <c r="A17" s="353"/>
      <c r="B17" s="354"/>
      <c r="C17" s="355"/>
      <c r="D17" s="355"/>
      <c r="E17" s="356"/>
      <c r="F17" s="357"/>
      <c r="G17" s="1028" t="s">
        <v>1054</v>
      </c>
      <c r="H17" s="1009"/>
      <c r="I17" s="1009"/>
      <c r="J17" s="322">
        <v>960</v>
      </c>
      <c r="K17" s="1004"/>
      <c r="L17" s="1008" t="s">
        <v>1053</v>
      </c>
      <c r="M17" s="1009"/>
      <c r="N17" s="1009"/>
      <c r="O17" s="1009"/>
      <c r="P17" s="380">
        <f>9130-5429+20</f>
        <v>3721</v>
      </c>
      <c r="Q17" s="1027"/>
      <c r="R17" s="1023" t="s">
        <v>762</v>
      </c>
      <c r="S17" s="996"/>
      <c r="T17" s="996"/>
      <c r="U17" s="996"/>
      <c r="V17" s="358">
        <f>270</f>
        <v>270</v>
      </c>
      <c r="W17" s="1022"/>
      <c r="X17" s="339"/>
      <c r="Y17" s="340"/>
      <c r="Z17" s="330"/>
      <c r="AA17" s="341"/>
      <c r="AB17" s="342"/>
      <c r="AC17" s="343"/>
    </row>
    <row r="18" spans="1:29" s="232" customFormat="1" ht="26.25" customHeight="1">
      <c r="A18" s="353"/>
      <c r="B18" s="354"/>
      <c r="C18" s="355"/>
      <c r="D18" s="355"/>
      <c r="E18" s="356"/>
      <c r="F18" s="357"/>
      <c r="G18" s="995" t="s">
        <v>1134</v>
      </c>
      <c r="H18" s="996"/>
      <c r="I18" s="996"/>
      <c r="J18" s="322">
        <v>6038</v>
      </c>
      <c r="K18" s="1004"/>
      <c r="L18" s="1023" t="s">
        <v>922</v>
      </c>
      <c r="M18" s="996"/>
      <c r="N18" s="996"/>
      <c r="O18" s="996"/>
      <c r="P18" s="380">
        <v>7000</v>
      </c>
      <c r="Q18" s="1027"/>
      <c r="R18" s="1023" t="s">
        <v>1142</v>
      </c>
      <c r="S18" s="996"/>
      <c r="T18" s="996"/>
      <c r="U18" s="996"/>
      <c r="V18" s="359">
        <f>217+2964</f>
        <v>3181</v>
      </c>
      <c r="W18" s="1022"/>
      <c r="X18" s="339"/>
      <c r="Y18" s="340"/>
      <c r="Z18" s="330"/>
      <c r="AA18" s="341"/>
      <c r="AB18" s="342"/>
      <c r="AC18" s="343"/>
    </row>
    <row r="19" spans="1:29" s="232" customFormat="1" ht="16.5" customHeight="1">
      <c r="A19" s="353"/>
      <c r="B19" s="354"/>
      <c r="C19" s="355"/>
      <c r="D19" s="355"/>
      <c r="E19" s="356"/>
      <c r="F19" s="357"/>
      <c r="G19" s="496"/>
      <c r="H19" s="495"/>
      <c r="I19" s="495"/>
      <c r="J19" s="494"/>
      <c r="K19" s="1004"/>
      <c r="L19" s="1029" t="s">
        <v>1077</v>
      </c>
      <c r="M19" s="1011"/>
      <c r="N19" s="1011"/>
      <c r="O19" s="1011"/>
      <c r="P19" s="1030">
        <v>700</v>
      </c>
      <c r="Q19" s="1027"/>
      <c r="R19" s="1023" t="s">
        <v>958</v>
      </c>
      <c r="S19" s="996"/>
      <c r="T19" s="996"/>
      <c r="U19" s="996"/>
      <c r="V19" s="359">
        <v>410</v>
      </c>
      <c r="W19" s="1022"/>
      <c r="X19" s="339"/>
      <c r="Y19" s="340"/>
      <c r="Z19" s="330"/>
      <c r="AA19" s="341"/>
      <c r="AB19" s="342"/>
      <c r="AC19" s="343"/>
    </row>
    <row r="20" spans="1:29" s="232" customFormat="1" ht="15.75" customHeight="1">
      <c r="A20" s="353"/>
      <c r="B20" s="354"/>
      <c r="C20" s="355"/>
      <c r="D20" s="355"/>
      <c r="E20" s="356"/>
      <c r="F20" s="357"/>
      <c r="G20" s="496"/>
      <c r="H20" s="495"/>
      <c r="I20" s="495"/>
      <c r="J20" s="494"/>
      <c r="K20" s="1004"/>
      <c r="L20" s="1029"/>
      <c r="M20" s="1011"/>
      <c r="N20" s="1011"/>
      <c r="O20" s="1011"/>
      <c r="P20" s="1030"/>
      <c r="Q20" s="1027"/>
      <c r="R20" s="320" t="s">
        <v>954</v>
      </c>
      <c r="S20" s="321"/>
      <c r="T20" s="321"/>
      <c r="U20" s="321"/>
      <c r="V20" s="359">
        <f>284628+4762-284628-4762</f>
        <v>0</v>
      </c>
      <c r="W20" s="1022"/>
      <c r="X20" s="339"/>
      <c r="Y20" s="340"/>
      <c r="Z20" s="330"/>
      <c r="AA20" s="341"/>
      <c r="AB20" s="342"/>
      <c r="AC20" s="343"/>
    </row>
    <row r="21" spans="1:29" s="232" customFormat="1" ht="14.25" customHeight="1">
      <c r="A21" s="353"/>
      <c r="B21" s="354"/>
      <c r="C21" s="355"/>
      <c r="D21" s="355"/>
      <c r="E21" s="356"/>
      <c r="F21" s="357"/>
      <c r="G21" s="496"/>
      <c r="H21" s="495"/>
      <c r="I21" s="495"/>
      <c r="J21" s="494"/>
      <c r="K21" s="1004"/>
      <c r="L21" s="1008" t="s">
        <v>1078</v>
      </c>
      <c r="M21" s="1009"/>
      <c r="N21" s="1009"/>
      <c r="O21" s="1009"/>
      <c r="P21" s="359">
        <v>39900</v>
      </c>
      <c r="Q21" s="1027"/>
      <c r="R21" s="320" t="s">
        <v>957</v>
      </c>
      <c r="S21" s="321"/>
      <c r="T21" s="321"/>
      <c r="U21" s="321"/>
      <c r="V21" s="359">
        <v>12783</v>
      </c>
      <c r="W21" s="1022"/>
      <c r="X21" s="339"/>
      <c r="Y21" s="340"/>
      <c r="Z21" s="330"/>
      <c r="AA21" s="341"/>
      <c r="AB21" s="342"/>
      <c r="AC21" s="343"/>
    </row>
    <row r="22" spans="1:29" s="232" customFormat="1" ht="14.25" customHeight="1">
      <c r="A22" s="353"/>
      <c r="B22" s="354"/>
      <c r="C22" s="355"/>
      <c r="D22" s="355"/>
      <c r="E22" s="356"/>
      <c r="F22" s="357"/>
      <c r="G22" s="496"/>
      <c r="H22" s="495"/>
      <c r="I22" s="495"/>
      <c r="J22" s="494"/>
      <c r="K22" s="1004"/>
      <c r="L22" s="1008" t="s">
        <v>1047</v>
      </c>
      <c r="M22" s="1009"/>
      <c r="N22" s="1009"/>
      <c r="O22" s="1009"/>
      <c r="P22" s="359">
        <f>217-217</f>
        <v>0</v>
      </c>
      <c r="Q22" s="1027"/>
      <c r="R22" s="320" t="s">
        <v>881</v>
      </c>
      <c r="S22" s="321"/>
      <c r="T22" s="321"/>
      <c r="U22" s="321"/>
      <c r="V22" s="359">
        <f>30+24</f>
        <v>54</v>
      </c>
      <c r="W22" s="1022"/>
      <c r="X22" s="339"/>
      <c r="Y22" s="340"/>
      <c r="Z22" s="330"/>
      <c r="AA22" s="341"/>
      <c r="AB22" s="342"/>
      <c r="AC22" s="343"/>
    </row>
    <row r="23" spans="1:29" s="232" customFormat="1" ht="14.25" customHeight="1">
      <c r="A23" s="353"/>
      <c r="B23" s="354"/>
      <c r="C23" s="355"/>
      <c r="D23" s="355"/>
      <c r="E23" s="356"/>
      <c r="F23" s="357"/>
      <c r="G23" s="496"/>
      <c r="H23" s="495"/>
      <c r="I23" s="495"/>
      <c r="J23" s="494"/>
      <c r="K23" s="1004"/>
      <c r="L23" s="1008" t="s">
        <v>1135</v>
      </c>
      <c r="M23" s="1009"/>
      <c r="N23" s="1009"/>
      <c r="O23" s="1009"/>
      <c r="P23" s="359">
        <v>3000</v>
      </c>
      <c r="Q23" s="1027"/>
      <c r="R23" s="320" t="s">
        <v>1055</v>
      </c>
      <c r="S23" s="321"/>
      <c r="T23" s="321"/>
      <c r="U23" s="321"/>
      <c r="V23" s="359">
        <v>47</v>
      </c>
      <c r="W23" s="1022"/>
      <c r="X23" s="339"/>
      <c r="Y23" s="340"/>
      <c r="Z23" s="330"/>
      <c r="AA23" s="341"/>
      <c r="AB23" s="342"/>
      <c r="AC23" s="343"/>
    </row>
    <row r="24" spans="1:29" s="232" customFormat="1" ht="14.25" customHeight="1">
      <c r="A24" s="353"/>
      <c r="B24" s="354"/>
      <c r="C24" s="355"/>
      <c r="D24" s="355"/>
      <c r="E24" s="356"/>
      <c r="F24" s="357"/>
      <c r="G24" s="496"/>
      <c r="H24" s="495"/>
      <c r="I24" s="495"/>
      <c r="J24" s="494"/>
      <c r="K24" s="1004"/>
      <c r="Q24" s="1027"/>
      <c r="R24" s="320" t="s">
        <v>1046</v>
      </c>
      <c r="S24" s="321"/>
      <c r="T24" s="321"/>
      <c r="U24" s="321"/>
      <c r="V24" s="359">
        <v>70000</v>
      </c>
      <c r="W24" s="1022"/>
      <c r="X24" s="339"/>
      <c r="Y24" s="340"/>
      <c r="Z24" s="330"/>
      <c r="AA24" s="341"/>
      <c r="AB24" s="342"/>
      <c r="AC24" s="343"/>
    </row>
    <row r="25" spans="1:29" s="232" customFormat="1" ht="14.25" customHeight="1" thickBot="1">
      <c r="A25" s="353"/>
      <c r="B25" s="354"/>
      <c r="C25" s="355"/>
      <c r="D25" s="355"/>
      <c r="E25" s="356"/>
      <c r="F25" s="357"/>
      <c r="G25" s="496"/>
      <c r="H25" s="495"/>
      <c r="I25" s="495"/>
      <c r="J25" s="494"/>
      <c r="K25" s="1004"/>
      <c r="L25" s="1008"/>
      <c r="M25" s="1009"/>
      <c r="N25" s="1009"/>
      <c r="O25" s="1009"/>
      <c r="P25" s="359"/>
      <c r="Q25" s="1027"/>
      <c r="R25" s="1023" t="s">
        <v>956</v>
      </c>
      <c r="S25" s="996"/>
      <c r="T25" s="996"/>
      <c r="U25" s="996"/>
      <c r="V25" s="359">
        <f>3569+53177</f>
        <v>56746</v>
      </c>
      <c r="W25" s="1022"/>
      <c r="X25" s="339"/>
      <c r="Y25" s="340"/>
      <c r="Z25" s="330"/>
      <c r="AA25" s="341"/>
      <c r="AB25" s="342"/>
      <c r="AC25" s="343"/>
    </row>
    <row r="26" spans="1:29" s="232" customFormat="1" ht="12.75" customHeight="1">
      <c r="A26" s="353"/>
      <c r="B26" s="354"/>
      <c r="C26" s="355"/>
      <c r="D26" s="355"/>
      <c r="E26" s="360" t="s">
        <v>204</v>
      </c>
      <c r="F26" s="357"/>
      <c r="G26" s="1070" t="s">
        <v>399</v>
      </c>
      <c r="H26" s="1013"/>
      <c r="I26" s="1013"/>
      <c r="J26" s="361">
        <f>12750</f>
        <v>12750</v>
      </c>
      <c r="K26" s="1003">
        <f>SUM(J26:J33)</f>
        <v>13170</v>
      </c>
      <c r="L26" s="1012" t="s">
        <v>856</v>
      </c>
      <c r="M26" s="1013"/>
      <c r="N26" s="1013"/>
      <c r="O26" s="1013"/>
      <c r="P26" s="361">
        <v>40540</v>
      </c>
      <c r="Q26" s="1003">
        <f>SUM(P26:P33)</f>
        <v>781391</v>
      </c>
      <c r="R26" s="1012" t="s">
        <v>1092</v>
      </c>
      <c r="S26" s="1013"/>
      <c r="T26" s="1013"/>
      <c r="U26" s="1013"/>
      <c r="V26" s="362">
        <f>16000+10000+17272</f>
        <v>43272</v>
      </c>
      <c r="W26" s="1021">
        <f>SUM(V26:V33)</f>
        <v>112251</v>
      </c>
      <c r="X26" s="339"/>
      <c r="Y26" s="340"/>
      <c r="Z26" s="330"/>
      <c r="AA26" s="341"/>
      <c r="AB26" s="342"/>
      <c r="AC26" s="343"/>
    </row>
    <row r="27" spans="1:29" s="232" customFormat="1" ht="12.75" customHeight="1">
      <c r="A27" s="353"/>
      <c r="B27" s="354"/>
      <c r="C27" s="355"/>
      <c r="D27" s="355"/>
      <c r="E27" s="356"/>
      <c r="F27" s="357"/>
      <c r="G27" s="995" t="s">
        <v>1138</v>
      </c>
      <c r="H27" s="996"/>
      <c r="I27" s="996"/>
      <c r="J27" s="1030">
        <v>420</v>
      </c>
      <c r="K27" s="1004"/>
      <c r="L27" s="1008" t="s">
        <v>491</v>
      </c>
      <c r="M27" s="1009"/>
      <c r="N27" s="1009"/>
      <c r="O27" s="1009"/>
      <c r="P27" s="380">
        <v>172401</v>
      </c>
      <c r="Q27" s="1066"/>
      <c r="R27" s="1008" t="s">
        <v>479</v>
      </c>
      <c r="S27" s="1009"/>
      <c r="T27" s="1009"/>
      <c r="U27" s="1009"/>
      <c r="V27" s="359">
        <v>10</v>
      </c>
      <c r="W27" s="1062"/>
      <c r="X27" s="339"/>
      <c r="Y27" s="340"/>
      <c r="Z27" s="330"/>
      <c r="AA27" s="341"/>
      <c r="AB27" s="342"/>
      <c r="AC27" s="343"/>
    </row>
    <row r="28" spans="1:29" s="232" customFormat="1" ht="12.75" customHeight="1">
      <c r="A28" s="353"/>
      <c r="B28" s="354"/>
      <c r="C28" s="355"/>
      <c r="D28" s="355"/>
      <c r="E28" s="356"/>
      <c r="F28" s="357"/>
      <c r="G28" s="995"/>
      <c r="H28" s="996"/>
      <c r="I28" s="996"/>
      <c r="J28" s="1030"/>
      <c r="K28" s="1004"/>
      <c r="L28" s="1008" t="s">
        <v>492</v>
      </c>
      <c r="M28" s="1009"/>
      <c r="N28" s="1009"/>
      <c r="O28" s="1009"/>
      <c r="P28" s="380">
        <v>560125</v>
      </c>
      <c r="Q28" s="1066"/>
      <c r="R28" s="1023" t="s">
        <v>1091</v>
      </c>
      <c r="S28" s="996"/>
      <c r="T28" s="996"/>
      <c r="U28" s="996"/>
      <c r="V28" s="359">
        <v>68969</v>
      </c>
      <c r="W28" s="1062"/>
      <c r="X28" s="339"/>
      <c r="Y28" s="340"/>
      <c r="Z28" s="330"/>
      <c r="AA28" s="341"/>
      <c r="AB28" s="342"/>
      <c r="AC28" s="343"/>
    </row>
    <row r="29" spans="1:29" s="232" customFormat="1" ht="13.5" customHeight="1" thickBot="1">
      <c r="A29" s="353"/>
      <c r="B29" s="354"/>
      <c r="C29" s="355"/>
      <c r="D29" s="355"/>
      <c r="E29" s="356"/>
      <c r="F29" s="357"/>
      <c r="G29" s="363"/>
      <c r="H29" s="356"/>
      <c r="I29" s="356"/>
      <c r="J29" s="356"/>
      <c r="K29" s="1004"/>
      <c r="L29" s="1023" t="s">
        <v>923</v>
      </c>
      <c r="M29" s="996"/>
      <c r="N29" s="996"/>
      <c r="O29" s="996"/>
      <c r="P29" s="1025">
        <f>8223-8223</f>
        <v>0</v>
      </c>
      <c r="Q29" s="1066"/>
      <c r="R29" s="1063"/>
      <c r="S29" s="1064"/>
      <c r="T29" s="1064"/>
      <c r="U29" s="1064"/>
      <c r="V29" s="498"/>
      <c r="W29" s="1062"/>
      <c r="X29" s="339"/>
      <c r="Y29" s="340"/>
      <c r="Z29" s="330"/>
      <c r="AA29" s="341"/>
      <c r="AB29" s="342"/>
      <c r="AC29" s="343"/>
    </row>
    <row r="30" spans="1:223" s="236" customFormat="1" ht="15.75" customHeight="1">
      <c r="A30" s="353"/>
      <c r="B30" s="354"/>
      <c r="C30" s="355"/>
      <c r="D30" s="355"/>
      <c r="E30" s="356"/>
      <c r="F30" s="357"/>
      <c r="G30" s="363"/>
      <c r="H30" s="364"/>
      <c r="I30" s="364"/>
      <c r="J30" s="356"/>
      <c r="K30" s="1004"/>
      <c r="L30" s="1023"/>
      <c r="M30" s="996"/>
      <c r="N30" s="996"/>
      <c r="O30" s="996"/>
      <c r="P30" s="1025"/>
      <c r="Q30" s="1066"/>
      <c r="R30" s="504"/>
      <c r="S30" s="232"/>
      <c r="T30" s="232"/>
      <c r="U30" s="232"/>
      <c r="V30" s="239"/>
      <c r="W30" s="1062"/>
      <c r="X30" s="339"/>
      <c r="Y30" s="340"/>
      <c r="Z30" s="330"/>
      <c r="AA30" s="341"/>
      <c r="AB30" s="342"/>
      <c r="AC30" s="343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2"/>
      <c r="FR30" s="232"/>
      <c r="FS30" s="232"/>
      <c r="FT30" s="232"/>
      <c r="FU30" s="232"/>
      <c r="FV30" s="232"/>
      <c r="FW30" s="232"/>
      <c r="FX30" s="232"/>
      <c r="FY30" s="232"/>
      <c r="FZ30" s="232"/>
      <c r="GA30" s="232"/>
      <c r="GB30" s="232"/>
      <c r="GC30" s="232"/>
      <c r="GD30" s="232"/>
      <c r="GE30" s="232"/>
      <c r="GF30" s="232"/>
      <c r="GG30" s="232"/>
      <c r="GH30" s="232"/>
      <c r="GI30" s="232"/>
      <c r="GJ30" s="232"/>
      <c r="GK30" s="232"/>
      <c r="GL30" s="232"/>
      <c r="GM30" s="232"/>
      <c r="GN30" s="232"/>
      <c r="GO30" s="232"/>
      <c r="GP30" s="232"/>
      <c r="GQ30" s="232"/>
      <c r="GR30" s="232"/>
      <c r="GS30" s="232"/>
      <c r="GT30" s="232"/>
      <c r="GU30" s="232"/>
      <c r="GV30" s="232"/>
      <c r="GW30" s="232"/>
      <c r="GX30" s="232"/>
      <c r="GY30" s="232"/>
      <c r="GZ30" s="232"/>
      <c r="HA30" s="232"/>
      <c r="HB30" s="232"/>
      <c r="HC30" s="232"/>
      <c r="HD30" s="232"/>
      <c r="HE30" s="232"/>
      <c r="HF30" s="232"/>
      <c r="HG30" s="232"/>
      <c r="HH30" s="232"/>
      <c r="HI30" s="232"/>
      <c r="HJ30" s="232"/>
      <c r="HK30" s="232"/>
      <c r="HL30" s="232"/>
      <c r="HM30" s="232"/>
      <c r="HN30" s="232"/>
      <c r="HO30" s="232"/>
    </row>
    <row r="31" spans="1:29" s="232" customFormat="1" ht="15.75" customHeight="1">
      <c r="A31" s="353"/>
      <c r="B31" s="354"/>
      <c r="C31" s="355"/>
      <c r="D31" s="355"/>
      <c r="E31" s="356"/>
      <c r="F31" s="357"/>
      <c r="G31" s="363"/>
      <c r="H31" s="364"/>
      <c r="I31" s="364"/>
      <c r="J31" s="356"/>
      <c r="K31" s="1004"/>
      <c r="L31" s="1023" t="s">
        <v>1136</v>
      </c>
      <c r="M31" s="996"/>
      <c r="N31" s="996"/>
      <c r="O31" s="996"/>
      <c r="P31" s="505">
        <v>2609</v>
      </c>
      <c r="Q31" s="1066"/>
      <c r="R31" s="504"/>
      <c r="V31" s="239"/>
      <c r="W31" s="1062"/>
      <c r="X31" s="339"/>
      <c r="Y31" s="340"/>
      <c r="Z31" s="330"/>
      <c r="AA31" s="341"/>
      <c r="AB31" s="342"/>
      <c r="AC31" s="343"/>
    </row>
    <row r="32" spans="1:29" s="232" customFormat="1" ht="15.75" customHeight="1">
      <c r="A32" s="353"/>
      <c r="B32" s="354"/>
      <c r="C32" s="355"/>
      <c r="D32" s="355"/>
      <c r="E32" s="356"/>
      <c r="F32" s="357"/>
      <c r="G32" s="363"/>
      <c r="H32" s="364"/>
      <c r="I32" s="364"/>
      <c r="J32" s="356"/>
      <c r="K32" s="1004"/>
      <c r="L32" s="1008" t="s">
        <v>1132</v>
      </c>
      <c r="M32" s="1009"/>
      <c r="N32" s="1009"/>
      <c r="O32" s="1009"/>
      <c r="P32" s="505">
        <v>2199</v>
      </c>
      <c r="Q32" s="1066"/>
      <c r="R32" s="504"/>
      <c r="V32" s="239"/>
      <c r="W32" s="1062"/>
      <c r="X32" s="339"/>
      <c r="Y32" s="340"/>
      <c r="Z32" s="330"/>
      <c r="AA32" s="341"/>
      <c r="AB32" s="342"/>
      <c r="AC32" s="343"/>
    </row>
    <row r="33" spans="1:223" s="237" customFormat="1" ht="24.75" customHeight="1" thickBot="1">
      <c r="A33" s="353"/>
      <c r="B33" s="354"/>
      <c r="C33" s="355"/>
      <c r="D33" s="355"/>
      <c r="E33" s="356"/>
      <c r="F33" s="357"/>
      <c r="G33" s="363"/>
      <c r="H33" s="364"/>
      <c r="I33" s="364"/>
      <c r="J33" s="356"/>
      <c r="K33" s="1004"/>
      <c r="L33" s="1075" t="s">
        <v>925</v>
      </c>
      <c r="M33" s="1076"/>
      <c r="N33" s="1076"/>
      <c r="O33" s="1076"/>
      <c r="P33" s="356">
        <v>3517</v>
      </c>
      <c r="Q33" s="1004"/>
      <c r="R33" s="501"/>
      <c r="S33" s="495"/>
      <c r="T33" s="495"/>
      <c r="U33" s="495"/>
      <c r="V33" s="860"/>
      <c r="W33" s="1062"/>
      <c r="X33" s="339"/>
      <c r="Y33" s="340"/>
      <c r="Z33" s="330"/>
      <c r="AA33" s="341"/>
      <c r="AB33" s="342"/>
      <c r="AC33" s="343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232"/>
      <c r="FG33" s="232"/>
      <c r="FH33" s="232"/>
      <c r="FI33" s="232"/>
      <c r="FJ33" s="232"/>
      <c r="FK33" s="232"/>
      <c r="FL33" s="232"/>
      <c r="FM33" s="232"/>
      <c r="FN33" s="232"/>
      <c r="FO33" s="232"/>
      <c r="FP33" s="232"/>
      <c r="FQ33" s="232"/>
      <c r="FR33" s="232"/>
      <c r="FS33" s="232"/>
      <c r="FT33" s="232"/>
      <c r="FU33" s="232"/>
      <c r="FV33" s="232"/>
      <c r="FW33" s="232"/>
      <c r="FX33" s="232"/>
      <c r="FY33" s="232"/>
      <c r="FZ33" s="232"/>
      <c r="GA33" s="232"/>
      <c r="GB33" s="232"/>
      <c r="GC33" s="232"/>
      <c r="GD33" s="232"/>
      <c r="GE33" s="232"/>
      <c r="GF33" s="232"/>
      <c r="GG33" s="232"/>
      <c r="GH33" s="232"/>
      <c r="GI33" s="232"/>
      <c r="GJ33" s="232"/>
      <c r="GK33" s="232"/>
      <c r="GL33" s="232"/>
      <c r="GM33" s="232"/>
      <c r="GN33" s="232"/>
      <c r="GO33" s="232"/>
      <c r="GP33" s="232"/>
      <c r="GQ33" s="232"/>
      <c r="GR33" s="232"/>
      <c r="GS33" s="232"/>
      <c r="GT33" s="232"/>
      <c r="GU33" s="232"/>
      <c r="GV33" s="232"/>
      <c r="GW33" s="232"/>
      <c r="GX33" s="232"/>
      <c r="GY33" s="232"/>
      <c r="GZ33" s="232"/>
      <c r="HA33" s="232"/>
      <c r="HB33" s="232"/>
      <c r="HC33" s="232"/>
      <c r="HD33" s="232"/>
      <c r="HE33" s="232"/>
      <c r="HF33" s="232"/>
      <c r="HG33" s="232"/>
      <c r="HH33" s="232"/>
      <c r="HI33" s="232"/>
      <c r="HJ33" s="232"/>
      <c r="HK33" s="232"/>
      <c r="HL33" s="232"/>
      <c r="HM33" s="232"/>
      <c r="HN33" s="232"/>
      <c r="HO33" s="232"/>
    </row>
    <row r="34" spans="1:29" ht="19.5" customHeight="1" thickBot="1" thickTop="1">
      <c r="A34" s="365"/>
      <c r="B34" s="1077" t="s">
        <v>205</v>
      </c>
      <c r="C34" s="1078"/>
      <c r="D34" s="366">
        <v>37794</v>
      </c>
      <c r="E34" s="367">
        <v>161</v>
      </c>
      <c r="F34" s="368">
        <f>SUM(D34:E34)</f>
        <v>37955</v>
      </c>
      <c r="G34" s="1071"/>
      <c r="H34" s="1072"/>
      <c r="I34" s="1072"/>
      <c r="J34" s="500"/>
      <c r="K34" s="369"/>
      <c r="L34" s="1060" t="s">
        <v>764</v>
      </c>
      <c r="M34" s="1061"/>
      <c r="N34" s="1061"/>
      <c r="O34" s="1061"/>
      <c r="P34" s="370">
        <v>29532</v>
      </c>
      <c r="Q34" s="369">
        <f>SUM(P34)</f>
        <v>29532</v>
      </c>
      <c r="R34" s="1060"/>
      <c r="S34" s="1061"/>
      <c r="T34" s="1061"/>
      <c r="U34" s="1061"/>
      <c r="V34" s="371"/>
      <c r="W34" s="372"/>
      <c r="X34" s="373">
        <f>SUM(W34,Q34,K34)</f>
        <v>29532</v>
      </c>
      <c r="Y34" s="374">
        <v>0</v>
      </c>
      <c r="Z34" s="375">
        <f>SUM(X34:Y34)</f>
        <v>29532</v>
      </c>
      <c r="AA34" s="373">
        <f>X34-D34</f>
        <v>-8262</v>
      </c>
      <c r="AB34" s="374">
        <f>Y34-E34</f>
        <v>-161</v>
      </c>
      <c r="AC34" s="376">
        <f>SUM(AA34:AB34)</f>
        <v>-8423</v>
      </c>
    </row>
    <row r="35" spans="1:29" ht="18" customHeight="1" thickTop="1">
      <c r="A35" s="377"/>
      <c r="B35" s="356"/>
      <c r="C35" s="378"/>
      <c r="D35" s="379"/>
      <c r="E35" s="379"/>
      <c r="F35" s="357"/>
      <c r="G35" s="496"/>
      <c r="H35" s="495"/>
      <c r="I35" s="495"/>
      <c r="J35" s="553"/>
      <c r="K35" s="1073"/>
      <c r="L35" s="1008" t="s">
        <v>225</v>
      </c>
      <c r="M35" s="1009"/>
      <c r="N35" s="1009"/>
      <c r="O35" s="1009"/>
      <c r="P35" s="322">
        <v>12456</v>
      </c>
      <c r="Q35" s="1073">
        <f>SUM(P35:P39)</f>
        <v>22113</v>
      </c>
      <c r="R35" s="1023" t="s">
        <v>862</v>
      </c>
      <c r="S35" s="996"/>
      <c r="T35" s="996"/>
      <c r="U35" s="996"/>
      <c r="V35" s="359">
        <f>7937+84</f>
        <v>8021</v>
      </c>
      <c r="W35" s="1065">
        <f>SUM(V35:V39)</f>
        <v>8687</v>
      </c>
      <c r="X35" s="381"/>
      <c r="Y35" s="382"/>
      <c r="Z35" s="511"/>
      <c r="AA35" s="381"/>
      <c r="AB35" s="382"/>
      <c r="AC35" s="383"/>
    </row>
    <row r="36" spans="1:29" ht="16.5" customHeight="1">
      <c r="A36" s="377"/>
      <c r="B36" s="356"/>
      <c r="C36" s="378"/>
      <c r="D36" s="379"/>
      <c r="E36" s="356"/>
      <c r="F36" s="357"/>
      <c r="G36" s="496"/>
      <c r="H36" s="495"/>
      <c r="I36" s="495"/>
      <c r="J36" s="553"/>
      <c r="K36" s="1004"/>
      <c r="L36" s="1008" t="s">
        <v>1049</v>
      </c>
      <c r="M36" s="1009"/>
      <c r="N36" s="1009"/>
      <c r="O36" s="1009"/>
      <c r="P36" s="322">
        <v>1</v>
      </c>
      <c r="Q36" s="1004"/>
      <c r="R36" s="1023" t="s">
        <v>1050</v>
      </c>
      <c r="S36" s="996"/>
      <c r="T36" s="996"/>
      <c r="U36" s="996"/>
      <c r="V36" s="359">
        <v>102</v>
      </c>
      <c r="W36" s="1066"/>
      <c r="X36" s="821"/>
      <c r="Y36" s="379"/>
      <c r="Z36" s="356"/>
      <c r="AA36" s="363"/>
      <c r="AB36" s="379"/>
      <c r="AC36" s="357"/>
    </row>
    <row r="37" spans="1:29" ht="16.5" customHeight="1">
      <c r="A37" s="377"/>
      <c r="B37" s="356"/>
      <c r="C37" s="378"/>
      <c r="D37" s="379"/>
      <c r="E37" s="356"/>
      <c r="F37" s="357"/>
      <c r="G37" s="496"/>
      <c r="H37" s="495"/>
      <c r="I37" s="495"/>
      <c r="J37" s="553"/>
      <c r="K37" s="1004"/>
      <c r="L37" s="1008" t="s">
        <v>1048</v>
      </c>
      <c r="M37" s="1009"/>
      <c r="N37" s="1009"/>
      <c r="O37" s="1009"/>
      <c r="P37" s="359">
        <v>230</v>
      </c>
      <c r="Q37" s="1004"/>
      <c r="R37" s="1023" t="s">
        <v>1051</v>
      </c>
      <c r="S37" s="996"/>
      <c r="T37" s="996"/>
      <c r="U37" s="996"/>
      <c r="V37" s="359">
        <v>115</v>
      </c>
      <c r="W37" s="1066"/>
      <c r="X37" s="821"/>
      <c r="Y37" s="379"/>
      <c r="Z37" s="356"/>
      <c r="AA37" s="363"/>
      <c r="AB37" s="379"/>
      <c r="AC37" s="357"/>
    </row>
    <row r="38" spans="1:29" ht="16.5" customHeight="1">
      <c r="A38" s="377"/>
      <c r="B38" s="356"/>
      <c r="C38" s="378"/>
      <c r="D38" s="379"/>
      <c r="E38" s="356"/>
      <c r="F38" s="357"/>
      <c r="G38" s="496"/>
      <c r="H38" s="495"/>
      <c r="I38" s="495"/>
      <c r="J38" s="553"/>
      <c r="K38" s="1004"/>
      <c r="L38" s="1008" t="s">
        <v>493</v>
      </c>
      <c r="M38" s="1009"/>
      <c r="N38" s="1009"/>
      <c r="O38" s="1009"/>
      <c r="P38" s="322">
        <f>2932+1428+1095+3971</f>
        <v>9426</v>
      </c>
      <c r="Q38" s="1004"/>
      <c r="R38" s="1008" t="s">
        <v>1056</v>
      </c>
      <c r="S38" s="1009"/>
      <c r="T38" s="1009"/>
      <c r="U38" s="1009"/>
      <c r="V38" s="359">
        <f>330+15</f>
        <v>345</v>
      </c>
      <c r="W38" s="1066"/>
      <c r="X38" s="821"/>
      <c r="Y38" s="379"/>
      <c r="Z38" s="356"/>
      <c r="AA38" s="363"/>
      <c r="AB38" s="379"/>
      <c r="AC38" s="357"/>
    </row>
    <row r="39" spans="1:29" ht="15" customHeight="1" thickBot="1">
      <c r="A39" s="377"/>
      <c r="B39" s="356"/>
      <c r="C39" s="378"/>
      <c r="D39" s="379"/>
      <c r="E39" s="356"/>
      <c r="F39" s="357"/>
      <c r="G39" s="347"/>
      <c r="H39" s="321"/>
      <c r="I39" s="321"/>
      <c r="J39" s="380"/>
      <c r="K39" s="1074"/>
      <c r="L39" s="1008"/>
      <c r="M39" s="1009"/>
      <c r="N39" s="1009"/>
      <c r="O39" s="1009"/>
      <c r="P39" s="322"/>
      <c r="Q39" s="1074"/>
      <c r="R39" s="1068" t="s">
        <v>1137</v>
      </c>
      <c r="S39" s="1069"/>
      <c r="T39" s="1069"/>
      <c r="U39" s="1069"/>
      <c r="V39" s="822">
        <v>104</v>
      </c>
      <c r="W39" s="1067"/>
      <c r="X39" s="384">
        <f>SUM(W35,Q35,K35)</f>
        <v>30800</v>
      </c>
      <c r="Y39" s="350">
        <f>SUM(Q40,W40,K40)</f>
        <v>486115</v>
      </c>
      <c r="Z39" s="351">
        <f>SUM(X39:Y39)</f>
        <v>516915</v>
      </c>
      <c r="AA39" s="349">
        <f>X39-D40</f>
        <v>-35573</v>
      </c>
      <c r="AB39" s="350">
        <f>Y39-E40</f>
        <v>109474</v>
      </c>
      <c r="AC39" s="352">
        <f>SUM(AA39:AB39)</f>
        <v>73901</v>
      </c>
    </row>
    <row r="40" spans="1:29" ht="18" customHeight="1">
      <c r="A40" s="1081" t="s">
        <v>694</v>
      </c>
      <c r="B40" s="1079"/>
      <c r="C40" s="1080"/>
      <c r="D40" s="386">
        <v>66373</v>
      </c>
      <c r="E40" s="337">
        <v>376641</v>
      </c>
      <c r="F40" s="338">
        <f>SUM(D40:E40)</f>
        <v>443014</v>
      </c>
      <c r="G40" s="1055" t="s">
        <v>1139</v>
      </c>
      <c r="H40" s="1056"/>
      <c r="I40" s="1056"/>
      <c r="J40" s="1130">
        <v>978</v>
      </c>
      <c r="K40" s="1003">
        <f>SUM(J40:J43)</f>
        <v>978</v>
      </c>
      <c r="L40" s="1012" t="s">
        <v>1075</v>
      </c>
      <c r="M40" s="1013"/>
      <c r="N40" s="1013"/>
      <c r="O40" s="1013"/>
      <c r="P40" s="361">
        <f>65850</f>
        <v>65850</v>
      </c>
      <c r="Q40" s="1003">
        <f>SUM(P40:P43)</f>
        <v>485137</v>
      </c>
      <c r="R40" s="830"/>
      <c r="S40" s="831"/>
      <c r="T40" s="831"/>
      <c r="U40" s="831"/>
      <c r="V40" s="359"/>
      <c r="W40" s="1003"/>
      <c r="X40" s="387"/>
      <c r="Y40" s="385"/>
      <c r="Z40" s="351"/>
      <c r="AA40" s="349"/>
      <c r="AB40" s="350"/>
      <c r="AC40" s="343"/>
    </row>
    <row r="41" spans="1:29" ht="27" customHeight="1">
      <c r="A41" s="491"/>
      <c r="B41" s="334"/>
      <c r="C41" s="335"/>
      <c r="D41" s="386"/>
      <c r="E41" s="337"/>
      <c r="F41" s="338"/>
      <c r="G41" s="995"/>
      <c r="H41" s="996"/>
      <c r="I41" s="996"/>
      <c r="J41" s="1131"/>
      <c r="K41" s="1004"/>
      <c r="L41" s="1023" t="s">
        <v>1076</v>
      </c>
      <c r="M41" s="996"/>
      <c r="N41" s="996"/>
      <c r="O41" s="996"/>
      <c r="P41" s="380">
        <v>373150</v>
      </c>
      <c r="Q41" s="1004"/>
      <c r="R41" s="578"/>
      <c r="S41" s="578"/>
      <c r="T41" s="578"/>
      <c r="U41" s="578"/>
      <c r="V41" s="358"/>
      <c r="W41" s="1004"/>
      <c r="X41" s="387"/>
      <c r="Y41" s="385"/>
      <c r="Z41" s="351"/>
      <c r="AA41" s="349"/>
      <c r="AB41" s="350"/>
      <c r="AC41" s="343"/>
    </row>
    <row r="42" spans="1:29" ht="27" customHeight="1">
      <c r="A42" s="491"/>
      <c r="B42" s="334"/>
      <c r="C42" s="335"/>
      <c r="D42" s="386"/>
      <c r="E42" s="337"/>
      <c r="F42" s="338"/>
      <c r="G42" s="496"/>
      <c r="H42" s="495"/>
      <c r="I42" s="495"/>
      <c r="J42" s="499"/>
      <c r="K42" s="1004"/>
      <c r="L42" s="1023" t="s">
        <v>228</v>
      </c>
      <c r="M42" s="996"/>
      <c r="N42" s="996"/>
      <c r="O42" s="996"/>
      <c r="P42" s="380">
        <f>11195</f>
        <v>11195</v>
      </c>
      <c r="Q42" s="1004"/>
      <c r="R42" s="578"/>
      <c r="S42" s="578"/>
      <c r="T42" s="578"/>
      <c r="U42" s="578"/>
      <c r="V42" s="358"/>
      <c r="W42" s="1004"/>
      <c r="X42" s="387"/>
      <c r="Y42" s="385"/>
      <c r="Z42" s="351"/>
      <c r="AA42" s="349"/>
      <c r="AB42" s="350"/>
      <c r="AC42" s="343"/>
    </row>
    <row r="43" spans="1:29" ht="16.5" customHeight="1" thickBot="1">
      <c r="A43" s="388"/>
      <c r="B43" s="389"/>
      <c r="C43" s="390"/>
      <c r="D43" s="391"/>
      <c r="E43" s="392"/>
      <c r="F43" s="393"/>
      <c r="G43" s="524"/>
      <c r="H43" s="523"/>
      <c r="I43" s="523"/>
      <c r="J43" s="502"/>
      <c r="K43" s="1074"/>
      <c r="L43" s="1008" t="s">
        <v>860</v>
      </c>
      <c r="M43" s="1009"/>
      <c r="N43" s="1009"/>
      <c r="O43" s="1009"/>
      <c r="P43" s="380">
        <f>14291+9540+6751+4360</f>
        <v>34942</v>
      </c>
      <c r="Q43" s="1005"/>
      <c r="R43" s="356"/>
      <c r="S43" s="356"/>
      <c r="T43" s="356"/>
      <c r="U43" s="356"/>
      <c r="V43" s="356"/>
      <c r="W43" s="1005"/>
      <c r="X43" s="387"/>
      <c r="Y43" s="385"/>
      <c r="Z43" s="330"/>
      <c r="AA43" s="341"/>
      <c r="AB43" s="342"/>
      <c r="AC43" s="394"/>
    </row>
    <row r="44" spans="1:29" ht="25.5" customHeight="1" thickBot="1">
      <c r="A44" s="1082" t="s">
        <v>206</v>
      </c>
      <c r="B44" s="1083"/>
      <c r="C44" s="1084"/>
      <c r="D44" s="395">
        <f>SUM(D8:D43)</f>
        <v>951774</v>
      </c>
      <c r="E44" s="396">
        <f>SUM(E7:E43)</f>
        <v>1271527</v>
      </c>
      <c r="F44" s="397">
        <f>SUM(F7:F43)</f>
        <v>2223301</v>
      </c>
      <c r="G44" s="398"/>
      <c r="H44" s="1085" t="s">
        <v>207</v>
      </c>
      <c r="I44" s="1086"/>
      <c r="J44" s="1087"/>
      <c r="K44" s="400">
        <f>SUM(K7:K43)</f>
        <v>234477</v>
      </c>
      <c r="L44" s="401"/>
      <c r="M44" s="1006" t="s">
        <v>208</v>
      </c>
      <c r="N44" s="1006"/>
      <c r="O44" s="1006"/>
      <c r="P44" s="1007"/>
      <c r="Q44" s="400">
        <f>SUM(Q7:Q43)</f>
        <v>1464742</v>
      </c>
      <c r="R44" s="401"/>
      <c r="S44" s="1006" t="s">
        <v>209</v>
      </c>
      <c r="T44" s="1006"/>
      <c r="U44" s="1006"/>
      <c r="V44" s="1007"/>
      <c r="W44" s="402">
        <f>SUM(W7:W43)</f>
        <v>546763</v>
      </c>
      <c r="X44" s="403">
        <f>SUM(X7:X43)</f>
        <v>853055</v>
      </c>
      <c r="Y44" s="404">
        <f>SUM(Y7:Y43)</f>
        <v>1392927</v>
      </c>
      <c r="Z44" s="405">
        <f>SUM(X44:Y44)</f>
        <v>2245982</v>
      </c>
      <c r="AA44" s="406">
        <f>SUM(AA10:AA43)</f>
        <v>-98719</v>
      </c>
      <c r="AB44" s="407">
        <f>SUM(AB9:AB43)</f>
        <v>121400</v>
      </c>
      <c r="AC44" s="510">
        <f>SUM(AA44:AB44)</f>
        <v>22681</v>
      </c>
    </row>
    <row r="45" spans="1:29" ht="27.75" customHeight="1" thickBot="1" thickTop="1">
      <c r="A45" s="1039" t="s">
        <v>1093</v>
      </c>
      <c r="B45" s="998"/>
      <c r="C45" s="1089"/>
      <c r="D45" s="1045" t="s">
        <v>552</v>
      </c>
      <c r="E45" s="1046"/>
      <c r="F45" s="1047"/>
      <c r="G45" s="1048" t="s">
        <v>746</v>
      </c>
      <c r="H45" s="998"/>
      <c r="I45" s="998"/>
      <c r="J45" s="998"/>
      <c r="K45" s="999"/>
      <c r="L45" s="997" t="s">
        <v>747</v>
      </c>
      <c r="M45" s="998"/>
      <c r="N45" s="998"/>
      <c r="O45" s="998"/>
      <c r="P45" s="998"/>
      <c r="Q45" s="999"/>
      <c r="R45" s="997" t="s">
        <v>748</v>
      </c>
      <c r="S45" s="998"/>
      <c r="T45" s="998"/>
      <c r="U45" s="998"/>
      <c r="V45" s="998"/>
      <c r="W45" s="1057"/>
      <c r="X45" s="1059" t="s">
        <v>749</v>
      </c>
      <c r="Y45" s="1035"/>
      <c r="Z45" s="1035"/>
      <c r="AA45" s="1036" t="s">
        <v>200</v>
      </c>
      <c r="AB45" s="1037"/>
      <c r="AC45" s="1038"/>
    </row>
    <row r="46" spans="1:223" s="238" customFormat="1" ht="18.75" customHeight="1" thickBot="1" thickTop="1">
      <c r="A46" s="1090"/>
      <c r="B46" s="1001"/>
      <c r="C46" s="1091"/>
      <c r="D46" s="305" t="s">
        <v>201</v>
      </c>
      <c r="E46" s="306" t="s">
        <v>190</v>
      </c>
      <c r="F46" s="307" t="s">
        <v>202</v>
      </c>
      <c r="G46" s="1090"/>
      <c r="H46" s="1001"/>
      <c r="I46" s="1001"/>
      <c r="J46" s="1092"/>
      <c r="K46" s="1002"/>
      <c r="L46" s="1000"/>
      <c r="M46" s="1001"/>
      <c r="N46" s="1001"/>
      <c r="O46" s="1001"/>
      <c r="P46" s="1001"/>
      <c r="Q46" s="1002"/>
      <c r="R46" s="1000"/>
      <c r="S46" s="1001"/>
      <c r="T46" s="1001"/>
      <c r="U46" s="1001"/>
      <c r="V46" s="1001"/>
      <c r="W46" s="1058"/>
      <c r="X46" s="842" t="s">
        <v>201</v>
      </c>
      <c r="Y46" s="841" t="s">
        <v>190</v>
      </c>
      <c r="Z46" s="846" t="s">
        <v>202</v>
      </c>
      <c r="AA46" s="847" t="s">
        <v>201</v>
      </c>
      <c r="AB46" s="844" t="s">
        <v>190</v>
      </c>
      <c r="AC46" s="313" t="s">
        <v>202</v>
      </c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232"/>
      <c r="FG46" s="232"/>
      <c r="FH46" s="232"/>
      <c r="FI46" s="232"/>
      <c r="FJ46" s="232"/>
      <c r="FK46" s="232"/>
      <c r="FL46" s="232"/>
      <c r="FM46" s="232"/>
      <c r="FN46" s="232"/>
      <c r="FO46" s="232"/>
      <c r="FP46" s="232"/>
      <c r="FQ46" s="232"/>
      <c r="FR46" s="232"/>
      <c r="FS46" s="232"/>
      <c r="FT46" s="232"/>
      <c r="FU46" s="232"/>
      <c r="FV46" s="232"/>
      <c r="FW46" s="232"/>
      <c r="FX46" s="232"/>
      <c r="FY46" s="232"/>
      <c r="FZ46" s="232"/>
      <c r="GA46" s="232"/>
      <c r="GB46" s="232"/>
      <c r="GC46" s="232"/>
      <c r="GD46" s="232"/>
      <c r="GE46" s="232"/>
      <c r="GF46" s="232"/>
      <c r="GG46" s="232"/>
      <c r="GH46" s="232"/>
      <c r="GI46" s="232"/>
      <c r="GJ46" s="232"/>
      <c r="GK46" s="232"/>
      <c r="GL46" s="232"/>
      <c r="GM46" s="232"/>
      <c r="GN46" s="232"/>
      <c r="GO46" s="232"/>
      <c r="GP46" s="232"/>
      <c r="GQ46" s="232"/>
      <c r="GR46" s="232"/>
      <c r="GS46" s="232"/>
      <c r="GT46" s="232"/>
      <c r="GU46" s="232"/>
      <c r="GV46" s="232"/>
      <c r="GW46" s="232"/>
      <c r="GX46" s="232"/>
      <c r="GY46" s="232"/>
      <c r="GZ46" s="232"/>
      <c r="HA46" s="232"/>
      <c r="HB46" s="232"/>
      <c r="HC46" s="232"/>
      <c r="HD46" s="232"/>
      <c r="HE46" s="232"/>
      <c r="HF46" s="232"/>
      <c r="HG46" s="232"/>
      <c r="HH46" s="232"/>
      <c r="HI46" s="232"/>
      <c r="HJ46" s="232"/>
      <c r="HK46" s="232"/>
      <c r="HL46" s="232"/>
      <c r="HM46" s="232"/>
      <c r="HN46" s="232"/>
      <c r="HO46" s="232"/>
    </row>
    <row r="47" spans="1:29" ht="12.75" customHeight="1">
      <c r="A47" s="314"/>
      <c r="B47" s="356"/>
      <c r="C47" s="356"/>
      <c r="D47" s="379"/>
      <c r="E47" s="356"/>
      <c r="F47" s="318"/>
      <c r="G47" s="1070" t="s">
        <v>666</v>
      </c>
      <c r="H47" s="1013"/>
      <c r="I47" s="1013"/>
      <c r="J47" s="361">
        <v>123156</v>
      </c>
      <c r="K47" s="1088">
        <f>SUM(J47:J54)</f>
        <v>169124</v>
      </c>
      <c r="L47" s="1093" t="s">
        <v>227</v>
      </c>
      <c r="M47" s="1056"/>
      <c r="N47" s="1056"/>
      <c r="O47" s="1056"/>
      <c r="P47" s="1024">
        <v>12000</v>
      </c>
      <c r="Q47" s="1003">
        <f>SUM(P47:P54)</f>
        <v>12276</v>
      </c>
      <c r="R47" s="1023" t="s">
        <v>766</v>
      </c>
      <c r="S47" s="996"/>
      <c r="T47" s="996"/>
      <c r="U47" s="996"/>
      <c r="V47" s="322">
        <v>50</v>
      </c>
      <c r="W47" s="1021">
        <f>SUM(V47:V54)</f>
        <v>12664</v>
      </c>
      <c r="X47" s="408"/>
      <c r="Y47" s="409"/>
      <c r="Z47" s="410"/>
      <c r="AA47" s="314"/>
      <c r="AB47" s="331"/>
      <c r="AC47" s="332"/>
    </row>
    <row r="48" spans="1:29" ht="12.75" customHeight="1">
      <c r="A48" s="363"/>
      <c r="B48" s="354"/>
      <c r="C48" s="354"/>
      <c r="D48" s="411"/>
      <c r="E48" s="356"/>
      <c r="F48" s="357"/>
      <c r="G48" s="1028" t="s">
        <v>765</v>
      </c>
      <c r="H48" s="1009"/>
      <c r="I48" s="1009"/>
      <c r="J48" s="322">
        <f>21869+1721</f>
        <v>23590</v>
      </c>
      <c r="K48" s="1004"/>
      <c r="L48" s="1023"/>
      <c r="M48" s="996"/>
      <c r="N48" s="996"/>
      <c r="O48" s="996"/>
      <c r="P48" s="1025"/>
      <c r="Q48" s="1004"/>
      <c r="R48" s="1008" t="s">
        <v>767</v>
      </c>
      <c r="S48" s="1009"/>
      <c r="T48" s="1009"/>
      <c r="U48" s="1009"/>
      <c r="V48" s="322">
        <v>50</v>
      </c>
      <c r="W48" s="1022"/>
      <c r="X48" s="412"/>
      <c r="Y48" s="340"/>
      <c r="Z48" s="330"/>
      <c r="AA48" s="341"/>
      <c r="AB48" s="342"/>
      <c r="AC48" s="343"/>
    </row>
    <row r="49" spans="1:29" ht="12.75" customHeight="1">
      <c r="A49" s="363"/>
      <c r="B49" s="1079" t="s">
        <v>693</v>
      </c>
      <c r="C49" s="1080"/>
      <c r="D49" s="386">
        <v>183550</v>
      </c>
      <c r="E49" s="337">
        <v>615</v>
      </c>
      <c r="F49" s="338">
        <f>SUM(D49:E49)</f>
        <v>184165</v>
      </c>
      <c r="G49" s="321" t="s">
        <v>768</v>
      </c>
      <c r="H49" s="321"/>
      <c r="I49" s="321"/>
      <c r="J49" s="322">
        <v>13202</v>
      </c>
      <c r="K49" s="1004"/>
      <c r="L49" s="1023" t="s">
        <v>226</v>
      </c>
      <c r="M49" s="996"/>
      <c r="N49" s="996"/>
      <c r="O49" s="996"/>
      <c r="P49" s="1025">
        <v>276</v>
      </c>
      <c r="Q49" s="1004"/>
      <c r="R49" s="1008" t="s">
        <v>769</v>
      </c>
      <c r="S49" s="1009"/>
      <c r="T49" s="1009"/>
      <c r="U49" s="1009"/>
      <c r="V49" s="505">
        <v>120</v>
      </c>
      <c r="W49" s="1022"/>
      <c r="X49" s="412">
        <f>SUM(W47,Q47,K47)</f>
        <v>194064</v>
      </c>
      <c r="Y49" s="340">
        <v>0</v>
      </c>
      <c r="Z49" s="351">
        <f>SUM(Y49,X49)</f>
        <v>194064</v>
      </c>
      <c r="AA49" s="349">
        <f>X49-D49</f>
        <v>10514</v>
      </c>
      <c r="AB49" s="350">
        <f>Y49-E49</f>
        <v>-615</v>
      </c>
      <c r="AC49" s="343">
        <f>SUM(AA49:AB49)</f>
        <v>9899</v>
      </c>
    </row>
    <row r="50" spans="1:29" ht="20.25" customHeight="1">
      <c r="A50" s="363"/>
      <c r="B50" s="354"/>
      <c r="C50" s="354"/>
      <c r="D50" s="413"/>
      <c r="E50" s="414"/>
      <c r="F50" s="415"/>
      <c r="G50" s="321" t="s">
        <v>771</v>
      </c>
      <c r="H50" s="321"/>
      <c r="I50" s="321"/>
      <c r="J50" s="322">
        <v>350</v>
      </c>
      <c r="K50" s="1004"/>
      <c r="L50" s="1023"/>
      <c r="M50" s="996"/>
      <c r="N50" s="996"/>
      <c r="O50" s="996"/>
      <c r="P50" s="1025"/>
      <c r="Q50" s="1004"/>
      <c r="R50" s="1008" t="s">
        <v>770</v>
      </c>
      <c r="S50" s="1009"/>
      <c r="T50" s="1009"/>
      <c r="U50" s="1009"/>
      <c r="V50" s="322">
        <v>7599</v>
      </c>
      <c r="W50" s="1022"/>
      <c r="X50" s="412"/>
      <c r="Y50" s="340"/>
      <c r="Z50" s="330"/>
      <c r="AA50" s="341"/>
      <c r="AB50" s="342"/>
      <c r="AC50" s="343"/>
    </row>
    <row r="51" spans="1:29" ht="14.25" customHeight="1">
      <c r="A51" s="363"/>
      <c r="B51" s="354"/>
      <c r="C51" s="354"/>
      <c r="D51" s="413"/>
      <c r="E51" s="414"/>
      <c r="F51" s="415"/>
      <c r="G51" s="1009" t="s">
        <v>852</v>
      </c>
      <c r="H51" s="1009"/>
      <c r="I51" s="1009"/>
      <c r="J51" s="322">
        <v>7077</v>
      </c>
      <c r="K51" s="1004"/>
      <c r="L51" s="320"/>
      <c r="M51" s="321"/>
      <c r="N51" s="321"/>
      <c r="O51" s="321"/>
      <c r="P51" s="322"/>
      <c r="Q51" s="1004"/>
      <c r="R51" s="1008" t="s">
        <v>229</v>
      </c>
      <c r="S51" s="1009"/>
      <c r="T51" s="1009"/>
      <c r="U51" s="1009"/>
      <c r="V51" s="322">
        <v>1596</v>
      </c>
      <c r="W51" s="1022"/>
      <c r="X51" s="412"/>
      <c r="Y51" s="340"/>
      <c r="Z51" s="330"/>
      <c r="AA51" s="341"/>
      <c r="AB51" s="342"/>
      <c r="AC51" s="343"/>
    </row>
    <row r="52" spans="1:29" ht="12.75" customHeight="1">
      <c r="A52" s="363"/>
      <c r="B52" s="354"/>
      <c r="C52" s="354"/>
      <c r="D52" s="413"/>
      <c r="E52" s="414"/>
      <c r="F52" s="415"/>
      <c r="G52" s="995" t="s">
        <v>959</v>
      </c>
      <c r="H52" s="996"/>
      <c r="I52" s="996"/>
      <c r="J52" s="322">
        <v>171</v>
      </c>
      <c r="K52" s="1004"/>
      <c r="L52" s="320"/>
      <c r="M52" s="321" t="s">
        <v>204</v>
      </c>
      <c r="N52" s="321"/>
      <c r="O52" s="321"/>
      <c r="P52" s="322"/>
      <c r="Q52" s="1004"/>
      <c r="R52" s="1008" t="s">
        <v>772</v>
      </c>
      <c r="S52" s="1009"/>
      <c r="T52" s="1009"/>
      <c r="U52" s="1009"/>
      <c r="V52" s="358">
        <v>15</v>
      </c>
      <c r="W52" s="1022"/>
      <c r="X52" s="412"/>
      <c r="Y52" s="340"/>
      <c r="Z52" s="330"/>
      <c r="AA52" s="341"/>
      <c r="AB52" s="342"/>
      <c r="AC52" s="343"/>
    </row>
    <row r="53" spans="1:29" ht="12.75" customHeight="1">
      <c r="A53" s="363"/>
      <c r="B53" s="354"/>
      <c r="C53" s="354"/>
      <c r="D53" s="413"/>
      <c r="E53" s="414"/>
      <c r="F53" s="415"/>
      <c r="G53" s="995" t="s">
        <v>960</v>
      </c>
      <c r="H53" s="996"/>
      <c r="I53" s="996"/>
      <c r="J53" s="322">
        <v>1578</v>
      </c>
      <c r="K53" s="1004"/>
      <c r="L53" s="320"/>
      <c r="M53" s="321"/>
      <c r="N53" s="321"/>
      <c r="O53" s="321"/>
      <c r="P53" s="322"/>
      <c r="Q53" s="1004"/>
      <c r="R53" s="1023" t="s">
        <v>956</v>
      </c>
      <c r="S53" s="996"/>
      <c r="T53" s="996"/>
      <c r="U53" s="996"/>
      <c r="V53" s="322">
        <v>3234</v>
      </c>
      <c r="W53" s="1022"/>
      <c r="X53" s="322"/>
      <c r="Y53" s="342"/>
      <c r="Z53" s="330"/>
      <c r="AA53" s="341"/>
      <c r="AB53" s="342"/>
      <c r="AC53" s="343"/>
    </row>
    <row r="54" spans="1:29" ht="13.5" customHeight="1" thickBot="1">
      <c r="A54" s="363"/>
      <c r="B54" s="354"/>
      <c r="C54" s="354"/>
      <c r="D54" s="413"/>
      <c r="E54" s="414"/>
      <c r="F54" s="415"/>
      <c r="K54" s="1004"/>
      <c r="L54" s="320"/>
      <c r="M54" s="321"/>
      <c r="N54" s="321"/>
      <c r="O54" s="321"/>
      <c r="P54" s="322"/>
      <c r="Q54" s="1004"/>
      <c r="R54" s="1063"/>
      <c r="S54" s="1064"/>
      <c r="T54" s="1064"/>
      <c r="U54" s="1064"/>
      <c r="V54" s="497"/>
      <c r="W54" s="1022"/>
      <c r="X54" s="341"/>
      <c r="Y54" s="342"/>
      <c r="Z54" s="330"/>
      <c r="AA54" s="341"/>
      <c r="AB54" s="342"/>
      <c r="AC54" s="343"/>
    </row>
    <row r="55" spans="1:29" ht="16.5" thickBot="1">
      <c r="A55" s="416"/>
      <c r="B55" s="1124" t="s">
        <v>763</v>
      </c>
      <c r="C55" s="1125"/>
      <c r="D55" s="417">
        <v>15</v>
      </c>
      <c r="E55" s="418">
        <v>0</v>
      </c>
      <c r="F55" s="419">
        <f>SUM(D55:E55)</f>
        <v>15</v>
      </c>
      <c r="G55" s="1126" t="s">
        <v>773</v>
      </c>
      <c r="H55" s="1126"/>
      <c r="I55" s="1126"/>
      <c r="J55" s="420">
        <v>15</v>
      </c>
      <c r="K55" s="421">
        <f>SUM(J55)</f>
        <v>15</v>
      </c>
      <c r="L55" s="422"/>
      <c r="M55" s="423"/>
      <c r="N55" s="423"/>
      <c r="O55" s="423"/>
      <c r="P55" s="424"/>
      <c r="Q55" s="421"/>
      <c r="R55" s="423"/>
      <c r="S55" s="423"/>
      <c r="T55" s="423"/>
      <c r="U55" s="423"/>
      <c r="V55" s="425"/>
      <c r="W55" s="426">
        <v>0</v>
      </c>
      <c r="X55" s="832">
        <f>SUM(W55,Q55,K55)</f>
        <v>15</v>
      </c>
      <c r="Y55" s="833">
        <v>0</v>
      </c>
      <c r="Z55" s="834">
        <f>SUM(X55:Y55)</f>
        <v>15</v>
      </c>
      <c r="AA55" s="427">
        <f>X55-D55</f>
        <v>0</v>
      </c>
      <c r="AB55" s="428">
        <v>0</v>
      </c>
      <c r="AC55" s="429">
        <v>0</v>
      </c>
    </row>
    <row r="56" spans="1:29" ht="15.75">
      <c r="A56" s="363"/>
      <c r="B56" s="334"/>
      <c r="C56" s="334"/>
      <c r="D56" s="386"/>
      <c r="E56" s="337"/>
      <c r="F56" s="415"/>
      <c r="G56" s="321"/>
      <c r="H56" s="321"/>
      <c r="I56" s="321"/>
      <c r="J56" s="430"/>
      <c r="K56" s="431"/>
      <c r="L56" s="377"/>
      <c r="M56" s="356"/>
      <c r="N56" s="356"/>
      <c r="O56" s="356"/>
      <c r="P56" s="432"/>
      <c r="Q56" s="431"/>
      <c r="R56" s="356"/>
      <c r="S56" s="356"/>
      <c r="T56" s="356"/>
      <c r="U56" s="356"/>
      <c r="V56" s="356"/>
      <c r="W56" s="433"/>
      <c r="X56" s="434"/>
      <c r="Y56" s="385"/>
      <c r="Z56" s="330"/>
      <c r="AA56" s="341"/>
      <c r="AB56" s="342"/>
      <c r="AC56" s="343"/>
    </row>
    <row r="57" spans="1:29" ht="16.5" thickBot="1">
      <c r="A57" s="1082" t="s">
        <v>210</v>
      </c>
      <c r="B57" s="1083"/>
      <c r="C57" s="1084"/>
      <c r="D57" s="395">
        <f>SUM(D47:D56)</f>
        <v>183565</v>
      </c>
      <c r="E57" s="396">
        <f>SUM(E47:E56)</f>
        <v>615</v>
      </c>
      <c r="F57" s="397">
        <f>SUM(F47:F56)</f>
        <v>184180</v>
      </c>
      <c r="G57" s="435"/>
      <c r="H57" s="1085" t="s">
        <v>207</v>
      </c>
      <c r="I57" s="1086"/>
      <c r="J57" s="1087"/>
      <c r="K57" s="400">
        <f>SUM(K47:K55)</f>
        <v>169139</v>
      </c>
      <c r="L57" s="399"/>
      <c r="M57" s="1014" t="s">
        <v>208</v>
      </c>
      <c r="N57" s="1014"/>
      <c r="O57" s="1014"/>
      <c r="P57" s="1015"/>
      <c r="Q57" s="400">
        <f>SUM(Q47:Q55)</f>
        <v>12276</v>
      </c>
      <c r="R57" s="398"/>
      <c r="S57" s="1014" t="s">
        <v>209</v>
      </c>
      <c r="T57" s="1014"/>
      <c r="U57" s="1014"/>
      <c r="V57" s="1015"/>
      <c r="W57" s="436">
        <f>SUM(W47:W55)</f>
        <v>12664</v>
      </c>
      <c r="X57" s="437">
        <f>SUM(X47:X55)</f>
        <v>194079</v>
      </c>
      <c r="Y57" s="438">
        <v>0</v>
      </c>
      <c r="Z57" s="439">
        <f>SUM(X57:Y57)</f>
        <v>194079</v>
      </c>
      <c r="AA57" s="440">
        <f>X57-D57</f>
        <v>10514</v>
      </c>
      <c r="AB57" s="441">
        <f>Y57-E57</f>
        <v>-615</v>
      </c>
      <c r="AC57" s="442">
        <f>SUM(AA57:AB57)</f>
        <v>9899</v>
      </c>
    </row>
    <row r="58" spans="1:29" ht="17.25" thickBot="1" thickTop="1">
      <c r="A58" s="443"/>
      <c r="B58" s="444"/>
      <c r="C58" s="444"/>
      <c r="D58" s="445"/>
      <c r="E58" s="446"/>
      <c r="F58" s="447"/>
      <c r="G58" s="446"/>
      <c r="H58" s="446"/>
      <c r="I58" s="448"/>
      <c r="J58" s="448"/>
      <c r="K58" s="449"/>
      <c r="L58" s="450"/>
      <c r="M58" s="446"/>
      <c r="N58" s="446"/>
      <c r="O58" s="446"/>
      <c r="P58" s="446"/>
      <c r="Q58" s="449"/>
      <c r="R58" s="446"/>
      <c r="S58" s="446"/>
      <c r="T58" s="446"/>
      <c r="U58" s="446"/>
      <c r="V58" s="446"/>
      <c r="W58" s="451"/>
      <c r="X58" s="452"/>
      <c r="Y58" s="453"/>
      <c r="Z58" s="454"/>
      <c r="AA58" s="443"/>
      <c r="AB58" s="455"/>
      <c r="AC58" s="456"/>
    </row>
    <row r="59" spans="1:29" ht="14.25" thickBot="1" thickTop="1">
      <c r="A59" s="1039" t="s">
        <v>779</v>
      </c>
      <c r="B59" s="1040"/>
      <c r="C59" s="1040"/>
      <c r="D59" s="1045" t="s">
        <v>552</v>
      </c>
      <c r="E59" s="1046"/>
      <c r="F59" s="1047"/>
      <c r="G59" s="1048" t="s">
        <v>746</v>
      </c>
      <c r="H59" s="1098"/>
      <c r="I59" s="1098"/>
      <c r="J59" s="1098"/>
      <c r="K59" s="1099"/>
      <c r="L59" s="997" t="s">
        <v>747</v>
      </c>
      <c r="M59" s="1016"/>
      <c r="N59" s="1016"/>
      <c r="O59" s="1016"/>
      <c r="P59" s="1016"/>
      <c r="Q59" s="1043"/>
      <c r="R59" s="997" t="s">
        <v>748</v>
      </c>
      <c r="S59" s="1016"/>
      <c r="T59" s="1016"/>
      <c r="U59" s="1016"/>
      <c r="V59" s="1016"/>
      <c r="W59" s="1017"/>
      <c r="X59" s="1059" t="s">
        <v>749</v>
      </c>
      <c r="Y59" s="1035"/>
      <c r="Z59" s="1035"/>
      <c r="AA59" s="1036" t="s">
        <v>200</v>
      </c>
      <c r="AB59" s="1037"/>
      <c r="AC59" s="1038"/>
    </row>
    <row r="60" spans="1:29" ht="19.5" customHeight="1" thickBot="1">
      <c r="A60" s="1041"/>
      <c r="B60" s="1042"/>
      <c r="C60" s="1042"/>
      <c r="D60" s="305" t="s">
        <v>201</v>
      </c>
      <c r="E60" s="306" t="s">
        <v>190</v>
      </c>
      <c r="F60" s="307" t="s">
        <v>202</v>
      </c>
      <c r="G60" s="1100"/>
      <c r="H60" s="1101"/>
      <c r="I60" s="1101"/>
      <c r="J60" s="1101"/>
      <c r="K60" s="1102"/>
      <c r="L60" s="1018"/>
      <c r="M60" s="1019"/>
      <c r="N60" s="1019"/>
      <c r="O60" s="1019"/>
      <c r="P60" s="1019"/>
      <c r="Q60" s="1044"/>
      <c r="R60" s="1018"/>
      <c r="S60" s="1019"/>
      <c r="T60" s="1019"/>
      <c r="U60" s="1019"/>
      <c r="V60" s="1019"/>
      <c r="W60" s="1020"/>
      <c r="X60" s="842" t="s">
        <v>201</v>
      </c>
      <c r="Y60" s="843" t="s">
        <v>190</v>
      </c>
      <c r="Z60" s="310" t="s">
        <v>202</v>
      </c>
      <c r="AA60" s="845" t="s">
        <v>201</v>
      </c>
      <c r="AB60" s="844" t="s">
        <v>190</v>
      </c>
      <c r="AC60" s="313" t="s">
        <v>202</v>
      </c>
    </row>
    <row r="61" spans="1:29" ht="15.75" customHeight="1">
      <c r="A61" s="363"/>
      <c r="B61" s="356"/>
      <c r="C61" s="356"/>
      <c r="D61" s="379"/>
      <c r="E61" s="457"/>
      <c r="F61" s="357"/>
      <c r="G61" s="1028" t="s">
        <v>679</v>
      </c>
      <c r="H61" s="1009"/>
      <c r="I61" s="1009"/>
      <c r="J61" s="380">
        <v>15143</v>
      </c>
      <c r="K61" s="1003">
        <f>SUM(J61:J67)</f>
        <v>151644</v>
      </c>
      <c r="L61" s="377"/>
      <c r="M61" s="356"/>
      <c r="N61" s="356"/>
      <c r="O61" s="356"/>
      <c r="P61" s="356"/>
      <c r="Q61" s="1003"/>
      <c r="R61" s="457"/>
      <c r="S61" s="457"/>
      <c r="T61" s="457"/>
      <c r="U61" s="457"/>
      <c r="V61" s="457"/>
      <c r="W61" s="1095">
        <f>SUM(V62:V67)</f>
        <v>19050</v>
      </c>
      <c r="X61" s="356"/>
      <c r="Y61" s="379"/>
      <c r="Z61" s="458"/>
      <c r="AA61" s="363"/>
      <c r="AB61" s="379"/>
      <c r="AC61" s="332"/>
    </row>
    <row r="62" spans="1:29" ht="25.5" customHeight="1">
      <c r="A62" s="363"/>
      <c r="B62" s="356"/>
      <c r="C62" s="356"/>
      <c r="D62" s="379"/>
      <c r="E62" s="457"/>
      <c r="F62" s="357"/>
      <c r="G62" s="996" t="s">
        <v>224</v>
      </c>
      <c r="H62" s="996"/>
      <c r="I62" s="996"/>
      <c r="J62" s="380">
        <v>7408</v>
      </c>
      <c r="K62" s="1004"/>
      <c r="L62" s="837"/>
      <c r="M62" s="838"/>
      <c r="N62" s="838"/>
      <c r="O62" s="838"/>
      <c r="P62" s="494"/>
      <c r="Q62" s="1004"/>
      <c r="R62" s="1023" t="s">
        <v>774</v>
      </c>
      <c r="S62" s="1094"/>
      <c r="T62" s="1094"/>
      <c r="U62" s="1094"/>
      <c r="V62" s="506">
        <f>8722-712</f>
        <v>8010</v>
      </c>
      <c r="W62" s="1096"/>
      <c r="X62" s="322"/>
      <c r="Y62" s="342"/>
      <c r="Z62" s="330"/>
      <c r="AA62" s="341"/>
      <c r="AB62" s="342"/>
      <c r="AC62" s="343"/>
    </row>
    <row r="63" spans="1:29" ht="28.5" customHeight="1">
      <c r="A63" s="1121" t="s">
        <v>693</v>
      </c>
      <c r="B63" s="1122"/>
      <c r="C63" s="1123"/>
      <c r="D63" s="386">
        <v>202070</v>
      </c>
      <c r="E63" s="337">
        <v>1204</v>
      </c>
      <c r="F63" s="338">
        <f>SUM(D63:E63)</f>
        <v>203274</v>
      </c>
      <c r="G63" s="995" t="s">
        <v>674</v>
      </c>
      <c r="H63" s="996"/>
      <c r="I63" s="996"/>
      <c r="J63" s="380">
        <f>110979-277</f>
        <v>110702</v>
      </c>
      <c r="K63" s="1004"/>
      <c r="L63" s="377"/>
      <c r="M63" s="356"/>
      <c r="N63" s="356"/>
      <c r="O63" s="356"/>
      <c r="P63" s="356"/>
      <c r="Q63" s="1004"/>
      <c r="R63" s="1008" t="s">
        <v>775</v>
      </c>
      <c r="S63" s="1009"/>
      <c r="T63" s="1009"/>
      <c r="U63" s="1009"/>
      <c r="V63" s="506">
        <v>108</v>
      </c>
      <c r="W63" s="1096"/>
      <c r="X63" s="460">
        <f>SUM(W61+Q61+K61)</f>
        <v>170694</v>
      </c>
      <c r="Y63" s="350">
        <v>0</v>
      </c>
      <c r="Z63" s="351">
        <f>SUM(X63:Y63)</f>
        <v>170694</v>
      </c>
      <c r="AA63" s="461">
        <f>X63-D63</f>
        <v>-31376</v>
      </c>
      <c r="AB63" s="350">
        <f>Y63-E63</f>
        <v>-1204</v>
      </c>
      <c r="AC63" s="352">
        <f>SUM(AA63:AB63)</f>
        <v>-32580</v>
      </c>
    </row>
    <row r="64" spans="1:29" ht="14.25" customHeight="1">
      <c r="A64" s="333"/>
      <c r="B64" s="304"/>
      <c r="C64" s="235"/>
      <c r="D64" s="386"/>
      <c r="E64" s="337"/>
      <c r="F64" s="338"/>
      <c r="G64" s="996" t="s">
        <v>488</v>
      </c>
      <c r="H64" s="996"/>
      <c r="I64" s="996"/>
      <c r="J64" s="380">
        <v>12835</v>
      </c>
      <c r="K64" s="1004"/>
      <c r="L64" s="377"/>
      <c r="M64" s="356"/>
      <c r="N64" s="356"/>
      <c r="O64" s="356"/>
      <c r="P64" s="462"/>
      <c r="Q64" s="1004"/>
      <c r="R64" s="1008" t="s">
        <v>772</v>
      </c>
      <c r="S64" s="1009"/>
      <c r="T64" s="1009"/>
      <c r="U64" s="1009"/>
      <c r="V64" s="507">
        <v>25</v>
      </c>
      <c r="W64" s="1096"/>
      <c r="X64" s="412"/>
      <c r="Y64" s="340"/>
      <c r="Z64" s="351"/>
      <c r="AA64" s="349"/>
      <c r="AB64" s="350"/>
      <c r="AC64" s="343"/>
    </row>
    <row r="65" spans="1:29" ht="25.5" customHeight="1">
      <c r="A65" s="333"/>
      <c r="B65" s="304"/>
      <c r="C65" s="235"/>
      <c r="D65" s="386"/>
      <c r="E65" s="337"/>
      <c r="F65" s="338"/>
      <c r="G65" s="995" t="s">
        <v>851</v>
      </c>
      <c r="H65" s="996"/>
      <c r="I65" s="996"/>
      <c r="J65" s="634">
        <v>4102</v>
      </c>
      <c r="K65" s="1004"/>
      <c r="L65" s="377"/>
      <c r="M65" s="356"/>
      <c r="N65" s="356"/>
      <c r="O65" s="356"/>
      <c r="P65" s="462"/>
      <c r="Q65" s="1004"/>
      <c r="R65" s="1023" t="s">
        <v>1090</v>
      </c>
      <c r="S65" s="996"/>
      <c r="T65" s="996"/>
      <c r="U65" s="996"/>
      <c r="V65" s="506">
        <f>1281+9549</f>
        <v>10830</v>
      </c>
      <c r="W65" s="1096"/>
      <c r="X65" s="412"/>
      <c r="Y65" s="340"/>
      <c r="Z65" s="351"/>
      <c r="AA65" s="349"/>
      <c r="AB65" s="350"/>
      <c r="AC65" s="343"/>
    </row>
    <row r="66" spans="1:29" ht="16.5" customHeight="1">
      <c r="A66" s="333"/>
      <c r="B66" s="304"/>
      <c r="C66" s="235"/>
      <c r="D66" s="386"/>
      <c r="E66" s="337"/>
      <c r="F66" s="338"/>
      <c r="G66" s="995" t="s">
        <v>959</v>
      </c>
      <c r="H66" s="996"/>
      <c r="I66" s="996"/>
      <c r="J66" s="322">
        <v>123</v>
      </c>
      <c r="K66" s="1004"/>
      <c r="L66" s="377"/>
      <c r="M66" s="356"/>
      <c r="N66" s="356"/>
      <c r="O66" s="356"/>
      <c r="P66" s="462"/>
      <c r="Q66" s="1004"/>
      <c r="R66" s="1023" t="s">
        <v>962</v>
      </c>
      <c r="S66" s="996"/>
      <c r="T66" s="996"/>
      <c r="U66" s="996"/>
      <c r="V66" s="315">
        <v>77</v>
      </c>
      <c r="W66" s="1096"/>
      <c r="X66" s="412"/>
      <c r="Y66" s="340"/>
      <c r="Z66" s="351"/>
      <c r="AA66" s="349"/>
      <c r="AB66" s="350"/>
      <c r="AC66" s="343"/>
    </row>
    <row r="67" spans="1:29" ht="17.25" customHeight="1" thickBot="1">
      <c r="A67" s="333"/>
      <c r="B67" s="304"/>
      <c r="C67" s="235"/>
      <c r="D67" s="386"/>
      <c r="E67" s="337"/>
      <c r="F67" s="338"/>
      <c r="G67" s="995" t="s">
        <v>960</v>
      </c>
      <c r="H67" s="996"/>
      <c r="I67" s="996"/>
      <c r="J67" s="322">
        <v>1331</v>
      </c>
      <c r="K67" s="1074"/>
      <c r="L67" s="356"/>
      <c r="M67" s="356"/>
      <c r="N67" s="356"/>
      <c r="O67" s="356"/>
      <c r="P67" s="462"/>
      <c r="Q67" s="1074"/>
      <c r="R67" s="643"/>
      <c r="S67" s="644"/>
      <c r="T67" s="644"/>
      <c r="U67" s="644"/>
      <c r="V67" s="645"/>
      <c r="W67" s="1097"/>
      <c r="X67" s="412"/>
      <c r="Y67" s="340"/>
      <c r="Z67" s="351"/>
      <c r="AA67" s="349"/>
      <c r="AB67" s="350"/>
      <c r="AC67" s="343"/>
    </row>
    <row r="68" spans="1:29" ht="16.5" thickBot="1">
      <c r="A68" s="573"/>
      <c r="B68" s="574"/>
      <c r="C68" s="574"/>
      <c r="D68" s="575"/>
      <c r="E68" s="576"/>
      <c r="F68" s="577"/>
      <c r="G68" s="835"/>
      <c r="H68" s="836"/>
      <c r="I68" s="836"/>
      <c r="J68" s="635"/>
      <c r="K68" s="1003">
        <f>SUM(J68:J70)</f>
        <v>0</v>
      </c>
      <c r="L68" s="1070" t="s">
        <v>1140</v>
      </c>
      <c r="M68" s="1013"/>
      <c r="N68" s="1013"/>
      <c r="O68" s="1013"/>
      <c r="P68" s="635">
        <f>6245+280</f>
        <v>6525</v>
      </c>
      <c r="Q68" s="857">
        <f>SUM(P68)</f>
        <v>6525</v>
      </c>
      <c r="R68" s="457"/>
      <c r="S68" s="457"/>
      <c r="T68" s="457"/>
      <c r="U68" s="457"/>
      <c r="V68" s="457"/>
      <c r="W68" s="463"/>
      <c r="X68" s="567"/>
      <c r="Y68" s="568"/>
      <c r="Z68" s="569"/>
      <c r="AA68" s="570"/>
      <c r="AB68" s="571"/>
      <c r="AC68" s="572"/>
    </row>
    <row r="69" spans="1:29" ht="15.75">
      <c r="A69" s="1081" t="s">
        <v>694</v>
      </c>
      <c r="B69" s="1079"/>
      <c r="C69" s="1080"/>
      <c r="D69" s="386">
        <v>6505</v>
      </c>
      <c r="E69" s="337">
        <v>420</v>
      </c>
      <c r="F69" s="338">
        <f>SUM(D69:E69)</f>
        <v>6925</v>
      </c>
      <c r="G69" s="496"/>
      <c r="H69" s="495"/>
      <c r="I69" s="495"/>
      <c r="J69" s="552"/>
      <c r="K69" s="1004"/>
      <c r="L69" s="1070" t="s">
        <v>1141</v>
      </c>
      <c r="M69" s="1013"/>
      <c r="N69" s="1013"/>
      <c r="O69" s="1013"/>
      <c r="P69" s="635">
        <v>400</v>
      </c>
      <c r="Q69" s="857">
        <f>SUM(P69)</f>
        <v>400</v>
      </c>
      <c r="R69" s="839"/>
      <c r="S69" s="840"/>
      <c r="T69" s="840"/>
      <c r="U69" s="840"/>
      <c r="V69" s="503"/>
      <c r="W69" s="463"/>
      <c r="X69" s="412">
        <f>SUM(K69+Q68+W69)</f>
        <v>6525</v>
      </c>
      <c r="Y69" s="340">
        <f>SUM(Q69)</f>
        <v>400</v>
      </c>
      <c r="Z69" s="351">
        <f>SUM(X69:Y69)</f>
        <v>6925</v>
      </c>
      <c r="AA69" s="461">
        <f>X69-D69</f>
        <v>20</v>
      </c>
      <c r="AB69" s="350">
        <f>Y69-E69</f>
        <v>-20</v>
      </c>
      <c r="AC69" s="352">
        <f>SUM(AA69:AB69)</f>
        <v>0</v>
      </c>
    </row>
    <row r="70" spans="1:29" ht="16.5" thickBot="1">
      <c r="A70" s="333"/>
      <c r="B70" s="304"/>
      <c r="C70" s="235"/>
      <c r="D70" s="386"/>
      <c r="E70" s="337"/>
      <c r="F70" s="338"/>
      <c r="G70" s="496"/>
      <c r="H70" s="495"/>
      <c r="I70" s="495"/>
      <c r="J70" s="552"/>
      <c r="K70" s="1004"/>
      <c r="L70" s="377"/>
      <c r="M70" s="356"/>
      <c r="N70" s="356"/>
      <c r="O70" s="356"/>
      <c r="P70" s="356"/>
      <c r="Q70" s="858"/>
      <c r="R70" s="495"/>
      <c r="S70" s="495"/>
      <c r="T70" s="495"/>
      <c r="U70" s="495"/>
      <c r="V70" s="503"/>
      <c r="W70" s="463"/>
      <c r="X70" s="412"/>
      <c r="Y70" s="340"/>
      <c r="Z70" s="351"/>
      <c r="AA70" s="349"/>
      <c r="AB70" s="350"/>
      <c r="AC70" s="343"/>
    </row>
    <row r="71" spans="1:29" ht="47.25" customHeight="1" thickBot="1" thickTop="1">
      <c r="A71" s="1106" t="s">
        <v>211</v>
      </c>
      <c r="B71" s="1107"/>
      <c r="C71" s="1108"/>
      <c r="D71" s="492">
        <f>SUM(D62:D70)</f>
        <v>208575</v>
      </c>
      <c r="E71" s="493">
        <f>SUM(E62:E70)</f>
        <v>1624</v>
      </c>
      <c r="F71" s="827">
        <f>SUM(D71:E71)</f>
        <v>210199</v>
      </c>
      <c r="G71" s="829"/>
      <c r="H71" s="1109" t="s">
        <v>207</v>
      </c>
      <c r="I71" s="1110"/>
      <c r="J71" s="1111"/>
      <c r="K71" s="508">
        <f>SUM(K61:K70)</f>
        <v>151644</v>
      </c>
      <c r="L71" s="401"/>
      <c r="M71" s="1006" t="s">
        <v>208</v>
      </c>
      <c r="N71" s="1006"/>
      <c r="O71" s="1006"/>
      <c r="P71" s="1007"/>
      <c r="Q71" s="508">
        <f>SUM(Q61:Q70)</f>
        <v>6925</v>
      </c>
      <c r="R71" s="509"/>
      <c r="S71" s="1006" t="s">
        <v>209</v>
      </c>
      <c r="T71" s="1006"/>
      <c r="U71" s="1006"/>
      <c r="V71" s="1007"/>
      <c r="W71" s="823">
        <f>SUM(W61:W70)</f>
        <v>19050</v>
      </c>
      <c r="X71" s="464">
        <f>SUM(X60:X70)</f>
        <v>177219</v>
      </c>
      <c r="Y71" s="465">
        <f>SUM(Y60:Y70)</f>
        <v>400</v>
      </c>
      <c r="Z71" s="466">
        <f>SUM(X71:Y71)</f>
        <v>177619</v>
      </c>
      <c r="AA71" s="464">
        <f>X71-D71</f>
        <v>-31356</v>
      </c>
      <c r="AB71" s="467">
        <f>Y71-E71</f>
        <v>-1224</v>
      </c>
      <c r="AC71" s="466">
        <f>SUM(AA71:AB71)</f>
        <v>-32580</v>
      </c>
    </row>
    <row r="72" spans="1:29" ht="20.25" thickBot="1" thickTop="1">
      <c r="A72" s="1113" t="s">
        <v>555</v>
      </c>
      <c r="B72" s="1114"/>
      <c r="C72" s="1115"/>
      <c r="D72" s="468">
        <f>SUM(D71,D57,D44)</f>
        <v>1343914</v>
      </c>
      <c r="E72" s="469">
        <f>SUM(E71,E57,E44)</f>
        <v>1273766</v>
      </c>
      <c r="F72" s="828">
        <f>SUM(D72:E72)</f>
        <v>2617680</v>
      </c>
      <c r="G72" s="825"/>
      <c r="H72" s="1116" t="s">
        <v>212</v>
      </c>
      <c r="I72" s="1117"/>
      <c r="J72" s="1118"/>
      <c r="K72" s="470">
        <f>SUM(K71,K57,K44)</f>
        <v>555260</v>
      </c>
      <c r="L72" s="471"/>
      <c r="M72" s="1119" t="s">
        <v>213</v>
      </c>
      <c r="N72" s="1119"/>
      <c r="O72" s="1119"/>
      <c r="P72" s="1120"/>
      <c r="Q72" s="369">
        <f>SUM(Q71,Q57,Q44)</f>
        <v>1483943</v>
      </c>
      <c r="R72" s="472"/>
      <c r="S72" s="1119" t="s">
        <v>214</v>
      </c>
      <c r="T72" s="1119"/>
      <c r="U72" s="1119"/>
      <c r="V72" s="1120"/>
      <c r="W72" s="372">
        <f>SUM(W71,W57,W44)</f>
        <v>578477</v>
      </c>
      <c r="X72" s="564">
        <f>SUM(X71,X57,X44)</f>
        <v>1224353</v>
      </c>
      <c r="Y72" s="565">
        <f>SUM(Y71,Y57,Y44)</f>
        <v>1393327</v>
      </c>
      <c r="Z72" s="566">
        <f>SUM(W72+Q72+K72)</f>
        <v>2617680</v>
      </c>
      <c r="AA72" s="474">
        <f>SUM(AA71,AA57,AA44)</f>
        <v>-119561</v>
      </c>
      <c r="AB72" s="473">
        <f>SUM(AB71,AB57,AB44)</f>
        <v>119561</v>
      </c>
      <c r="AC72" s="475">
        <f>SUM(AC71,AC57,AC44)</f>
        <v>0</v>
      </c>
    </row>
    <row r="73" spans="1:29" ht="16.5" thickTop="1">
      <c r="A73" s="457"/>
      <c r="B73" s="457"/>
      <c r="C73" s="457"/>
      <c r="D73" s="457"/>
      <c r="E73" s="457"/>
      <c r="F73" s="457"/>
      <c r="G73" s="476"/>
      <c r="H73" s="476"/>
      <c r="I73" s="476"/>
      <c r="J73" s="477"/>
      <c r="K73" s="408"/>
      <c r="L73" s="478"/>
      <c r="M73" s="356"/>
      <c r="N73" s="356"/>
      <c r="O73" s="356"/>
      <c r="P73" s="356"/>
      <c r="Q73" s="356"/>
      <c r="R73" s="478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78"/>
    </row>
    <row r="74" spans="1:29" ht="15.75">
      <c r="A74" s="457"/>
      <c r="B74" s="457"/>
      <c r="C74" s="457"/>
      <c r="D74" s="1103" t="s">
        <v>691</v>
      </c>
      <c r="E74" s="1112"/>
      <c r="F74" s="1112"/>
      <c r="G74" s="321"/>
      <c r="H74" s="321"/>
      <c r="I74" s="321"/>
      <c r="J74" s="315"/>
      <c r="K74" s="408"/>
      <c r="L74" s="356"/>
      <c r="M74" s="356"/>
      <c r="N74" s="356"/>
      <c r="O74" s="356"/>
      <c r="P74" s="356"/>
      <c r="Q74" s="356"/>
      <c r="R74" s="356"/>
      <c r="S74" s="457"/>
      <c r="T74" s="457"/>
      <c r="U74" s="457"/>
      <c r="V74" s="457"/>
      <c r="W74" s="1103" t="s">
        <v>215</v>
      </c>
      <c r="X74" s="1104"/>
      <c r="Y74" s="1104"/>
      <c r="Z74" s="479"/>
      <c r="AA74" s="1103" t="s">
        <v>200</v>
      </c>
      <c r="AB74" s="1104"/>
      <c r="AC74" s="1104"/>
    </row>
    <row r="75" spans="1:29" ht="15.75">
      <c r="A75" s="457"/>
      <c r="B75" s="457"/>
      <c r="C75" s="457"/>
      <c r="D75" s="480" t="s">
        <v>201</v>
      </c>
      <c r="E75" s="480" t="s">
        <v>216</v>
      </c>
      <c r="F75" s="480" t="s">
        <v>202</v>
      </c>
      <c r="G75" s="321"/>
      <c r="H75" s="321"/>
      <c r="I75" s="321"/>
      <c r="J75" s="315"/>
      <c r="K75" s="408"/>
      <c r="L75" s="356"/>
      <c r="M75" s="356"/>
      <c r="N75" s="356"/>
      <c r="O75" s="356"/>
      <c r="P75" s="356"/>
      <c r="Q75" s="356"/>
      <c r="R75" s="356"/>
      <c r="S75" s="1105"/>
      <c r="T75" s="1105"/>
      <c r="U75" s="1105"/>
      <c r="V75" s="1105"/>
      <c r="W75" s="480" t="s">
        <v>201</v>
      </c>
      <c r="X75" s="480" t="s">
        <v>216</v>
      </c>
      <c r="Y75" s="480" t="s">
        <v>202</v>
      </c>
      <c r="Z75" s="481"/>
      <c r="AA75" s="480" t="s">
        <v>201</v>
      </c>
      <c r="AB75" s="480" t="s">
        <v>216</v>
      </c>
      <c r="AC75" s="480" t="s">
        <v>202</v>
      </c>
    </row>
    <row r="76" spans="1:29" ht="15.75">
      <c r="A76" s="457"/>
      <c r="B76" s="1129" t="s">
        <v>217</v>
      </c>
      <c r="C76" s="1129"/>
      <c r="D76" s="457"/>
      <c r="E76" s="457"/>
      <c r="F76" s="457"/>
      <c r="G76" s="321"/>
      <c r="H76" s="321"/>
      <c r="I76" s="321"/>
      <c r="J76" s="315"/>
      <c r="K76" s="408"/>
      <c r="L76" s="356"/>
      <c r="M76" s="356"/>
      <c r="N76" s="356"/>
      <c r="O76" s="356"/>
      <c r="P76" s="356"/>
      <c r="Q76" s="356"/>
      <c r="R76" s="356"/>
      <c r="S76" s="457"/>
      <c r="T76" s="482" t="s">
        <v>217</v>
      </c>
      <c r="U76" s="457"/>
      <c r="V76" s="1103"/>
      <c r="W76" s="1104"/>
      <c r="X76" s="457"/>
      <c r="Y76" s="457"/>
      <c r="Z76" s="457"/>
      <c r="AA76" s="457"/>
      <c r="AB76" s="457"/>
      <c r="AC76" s="356"/>
    </row>
    <row r="77" spans="1:29" ht="15.75">
      <c r="A77" s="457"/>
      <c r="B77" s="1128" t="s">
        <v>218</v>
      </c>
      <c r="C77" s="1128"/>
      <c r="D77" s="459">
        <f>SUM(D9)</f>
        <v>847607</v>
      </c>
      <c r="E77" s="459">
        <f>SUM(E9)</f>
        <v>894725</v>
      </c>
      <c r="F77" s="459">
        <f>SUM(D77:E77)</f>
        <v>1742332</v>
      </c>
      <c r="G77" s="321"/>
      <c r="H77" s="321"/>
      <c r="I77" s="321"/>
      <c r="J77" s="315"/>
      <c r="K77" s="408"/>
      <c r="L77" s="356"/>
      <c r="M77" s="356"/>
      <c r="N77" s="356"/>
      <c r="O77" s="356"/>
      <c r="P77" s="356"/>
      <c r="Q77" s="356"/>
      <c r="R77" s="356"/>
      <c r="S77" s="457"/>
      <c r="T77" s="483" t="s">
        <v>218</v>
      </c>
      <c r="U77" s="457"/>
      <c r="V77" s="483"/>
      <c r="W77" s="459">
        <f>SUM(X12)</f>
        <v>792723</v>
      </c>
      <c r="X77" s="459">
        <f>Y12</f>
        <v>906812</v>
      </c>
      <c r="Y77" s="459">
        <f>SUM(W77:X77)</f>
        <v>1699535</v>
      </c>
      <c r="Z77" s="432"/>
      <c r="AA77" s="459">
        <f aca="true" t="shared" si="0" ref="AA77:AB79">W77-D77</f>
        <v>-54884</v>
      </c>
      <c r="AB77" s="459">
        <f t="shared" si="0"/>
        <v>12087</v>
      </c>
      <c r="AC77" s="432">
        <f>SUM(AA77:AB77)</f>
        <v>-42797</v>
      </c>
    </row>
    <row r="78" spans="1:29" ht="15.75">
      <c r="A78" s="457"/>
      <c r="B78" s="1128" t="s">
        <v>565</v>
      </c>
      <c r="C78" s="1128"/>
      <c r="D78" s="459">
        <f>SUM(D49)</f>
        <v>183550</v>
      </c>
      <c r="E78" s="459">
        <f>SUM(E49)</f>
        <v>615</v>
      </c>
      <c r="F78" s="459">
        <f>SUM(D78:E78)</f>
        <v>184165</v>
      </c>
      <c r="G78" s="321"/>
      <c r="H78" s="321"/>
      <c r="I78" s="321"/>
      <c r="J78" s="484"/>
      <c r="K78" s="408"/>
      <c r="L78" s="356"/>
      <c r="M78" s="356"/>
      <c r="N78" s="356"/>
      <c r="O78" s="356"/>
      <c r="P78" s="356"/>
      <c r="Q78" s="356"/>
      <c r="R78" s="356"/>
      <c r="S78" s="457"/>
      <c r="T78" s="483" t="s">
        <v>565</v>
      </c>
      <c r="U78" s="457"/>
      <c r="V78" s="483"/>
      <c r="W78" s="459">
        <f>SUM(X49)</f>
        <v>194064</v>
      </c>
      <c r="X78" s="459">
        <f>Y49</f>
        <v>0</v>
      </c>
      <c r="Y78" s="459">
        <f>SUM(W78:X78)</f>
        <v>194064</v>
      </c>
      <c r="Z78" s="432"/>
      <c r="AA78" s="459">
        <f t="shared" si="0"/>
        <v>10514</v>
      </c>
      <c r="AB78" s="459">
        <f t="shared" si="0"/>
        <v>-615</v>
      </c>
      <c r="AC78" s="432">
        <f>SUM(AA78:AB78)</f>
        <v>9899</v>
      </c>
    </row>
    <row r="79" spans="1:29" ht="25.5" customHeight="1">
      <c r="A79" s="457"/>
      <c r="B79" s="1127" t="s">
        <v>779</v>
      </c>
      <c r="C79" s="1127"/>
      <c r="D79" s="485">
        <f>SUM(D63)</f>
        <v>202070</v>
      </c>
      <c r="E79" s="485">
        <f>SUM(E63)</f>
        <v>1204</v>
      </c>
      <c r="F79" s="485">
        <f>SUM(D79:E79)</f>
        <v>203274</v>
      </c>
      <c r="G79" s="457"/>
      <c r="H79" s="457"/>
      <c r="I79" s="457"/>
      <c r="J79" s="457"/>
      <c r="K79" s="356"/>
      <c r="L79" s="356"/>
      <c r="M79" s="356"/>
      <c r="N79" s="356"/>
      <c r="O79" s="356"/>
      <c r="P79" s="356"/>
      <c r="Q79" s="356"/>
      <c r="R79" s="356"/>
      <c r="S79" s="457"/>
      <c r="T79" s="1127" t="s">
        <v>779</v>
      </c>
      <c r="U79" s="1127"/>
      <c r="V79" s="1127"/>
      <c r="W79" s="485">
        <f>SUM(X63)</f>
        <v>170694</v>
      </c>
      <c r="X79" s="485">
        <f>Y63</f>
        <v>0</v>
      </c>
      <c r="Y79" s="485">
        <f>SUM(W79:X79)</f>
        <v>170694</v>
      </c>
      <c r="Z79" s="432"/>
      <c r="AA79" s="485">
        <f t="shared" si="0"/>
        <v>-31376</v>
      </c>
      <c r="AB79" s="485">
        <f t="shared" si="0"/>
        <v>-1204</v>
      </c>
      <c r="AC79" s="485">
        <f>SUM(AA79:AB79)</f>
        <v>-32580</v>
      </c>
    </row>
    <row r="80" spans="1:29" ht="12.75">
      <c r="A80" s="457"/>
      <c r="B80" s="457"/>
      <c r="C80" s="486" t="s">
        <v>554</v>
      </c>
      <c r="D80" s="459">
        <f>SUM(D77:D79)</f>
        <v>1233227</v>
      </c>
      <c r="E80" s="459">
        <f>SUM(E77:E79)</f>
        <v>896544</v>
      </c>
      <c r="F80" s="459">
        <f>SUM(F77:F79)</f>
        <v>2129771</v>
      </c>
      <c r="G80" s="457"/>
      <c r="H80" s="457"/>
      <c r="I80" s="457"/>
      <c r="J80" s="457"/>
      <c r="K80" s="356"/>
      <c r="L80" s="356"/>
      <c r="M80" s="356"/>
      <c r="N80" s="356"/>
      <c r="O80" s="356"/>
      <c r="P80" s="356"/>
      <c r="Q80" s="356"/>
      <c r="R80" s="356"/>
      <c r="S80" s="457"/>
      <c r="T80" s="486" t="s">
        <v>554</v>
      </c>
      <c r="U80" s="457"/>
      <c r="V80" s="486"/>
      <c r="W80" s="459">
        <f>SUM(W77:W79)</f>
        <v>1157481</v>
      </c>
      <c r="X80" s="459">
        <f>SUM(X77:X79)</f>
        <v>906812</v>
      </c>
      <c r="Y80" s="459">
        <f>SUM(Y77:Y79)</f>
        <v>2064293</v>
      </c>
      <c r="Z80" s="432"/>
      <c r="AA80" s="459">
        <f>SUM(AA77:AA79)</f>
        <v>-75746</v>
      </c>
      <c r="AB80" s="459">
        <f>SUM(AB77:AB79)</f>
        <v>10268</v>
      </c>
      <c r="AC80" s="459">
        <f>SUM(AC77:AC79)</f>
        <v>-65478</v>
      </c>
    </row>
    <row r="81" spans="1:29" ht="12.75">
      <c r="A81" s="457"/>
      <c r="B81" s="457"/>
      <c r="C81" s="457"/>
      <c r="D81" s="459"/>
      <c r="E81" s="459"/>
      <c r="F81" s="459"/>
      <c r="G81" s="457"/>
      <c r="H81" s="457"/>
      <c r="I81" s="457"/>
      <c r="J81" s="457"/>
      <c r="K81" s="457"/>
      <c r="L81" s="356"/>
      <c r="M81" s="356"/>
      <c r="N81" s="356"/>
      <c r="O81" s="356"/>
      <c r="P81" s="356"/>
      <c r="Q81" s="356"/>
      <c r="R81" s="356"/>
      <c r="S81" s="457"/>
      <c r="T81" s="457"/>
      <c r="U81" s="457"/>
      <c r="V81" s="457"/>
      <c r="W81" s="457"/>
      <c r="X81" s="457"/>
      <c r="Y81" s="457"/>
      <c r="Z81" s="457"/>
      <c r="AA81" s="457"/>
      <c r="AB81" s="457"/>
      <c r="AC81" s="356"/>
    </row>
    <row r="82" spans="1:29" ht="12.75">
      <c r="A82" s="457"/>
      <c r="B82" s="1129" t="s">
        <v>219</v>
      </c>
      <c r="C82" s="1129"/>
      <c r="D82" s="459"/>
      <c r="E82" s="459"/>
      <c r="F82" s="459"/>
      <c r="G82" s="457"/>
      <c r="H82" s="457"/>
      <c r="I82" s="457"/>
      <c r="J82" s="457"/>
      <c r="K82" s="457"/>
      <c r="L82" s="356"/>
      <c r="M82" s="356"/>
      <c r="N82" s="356"/>
      <c r="O82" s="356"/>
      <c r="P82" s="356"/>
      <c r="Q82" s="356"/>
      <c r="R82" s="356"/>
      <c r="S82" s="457"/>
      <c r="T82" s="482" t="s">
        <v>219</v>
      </c>
      <c r="U82" s="487"/>
      <c r="V82" s="482"/>
      <c r="W82" s="488"/>
      <c r="X82" s="488"/>
      <c r="Y82" s="457"/>
      <c r="Z82" s="457"/>
      <c r="AA82" s="457"/>
      <c r="AB82" s="457"/>
      <c r="AC82" s="356"/>
    </row>
    <row r="83" spans="1:29" ht="12.75">
      <c r="A83" s="457"/>
      <c r="B83" s="1128" t="s">
        <v>218</v>
      </c>
      <c r="C83" s="1128"/>
      <c r="D83" s="459">
        <f>SUM(D40)</f>
        <v>66373</v>
      </c>
      <c r="E83" s="459">
        <f>SUM(E40)</f>
        <v>376641</v>
      </c>
      <c r="F83" s="459">
        <f>SUM(D83:E83)</f>
        <v>443014</v>
      </c>
      <c r="G83" s="457"/>
      <c r="H83" s="457"/>
      <c r="I83" s="457"/>
      <c r="J83" s="457"/>
      <c r="K83" s="457"/>
      <c r="L83" s="356"/>
      <c r="M83" s="356"/>
      <c r="N83" s="356"/>
      <c r="O83" s="356"/>
      <c r="P83" s="356"/>
      <c r="Q83" s="356"/>
      <c r="R83" s="356"/>
      <c r="S83" s="457"/>
      <c r="T83" s="483" t="s">
        <v>218</v>
      </c>
      <c r="U83" s="457"/>
      <c r="V83" s="483"/>
      <c r="W83" s="459">
        <f>SUM(X39)</f>
        <v>30800</v>
      </c>
      <c r="X83" s="459">
        <f>Y39</f>
        <v>486115</v>
      </c>
      <c r="Y83" s="459">
        <f>SUM(W83:X83)</f>
        <v>516915</v>
      </c>
      <c r="Z83" s="432"/>
      <c r="AA83" s="459">
        <f aca="true" t="shared" si="1" ref="AA83:AB85">W83-D83</f>
        <v>-35573</v>
      </c>
      <c r="AB83" s="459">
        <f t="shared" si="1"/>
        <v>109474</v>
      </c>
      <c r="AC83" s="432">
        <f>SUM(AA83:AB83)</f>
        <v>73901</v>
      </c>
    </row>
    <row r="84" spans="1:29" ht="12.75">
      <c r="A84" s="457"/>
      <c r="B84" s="1128" t="s">
        <v>565</v>
      </c>
      <c r="C84" s="1128"/>
      <c r="D84" s="459">
        <v>0</v>
      </c>
      <c r="E84" s="459">
        <v>0</v>
      </c>
      <c r="F84" s="459">
        <f>SUM(D84:E84)</f>
        <v>0</v>
      </c>
      <c r="G84" s="457"/>
      <c r="H84" s="457"/>
      <c r="I84" s="457"/>
      <c r="J84" s="457"/>
      <c r="K84" s="457"/>
      <c r="L84" s="356"/>
      <c r="M84" s="356"/>
      <c r="N84" s="356"/>
      <c r="O84" s="356"/>
      <c r="P84" s="356"/>
      <c r="Q84" s="356"/>
      <c r="R84" s="356"/>
      <c r="S84" s="457"/>
      <c r="T84" s="483" t="s">
        <v>565</v>
      </c>
      <c r="U84" s="457"/>
      <c r="V84" s="483"/>
      <c r="W84" s="459">
        <v>0</v>
      </c>
      <c r="X84" s="459">
        <v>0</v>
      </c>
      <c r="Y84" s="459">
        <f>SUM(W84:X84)</f>
        <v>0</v>
      </c>
      <c r="Z84" s="432"/>
      <c r="AA84" s="459">
        <f t="shared" si="1"/>
        <v>0</v>
      </c>
      <c r="AB84" s="459">
        <f t="shared" si="1"/>
        <v>0</v>
      </c>
      <c r="AC84" s="432">
        <f>SUM(AA84:AB84)</f>
        <v>0</v>
      </c>
    </row>
    <row r="85" spans="1:29" ht="26.25" customHeight="1">
      <c r="A85" s="457"/>
      <c r="B85" s="1127" t="s">
        <v>779</v>
      </c>
      <c r="C85" s="1127"/>
      <c r="D85" s="485">
        <f>SUM(D69)</f>
        <v>6505</v>
      </c>
      <c r="E85" s="485">
        <f>SUM(E69)</f>
        <v>420</v>
      </c>
      <c r="F85" s="485">
        <f>SUM(D85:E85)</f>
        <v>6925</v>
      </c>
      <c r="G85" s="457"/>
      <c r="H85" s="457"/>
      <c r="I85" s="457"/>
      <c r="J85" s="457"/>
      <c r="K85" s="457"/>
      <c r="L85" s="356"/>
      <c r="M85" s="356"/>
      <c r="N85" s="356"/>
      <c r="O85" s="356"/>
      <c r="P85" s="356"/>
      <c r="Q85" s="356"/>
      <c r="R85" s="356"/>
      <c r="S85" s="457"/>
      <c r="T85" s="1127" t="s">
        <v>779</v>
      </c>
      <c r="U85" s="1127"/>
      <c r="V85" s="1127"/>
      <c r="W85" s="485">
        <f>SUM(X69)</f>
        <v>6525</v>
      </c>
      <c r="X85" s="485">
        <f>SUM(Y69)</f>
        <v>400</v>
      </c>
      <c r="Y85" s="485">
        <f>SUM(W85:X85)</f>
        <v>6925</v>
      </c>
      <c r="Z85" s="432"/>
      <c r="AA85" s="485">
        <f t="shared" si="1"/>
        <v>20</v>
      </c>
      <c r="AB85" s="485">
        <f t="shared" si="1"/>
        <v>-20</v>
      </c>
      <c r="AC85" s="485">
        <f>SUM(AA85:AB85)</f>
        <v>0</v>
      </c>
    </row>
    <row r="86" spans="1:29" ht="12.75">
      <c r="A86" s="457"/>
      <c r="B86" s="457"/>
      <c r="C86" s="486" t="s">
        <v>554</v>
      </c>
      <c r="D86" s="459">
        <f>SUM(D83:D85)</f>
        <v>72878</v>
      </c>
      <c r="E86" s="459">
        <f>SUM(E83:E85)</f>
        <v>377061</v>
      </c>
      <c r="F86" s="459">
        <f>SUM(F83:F85)</f>
        <v>449939</v>
      </c>
      <c r="G86" s="457"/>
      <c r="H86" s="457"/>
      <c r="I86" s="457"/>
      <c r="J86" s="457"/>
      <c r="K86" s="457"/>
      <c r="L86" s="356"/>
      <c r="M86" s="356"/>
      <c r="N86" s="356"/>
      <c r="O86" s="356"/>
      <c r="P86" s="356"/>
      <c r="Q86" s="356"/>
      <c r="R86" s="356"/>
      <c r="S86" s="457"/>
      <c r="T86" s="486" t="s">
        <v>554</v>
      </c>
      <c r="U86" s="457"/>
      <c r="V86" s="486"/>
      <c r="W86" s="459">
        <f>SUM(W83:W85)</f>
        <v>37325</v>
      </c>
      <c r="X86" s="459">
        <f>SUM(X83:X85)</f>
        <v>486515</v>
      </c>
      <c r="Y86" s="459">
        <f>SUM(Y83:Y85)</f>
        <v>523840</v>
      </c>
      <c r="Z86" s="432"/>
      <c r="AA86" s="459">
        <f>SUM(AA83:AA85)</f>
        <v>-35553</v>
      </c>
      <c r="AB86" s="459">
        <f>SUM(AB83:AB85)</f>
        <v>109454</v>
      </c>
      <c r="AC86" s="459">
        <f>SUM(AC83:AC85)</f>
        <v>73901</v>
      </c>
    </row>
    <row r="87" spans="1:29" ht="12.75">
      <c r="A87" s="457"/>
      <c r="B87" s="457"/>
      <c r="C87" s="457"/>
      <c r="D87" s="459"/>
      <c r="E87" s="459"/>
      <c r="F87" s="459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356"/>
      <c r="AA87" s="459"/>
      <c r="AB87" s="459"/>
      <c r="AC87" s="356"/>
    </row>
    <row r="88" spans="1:29" ht="12.75">
      <c r="A88" s="457"/>
      <c r="B88" s="1129" t="s">
        <v>220</v>
      </c>
      <c r="C88" s="1129"/>
      <c r="D88" s="459"/>
      <c r="E88" s="459"/>
      <c r="F88" s="459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82" t="s">
        <v>220</v>
      </c>
      <c r="U88" s="457"/>
      <c r="V88" s="482"/>
      <c r="W88" s="457"/>
      <c r="X88" s="457"/>
      <c r="Y88" s="457"/>
      <c r="Z88" s="356"/>
      <c r="AA88" s="459"/>
      <c r="AB88" s="459"/>
      <c r="AC88" s="356"/>
    </row>
    <row r="89" spans="1:29" ht="12.75">
      <c r="A89" s="457"/>
      <c r="B89" s="1128" t="s">
        <v>218</v>
      </c>
      <c r="C89" s="1128"/>
      <c r="D89" s="459">
        <f>SUM(D34)</f>
        <v>37794</v>
      </c>
      <c r="E89" s="459">
        <f>SUM(E34)</f>
        <v>161</v>
      </c>
      <c r="F89" s="459">
        <f>SUM(D89:E89)</f>
        <v>37955</v>
      </c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83" t="s">
        <v>218</v>
      </c>
      <c r="U89" s="457"/>
      <c r="V89" s="483"/>
      <c r="W89" s="459">
        <f>SUM(X34)</f>
        <v>29532</v>
      </c>
      <c r="X89" s="459">
        <v>0</v>
      </c>
      <c r="Y89" s="459">
        <f>SUM(W89:X89)</f>
        <v>29532</v>
      </c>
      <c r="Z89" s="432"/>
      <c r="AA89" s="459">
        <f aca="true" t="shared" si="2" ref="AA89:AB91">W89-D89</f>
        <v>-8262</v>
      </c>
      <c r="AB89" s="459">
        <f t="shared" si="2"/>
        <v>-161</v>
      </c>
      <c r="AC89" s="432">
        <f>SUM(AA89:AB89)</f>
        <v>-8423</v>
      </c>
    </row>
    <row r="90" spans="1:29" ht="12.75">
      <c r="A90" s="457"/>
      <c r="B90" s="1128" t="s">
        <v>565</v>
      </c>
      <c r="C90" s="1128"/>
      <c r="D90" s="459">
        <f>SUM(D55)</f>
        <v>15</v>
      </c>
      <c r="E90" s="459">
        <f>SUM(E55)</f>
        <v>0</v>
      </c>
      <c r="F90" s="459">
        <f>SUM(D90:E90)</f>
        <v>15</v>
      </c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83" t="s">
        <v>565</v>
      </c>
      <c r="U90" s="457"/>
      <c r="V90" s="483"/>
      <c r="W90" s="459">
        <f>SUM(X55)</f>
        <v>15</v>
      </c>
      <c r="X90" s="459">
        <v>0</v>
      </c>
      <c r="Y90" s="459">
        <f>SUM(W90:X90)</f>
        <v>15</v>
      </c>
      <c r="Z90" s="432"/>
      <c r="AA90" s="459">
        <f t="shared" si="2"/>
        <v>0</v>
      </c>
      <c r="AB90" s="459">
        <f t="shared" si="2"/>
        <v>0</v>
      </c>
      <c r="AC90" s="432">
        <f>SUM(AA90:AB90)</f>
        <v>0</v>
      </c>
    </row>
    <row r="91" spans="1:29" ht="25.5" customHeight="1">
      <c r="A91" s="457"/>
      <c r="B91" s="1127" t="s">
        <v>779</v>
      </c>
      <c r="C91" s="1127"/>
      <c r="D91" s="485">
        <v>0</v>
      </c>
      <c r="E91" s="485">
        <v>0</v>
      </c>
      <c r="F91" s="485">
        <f>SUM(D91:E91)</f>
        <v>0</v>
      </c>
      <c r="G91" s="457"/>
      <c r="H91" s="457"/>
      <c r="I91" s="457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1127" t="s">
        <v>779</v>
      </c>
      <c r="U91" s="1127"/>
      <c r="V91" s="1127"/>
      <c r="W91" s="485">
        <v>0</v>
      </c>
      <c r="X91" s="485">
        <v>0</v>
      </c>
      <c r="Y91" s="485">
        <f>SUM(W91:X91)</f>
        <v>0</v>
      </c>
      <c r="Z91" s="432"/>
      <c r="AA91" s="485">
        <f t="shared" si="2"/>
        <v>0</v>
      </c>
      <c r="AB91" s="485">
        <f t="shared" si="2"/>
        <v>0</v>
      </c>
      <c r="AC91" s="485">
        <f>SUM(AA91:AB91)</f>
        <v>0</v>
      </c>
    </row>
    <row r="92" spans="1:29" ht="12.75">
      <c r="A92" s="457"/>
      <c r="B92" s="457"/>
      <c r="C92" s="486" t="s">
        <v>554</v>
      </c>
      <c r="D92" s="459">
        <f>SUM(D89:D91)</f>
        <v>37809</v>
      </c>
      <c r="E92" s="459">
        <f>SUM(E89:E91)</f>
        <v>161</v>
      </c>
      <c r="F92" s="459">
        <f>SUM(F89:F91)</f>
        <v>37970</v>
      </c>
      <c r="G92" s="457"/>
      <c r="H92" s="457"/>
      <c r="I92" s="457"/>
      <c r="J92" s="457"/>
      <c r="K92" s="457"/>
      <c r="L92" s="457"/>
      <c r="M92" s="457"/>
      <c r="N92" s="457"/>
      <c r="O92" s="457"/>
      <c r="P92" s="457"/>
      <c r="Q92" s="457"/>
      <c r="R92" s="457"/>
      <c r="S92" s="457"/>
      <c r="T92" s="486" t="s">
        <v>554</v>
      </c>
      <c r="U92" s="457"/>
      <c r="V92" s="486"/>
      <c r="W92" s="459">
        <f>SUM(W89:W91)</f>
        <v>29547</v>
      </c>
      <c r="X92" s="459">
        <f>SUM(X89:X91)</f>
        <v>0</v>
      </c>
      <c r="Y92" s="459">
        <f>SUM(Y89:Y91)</f>
        <v>29547</v>
      </c>
      <c r="Z92" s="432"/>
      <c r="AA92" s="459">
        <f>SUM(AA89:AA91)</f>
        <v>-8262</v>
      </c>
      <c r="AB92" s="459">
        <f>SUM(AB89:AB91)</f>
        <v>-161</v>
      </c>
      <c r="AC92" s="459">
        <f>SUM(AC89:AC91)</f>
        <v>-8423</v>
      </c>
    </row>
    <row r="93" spans="1:29" ht="12.75">
      <c r="A93" s="457"/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356"/>
      <c r="AA93" s="459"/>
      <c r="AB93" s="459"/>
      <c r="AC93" s="356"/>
    </row>
    <row r="94" spans="1:29" ht="12.75">
      <c r="A94" s="489"/>
      <c r="B94" s="489"/>
      <c r="C94" s="489" t="s">
        <v>221</v>
      </c>
      <c r="D94" s="490">
        <f>SUM(D92,D86,D80)</f>
        <v>1343914</v>
      </c>
      <c r="E94" s="490">
        <f>SUM(E92,E86,E80)</f>
        <v>1273766</v>
      </c>
      <c r="F94" s="490">
        <f>SUM(F92,F86,F80)</f>
        <v>2617680</v>
      </c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 t="s">
        <v>221</v>
      </c>
      <c r="U94" s="489"/>
      <c r="V94" s="489"/>
      <c r="W94" s="490">
        <f>SUM(W92,W86,W80)</f>
        <v>1224353</v>
      </c>
      <c r="X94" s="490">
        <f>SUM(X92,X86,X80)</f>
        <v>1393327</v>
      </c>
      <c r="Y94" s="490">
        <f>SUM(Y92,Y86,Y80)</f>
        <v>2617680</v>
      </c>
      <c r="Z94" s="337"/>
      <c r="AA94" s="490">
        <f>SUM(AA92,AA86,AA80)</f>
        <v>-119561</v>
      </c>
      <c r="AB94" s="490">
        <f>SUM(AB92,AB86,AB80)</f>
        <v>119561</v>
      </c>
      <c r="AC94" s="490">
        <f>SUM(AC92,AC86,AC80)</f>
        <v>0</v>
      </c>
    </row>
    <row r="95" spans="1:29" ht="12.75">
      <c r="A95" s="457"/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  <c r="AB95" s="457"/>
      <c r="AC95" s="356"/>
    </row>
    <row r="96" spans="1:29" ht="12.75">
      <c r="A96" s="457"/>
      <c r="B96" s="457"/>
      <c r="C96" s="457"/>
      <c r="D96" s="457"/>
      <c r="E96" s="457"/>
      <c r="F96" s="457"/>
      <c r="G96" s="457"/>
      <c r="H96" s="457"/>
      <c r="I96" s="457"/>
      <c r="J96" s="457"/>
      <c r="K96" s="457"/>
      <c r="L96" s="457"/>
      <c r="M96" s="457"/>
      <c r="N96" s="457"/>
      <c r="O96" s="457"/>
      <c r="P96" s="457"/>
      <c r="Q96" s="457"/>
      <c r="R96" s="457"/>
      <c r="S96" s="457"/>
      <c r="T96" s="457"/>
      <c r="U96" s="457"/>
      <c r="V96" s="457"/>
      <c r="W96" s="457"/>
      <c r="X96" s="457"/>
      <c r="Y96" s="457"/>
      <c r="Z96" s="457"/>
      <c r="AA96" s="457"/>
      <c r="AB96" s="457"/>
      <c r="AC96" s="356"/>
    </row>
  </sheetData>
  <sheetProtection/>
  <mergeCells count="194">
    <mergeCell ref="G40:I41"/>
    <mergeCell ref="J40:J41"/>
    <mergeCell ref="L69:O69"/>
    <mergeCell ref="L23:O23"/>
    <mergeCell ref="G18:I18"/>
    <mergeCell ref="L31:O31"/>
    <mergeCell ref="L38:O38"/>
    <mergeCell ref="L68:O68"/>
    <mergeCell ref="G63:I63"/>
    <mergeCell ref="G65:I65"/>
    <mergeCell ref="R38:U38"/>
    <mergeCell ref="G27:I28"/>
    <mergeCell ref="J27:J28"/>
    <mergeCell ref="B89:C89"/>
    <mergeCell ref="B90:C90"/>
    <mergeCell ref="B91:C91"/>
    <mergeCell ref="Q61:Q67"/>
    <mergeCell ref="B76:C76"/>
    <mergeCell ref="B79:C79"/>
    <mergeCell ref="K68:K70"/>
    <mergeCell ref="T91:V91"/>
    <mergeCell ref="T85:V85"/>
    <mergeCell ref="T79:V79"/>
    <mergeCell ref="B77:C77"/>
    <mergeCell ref="B78:C78"/>
    <mergeCell ref="B82:C82"/>
    <mergeCell ref="B83:C83"/>
    <mergeCell ref="B84:C84"/>
    <mergeCell ref="B85:C85"/>
    <mergeCell ref="B88:C88"/>
    <mergeCell ref="A59:C60"/>
    <mergeCell ref="D59:F59"/>
    <mergeCell ref="A57:C57"/>
    <mergeCell ref="H57:J57"/>
    <mergeCell ref="M57:P57"/>
    <mergeCell ref="B55:C55"/>
    <mergeCell ref="G55:I55"/>
    <mergeCell ref="L59:Q60"/>
    <mergeCell ref="V76:W76"/>
    <mergeCell ref="A72:C72"/>
    <mergeCell ref="H72:J72"/>
    <mergeCell ref="M72:P72"/>
    <mergeCell ref="S72:V72"/>
    <mergeCell ref="A63:C63"/>
    <mergeCell ref="R64:U64"/>
    <mergeCell ref="G64:I64"/>
    <mergeCell ref="A69:C69"/>
    <mergeCell ref="K61:K67"/>
    <mergeCell ref="AA74:AC74"/>
    <mergeCell ref="W74:Y74"/>
    <mergeCell ref="S75:V75"/>
    <mergeCell ref="A71:C71"/>
    <mergeCell ref="H71:J71"/>
    <mergeCell ref="M71:P71"/>
    <mergeCell ref="S71:V71"/>
    <mergeCell ref="D74:F74"/>
    <mergeCell ref="R66:U66"/>
    <mergeCell ref="W61:W67"/>
    <mergeCell ref="G59:K60"/>
    <mergeCell ref="G66:I66"/>
    <mergeCell ref="G67:I67"/>
    <mergeCell ref="R65:U65"/>
    <mergeCell ref="R63:U63"/>
    <mergeCell ref="L49:O50"/>
    <mergeCell ref="L47:O48"/>
    <mergeCell ref="AA59:AC59"/>
    <mergeCell ref="G62:I62"/>
    <mergeCell ref="R62:U62"/>
    <mergeCell ref="G61:I61"/>
    <mergeCell ref="X59:Z59"/>
    <mergeCell ref="R54:U54"/>
    <mergeCell ref="Q47:Q54"/>
    <mergeCell ref="R47:U47"/>
    <mergeCell ref="G51:I51"/>
    <mergeCell ref="K47:K54"/>
    <mergeCell ref="G52:I52"/>
    <mergeCell ref="G53:I53"/>
    <mergeCell ref="A45:C46"/>
    <mergeCell ref="D45:F45"/>
    <mergeCell ref="G45:K46"/>
    <mergeCell ref="G48:I48"/>
    <mergeCell ref="G47:I47"/>
    <mergeCell ref="B34:C34"/>
    <mergeCell ref="L37:O37"/>
    <mergeCell ref="L36:O36"/>
    <mergeCell ref="L35:O35"/>
    <mergeCell ref="L29:O30"/>
    <mergeCell ref="B49:C49"/>
    <mergeCell ref="A40:C40"/>
    <mergeCell ref="A44:C44"/>
    <mergeCell ref="H44:J44"/>
    <mergeCell ref="K40:K43"/>
    <mergeCell ref="L33:O33"/>
    <mergeCell ref="L27:O27"/>
    <mergeCell ref="L43:O43"/>
    <mergeCell ref="L41:O41"/>
    <mergeCell ref="L40:O40"/>
    <mergeCell ref="L42:O42"/>
    <mergeCell ref="L28:O28"/>
    <mergeCell ref="L32:O32"/>
    <mergeCell ref="G26:I26"/>
    <mergeCell ref="K26:K33"/>
    <mergeCell ref="L26:O26"/>
    <mergeCell ref="G34:I34"/>
    <mergeCell ref="Q26:Q33"/>
    <mergeCell ref="Q35:Q39"/>
    <mergeCell ref="K35:K39"/>
    <mergeCell ref="L39:O39"/>
    <mergeCell ref="L34:O34"/>
    <mergeCell ref="P29:P30"/>
    <mergeCell ref="R34:U34"/>
    <mergeCell ref="W40:W43"/>
    <mergeCell ref="W26:W33"/>
    <mergeCell ref="R26:U26"/>
    <mergeCell ref="R29:U29"/>
    <mergeCell ref="W35:W39"/>
    <mergeCell ref="R39:U39"/>
    <mergeCell ref="R35:U35"/>
    <mergeCell ref="R27:U27"/>
    <mergeCell ref="R28:U28"/>
    <mergeCell ref="G7:I7"/>
    <mergeCell ref="R7:U7"/>
    <mergeCell ref="AA45:AC45"/>
    <mergeCell ref="R45:W46"/>
    <mergeCell ref="X45:Z45"/>
    <mergeCell ref="W7:W25"/>
    <mergeCell ref="R15:U15"/>
    <mergeCell ref="R9:U9"/>
    <mergeCell ref="S44:V44"/>
    <mergeCell ref="R12:U12"/>
    <mergeCell ref="T1:AB1"/>
    <mergeCell ref="X5:Z5"/>
    <mergeCell ref="AA5:AC5"/>
    <mergeCell ref="A5:C6"/>
    <mergeCell ref="L5:Q6"/>
    <mergeCell ref="R5:W6"/>
    <mergeCell ref="D5:F5"/>
    <mergeCell ref="G5:K6"/>
    <mergeCell ref="A3:AC3"/>
    <mergeCell ref="G13:I13"/>
    <mergeCell ref="G12:I12"/>
    <mergeCell ref="G17:I17"/>
    <mergeCell ref="G16:I16"/>
    <mergeCell ref="L19:O20"/>
    <mergeCell ref="P19:P20"/>
    <mergeCell ref="L17:O17"/>
    <mergeCell ref="L13:O13"/>
    <mergeCell ref="L14:O14"/>
    <mergeCell ref="L12:O12"/>
    <mergeCell ref="L22:O22"/>
    <mergeCell ref="L16:O16"/>
    <mergeCell ref="R14:U14"/>
    <mergeCell ref="R18:U18"/>
    <mergeCell ref="R17:U17"/>
    <mergeCell ref="R19:U19"/>
    <mergeCell ref="L9:O9"/>
    <mergeCell ref="R8:U8"/>
    <mergeCell ref="G9:I9"/>
    <mergeCell ref="Q7:Q25"/>
    <mergeCell ref="L11:O11"/>
    <mergeCell ref="L15:O15"/>
    <mergeCell ref="L18:O18"/>
    <mergeCell ref="L8:O8"/>
    <mergeCell ref="R16:U16"/>
    <mergeCell ref="R13:U13"/>
    <mergeCell ref="R36:U36"/>
    <mergeCell ref="R37:U37"/>
    <mergeCell ref="P47:P48"/>
    <mergeCell ref="P49:P50"/>
    <mergeCell ref="G11:I11"/>
    <mergeCell ref="L10:O10"/>
    <mergeCell ref="R25:U25"/>
    <mergeCell ref="R10:U10"/>
    <mergeCell ref="R11:U11"/>
    <mergeCell ref="G10:I10"/>
    <mergeCell ref="S57:V57"/>
    <mergeCell ref="R59:W60"/>
    <mergeCell ref="W47:W54"/>
    <mergeCell ref="R50:U50"/>
    <mergeCell ref="R52:U52"/>
    <mergeCell ref="R53:U53"/>
    <mergeCell ref="R49:U49"/>
    <mergeCell ref="R48:U48"/>
    <mergeCell ref="R51:U51"/>
    <mergeCell ref="G15:I15"/>
    <mergeCell ref="L45:Q46"/>
    <mergeCell ref="Q40:Q43"/>
    <mergeCell ref="M44:P44"/>
    <mergeCell ref="L25:O25"/>
    <mergeCell ref="L21:O21"/>
    <mergeCell ref="K7:K25"/>
    <mergeCell ref="G8:I8"/>
    <mergeCell ref="G14:I14"/>
    <mergeCell ref="L7:O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72"/>
  <sheetViews>
    <sheetView view="pageBreakPreview"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119" bestFit="1" customWidth="1"/>
    <col min="2" max="2" width="2.375" style="6" customWidth="1"/>
    <col min="3" max="3" width="92.25390625" style="6" customWidth="1"/>
    <col min="4" max="4" width="12.625" style="6" customWidth="1"/>
    <col min="5" max="16384" width="8.875" style="6" customWidth="1"/>
  </cols>
  <sheetData>
    <row r="1" spans="3:5" ht="15">
      <c r="C1" s="926" t="s">
        <v>1199</v>
      </c>
      <c r="D1" s="1033"/>
      <c r="E1" s="118"/>
    </row>
    <row r="2" spans="3:5" ht="12" customHeight="1">
      <c r="C2" s="8"/>
      <c r="D2" s="625"/>
      <c r="E2" s="118"/>
    </row>
    <row r="3" spans="2:4" ht="15">
      <c r="B3" s="1144" t="s">
        <v>817</v>
      </c>
      <c r="C3" s="1144"/>
      <c r="D3" s="1144"/>
    </row>
    <row r="4" ht="15.75" thickBot="1">
      <c r="D4" s="8" t="s">
        <v>557</v>
      </c>
    </row>
    <row r="5" spans="1:4" s="7" customFormat="1" ht="14.25">
      <c r="A5" s="1136" t="s">
        <v>632</v>
      </c>
      <c r="B5" s="1145" t="s">
        <v>551</v>
      </c>
      <c r="C5" s="1146"/>
      <c r="D5" s="9" t="s">
        <v>567</v>
      </c>
    </row>
    <row r="6" spans="1:4" s="149" customFormat="1" ht="12">
      <c r="A6" s="1137"/>
      <c r="B6" s="1132" t="s">
        <v>626</v>
      </c>
      <c r="C6" s="1132"/>
      <c r="D6" s="148" t="s">
        <v>627</v>
      </c>
    </row>
    <row r="7" spans="1:4" s="7" customFormat="1" ht="14.25">
      <c r="A7" s="153">
        <v>1</v>
      </c>
      <c r="B7" s="150" t="s">
        <v>558</v>
      </c>
      <c r="C7" s="18"/>
      <c r="D7" s="10"/>
    </row>
    <row r="8" spans="1:4" s="20" customFormat="1" ht="15">
      <c r="A8" s="153">
        <v>2</v>
      </c>
      <c r="B8" s="151" t="s">
        <v>642</v>
      </c>
      <c r="C8" s="19"/>
      <c r="D8" s="17"/>
    </row>
    <row r="9" spans="1:4" ht="15">
      <c r="A9" s="153">
        <v>3</v>
      </c>
      <c r="B9" s="121" t="s">
        <v>568</v>
      </c>
      <c r="C9" s="554" t="s">
        <v>1101</v>
      </c>
      <c r="D9" s="139">
        <v>5500</v>
      </c>
    </row>
    <row r="10" spans="1:4" ht="15">
      <c r="A10" s="153">
        <v>4</v>
      </c>
      <c r="B10" s="121" t="s">
        <v>568</v>
      </c>
      <c r="C10" s="554" t="s">
        <v>815</v>
      </c>
      <c r="D10" s="11">
        <v>216</v>
      </c>
    </row>
    <row r="11" spans="1:4" ht="15">
      <c r="A11" s="153">
        <v>5</v>
      </c>
      <c r="B11" s="121" t="s">
        <v>568</v>
      </c>
      <c r="C11" s="554" t="s">
        <v>864</v>
      </c>
      <c r="D11" s="11">
        <v>250</v>
      </c>
    </row>
    <row r="12" spans="1:4" ht="30">
      <c r="A12" s="153">
        <v>6</v>
      </c>
      <c r="B12" s="121" t="s">
        <v>568</v>
      </c>
      <c r="C12" s="555" t="s">
        <v>1094</v>
      </c>
      <c r="D12" s="11">
        <f>420421+6+8825-79421</f>
        <v>349831</v>
      </c>
    </row>
    <row r="13" spans="1:4" ht="15">
      <c r="A13" s="153">
        <v>7</v>
      </c>
      <c r="B13" s="121" t="s">
        <v>568</v>
      </c>
      <c r="C13" s="555" t="s">
        <v>1146</v>
      </c>
      <c r="D13" s="11">
        <v>108</v>
      </c>
    </row>
    <row r="14" spans="1:4" ht="30">
      <c r="A14" s="153">
        <v>8</v>
      </c>
      <c r="B14" s="121" t="s">
        <v>568</v>
      </c>
      <c r="C14" s="555" t="s">
        <v>1095</v>
      </c>
      <c r="D14" s="11">
        <f>768006+35888</f>
        <v>803894</v>
      </c>
    </row>
    <row r="15" spans="1:4" ht="15">
      <c r="A15" s="153">
        <v>9</v>
      </c>
      <c r="B15" s="121" t="s">
        <v>568</v>
      </c>
      <c r="C15" s="554" t="s">
        <v>257</v>
      </c>
      <c r="D15" s="11">
        <v>161</v>
      </c>
    </row>
    <row r="16" spans="1:4" ht="15">
      <c r="A16" s="153">
        <v>10</v>
      </c>
      <c r="B16" s="121" t="s">
        <v>568</v>
      </c>
      <c r="C16" s="554" t="s">
        <v>865</v>
      </c>
      <c r="D16" s="11">
        <v>127</v>
      </c>
    </row>
    <row r="17" spans="1:4" ht="30">
      <c r="A17" s="153">
        <v>11</v>
      </c>
      <c r="B17" s="121" t="s">
        <v>568</v>
      </c>
      <c r="C17" s="554" t="s">
        <v>1102</v>
      </c>
      <c r="D17" s="11">
        <v>490</v>
      </c>
    </row>
    <row r="18" spans="1:4" ht="15">
      <c r="A18" s="153">
        <v>12</v>
      </c>
      <c r="B18" s="121" t="s">
        <v>568</v>
      </c>
      <c r="C18" s="554" t="s">
        <v>924</v>
      </c>
      <c r="D18" s="11">
        <f>430+156</f>
        <v>586</v>
      </c>
    </row>
    <row r="19" spans="1:4" ht="15">
      <c r="A19" s="153">
        <v>13</v>
      </c>
      <c r="B19" s="121" t="s">
        <v>568</v>
      </c>
      <c r="C19" s="554" t="s">
        <v>965</v>
      </c>
      <c r="D19" s="11">
        <v>70</v>
      </c>
    </row>
    <row r="20" spans="1:4" ht="15">
      <c r="A20" s="153">
        <v>14</v>
      </c>
      <c r="B20" s="121" t="s">
        <v>568</v>
      </c>
      <c r="C20" s="554" t="s">
        <v>966</v>
      </c>
      <c r="D20" s="11">
        <v>8319</v>
      </c>
    </row>
    <row r="21" spans="1:4" ht="30">
      <c r="A21" s="153">
        <v>15</v>
      </c>
      <c r="B21" s="121" t="s">
        <v>568</v>
      </c>
      <c r="C21" s="554" t="s">
        <v>1096</v>
      </c>
      <c r="D21" s="11">
        <f>49+10330</f>
        <v>10379</v>
      </c>
    </row>
    <row r="22" spans="1:4" ht="15">
      <c r="A22" s="153">
        <v>16</v>
      </c>
      <c r="B22" s="121" t="s">
        <v>568</v>
      </c>
      <c r="C22" s="554" t="s">
        <v>968</v>
      </c>
      <c r="D22" s="11">
        <v>248</v>
      </c>
    </row>
    <row r="23" spans="1:4" ht="15">
      <c r="A23" s="153">
        <v>17</v>
      </c>
      <c r="B23" s="121" t="s">
        <v>568</v>
      </c>
      <c r="C23" s="554" t="s">
        <v>1144</v>
      </c>
      <c r="D23" s="11">
        <v>114</v>
      </c>
    </row>
    <row r="24" spans="1:4" ht="15">
      <c r="A24" s="153">
        <v>18</v>
      </c>
      <c r="B24" s="121" t="s">
        <v>568</v>
      </c>
      <c r="C24" s="554" t="s">
        <v>1145</v>
      </c>
      <c r="D24" s="11">
        <v>300</v>
      </c>
    </row>
    <row r="25" spans="1:4" ht="15">
      <c r="A25" s="153">
        <v>19</v>
      </c>
      <c r="B25" s="121" t="s">
        <v>568</v>
      </c>
      <c r="C25" s="554" t="s">
        <v>1057</v>
      </c>
      <c r="D25" s="11">
        <v>360</v>
      </c>
    </row>
    <row r="26" spans="1:4" ht="15">
      <c r="A26" s="153">
        <v>20</v>
      </c>
      <c r="B26" s="121" t="s">
        <v>568</v>
      </c>
      <c r="C26" s="554" t="s">
        <v>1149</v>
      </c>
      <c r="D26" s="11">
        <v>920</v>
      </c>
    </row>
    <row r="27" spans="1:4" ht="15">
      <c r="A27" s="153">
        <v>21</v>
      </c>
      <c r="B27" s="121" t="s">
        <v>568</v>
      </c>
      <c r="C27" s="554" t="s">
        <v>1147</v>
      </c>
      <c r="D27" s="11">
        <v>111</v>
      </c>
    </row>
    <row r="28" spans="1:4" ht="20.25" customHeight="1">
      <c r="A28" s="153">
        <v>22</v>
      </c>
      <c r="B28" s="121" t="s">
        <v>568</v>
      </c>
      <c r="C28" s="514" t="s">
        <v>1097</v>
      </c>
      <c r="D28" s="11">
        <v>3000</v>
      </c>
    </row>
    <row r="29" spans="1:4" s="70" customFormat="1" ht="15">
      <c r="A29" s="153">
        <v>23</v>
      </c>
      <c r="B29" s="121"/>
      <c r="C29" s="22" t="s">
        <v>585</v>
      </c>
      <c r="D29" s="141">
        <f>SUM(D9:D28)</f>
        <v>1184984</v>
      </c>
    </row>
    <row r="30" spans="1:4" s="70" customFormat="1" ht="15">
      <c r="A30" s="153">
        <v>24</v>
      </c>
      <c r="B30" s="1133" t="s">
        <v>565</v>
      </c>
      <c r="C30" s="1134"/>
      <c r="D30" s="1135"/>
    </row>
    <row r="31" spans="1:4" s="70" customFormat="1" ht="15">
      <c r="A31" s="153">
        <v>25</v>
      </c>
      <c r="B31" s="121" t="s">
        <v>568</v>
      </c>
      <c r="C31" s="515" t="s">
        <v>256</v>
      </c>
      <c r="D31" s="513">
        <v>445</v>
      </c>
    </row>
    <row r="32" spans="1:4" s="70" customFormat="1" ht="15">
      <c r="A32" s="153">
        <v>26</v>
      </c>
      <c r="B32" s="121" t="s">
        <v>568</v>
      </c>
      <c r="C32" s="554" t="s">
        <v>967</v>
      </c>
      <c r="D32" s="11">
        <v>170</v>
      </c>
    </row>
    <row r="33" spans="1:4" s="70" customFormat="1" ht="15">
      <c r="A33" s="153">
        <v>27</v>
      </c>
      <c r="B33" s="512"/>
      <c r="C33" s="22" t="s">
        <v>728</v>
      </c>
      <c r="D33" s="141">
        <f>SUM(D31:D32)</f>
        <v>615</v>
      </c>
    </row>
    <row r="34" spans="1:4" s="70" customFormat="1" ht="15">
      <c r="A34" s="153">
        <v>28</v>
      </c>
      <c r="B34" s="1133" t="s">
        <v>866</v>
      </c>
      <c r="C34" s="1134"/>
      <c r="D34" s="1135"/>
    </row>
    <row r="35" spans="1:4" s="70" customFormat="1" ht="15">
      <c r="A35" s="153">
        <v>29</v>
      </c>
      <c r="B35" s="121" t="s">
        <v>568</v>
      </c>
      <c r="C35" s="515" t="s">
        <v>868</v>
      </c>
      <c r="D35" s="647">
        <f>254-50</f>
        <v>204</v>
      </c>
    </row>
    <row r="36" spans="1:4" s="70" customFormat="1" ht="15">
      <c r="A36" s="153">
        <v>30</v>
      </c>
      <c r="B36" s="121" t="s">
        <v>568</v>
      </c>
      <c r="C36" s="515" t="s">
        <v>969</v>
      </c>
      <c r="D36" s="647">
        <v>333</v>
      </c>
    </row>
    <row r="37" spans="1:4" s="70" customFormat="1" ht="15">
      <c r="A37" s="153">
        <v>31</v>
      </c>
      <c r="B37" s="121" t="s">
        <v>568</v>
      </c>
      <c r="C37" s="515" t="s">
        <v>1150</v>
      </c>
      <c r="D37" s="647">
        <v>400</v>
      </c>
    </row>
    <row r="38" spans="1:4" s="70" customFormat="1" ht="15">
      <c r="A38" s="153">
        <v>32</v>
      </c>
      <c r="B38" s="121" t="s">
        <v>568</v>
      </c>
      <c r="C38" s="515" t="s">
        <v>1151</v>
      </c>
      <c r="D38" s="647">
        <v>20</v>
      </c>
    </row>
    <row r="39" spans="1:4" s="70" customFormat="1" ht="15">
      <c r="A39" s="153">
        <v>33</v>
      </c>
      <c r="B39" s="512"/>
      <c r="C39" s="22" t="s">
        <v>867</v>
      </c>
      <c r="D39" s="141">
        <f>SUM(D35:D38)</f>
        <v>957</v>
      </c>
    </row>
    <row r="40" spans="1:4" s="7" customFormat="1" ht="15" thickBot="1">
      <c r="A40" s="153">
        <v>34</v>
      </c>
      <c r="B40" s="23" t="s">
        <v>554</v>
      </c>
      <c r="C40" s="23"/>
      <c r="D40" s="14">
        <f>SUM(D39+D33+D29)</f>
        <v>1186556</v>
      </c>
    </row>
    <row r="41" spans="1:4" ht="15">
      <c r="A41" s="153">
        <v>35</v>
      </c>
      <c r="B41" s="1138" t="s">
        <v>566</v>
      </c>
      <c r="C41" s="1138"/>
      <c r="D41" s="1139"/>
    </row>
    <row r="42" spans="1:4" s="20" customFormat="1" ht="15">
      <c r="A42" s="153">
        <v>36</v>
      </c>
      <c r="B42" s="174" t="s">
        <v>642</v>
      </c>
      <c r="C42" s="21"/>
      <c r="D42" s="12"/>
    </row>
    <row r="43" spans="1:4" s="20" customFormat="1" ht="15">
      <c r="A43" s="153">
        <v>37</v>
      </c>
      <c r="B43" s="121" t="s">
        <v>568</v>
      </c>
      <c r="C43" s="554" t="s">
        <v>863</v>
      </c>
      <c r="D43" s="11">
        <v>579</v>
      </c>
    </row>
    <row r="44" spans="1:4" s="20" customFormat="1" ht="15">
      <c r="A44" s="153">
        <v>38</v>
      </c>
      <c r="B44" s="121" t="s">
        <v>568</v>
      </c>
      <c r="C44" s="554" t="s">
        <v>1098</v>
      </c>
      <c r="D44" s="11">
        <v>350</v>
      </c>
    </row>
    <row r="45" spans="1:4" s="20" customFormat="1" ht="15">
      <c r="A45" s="153">
        <v>39</v>
      </c>
      <c r="B45" s="646" t="s">
        <v>568</v>
      </c>
      <c r="C45" s="554" t="s">
        <v>1058</v>
      </c>
      <c r="D45" s="11">
        <f>2250+12750</f>
        <v>15000</v>
      </c>
    </row>
    <row r="46" spans="1:4" s="20" customFormat="1" ht="15">
      <c r="A46" s="153">
        <v>40</v>
      </c>
      <c r="B46" s="646" t="s">
        <v>568</v>
      </c>
      <c r="C46" s="554" t="s">
        <v>1148</v>
      </c>
      <c r="D46" s="11">
        <v>357</v>
      </c>
    </row>
    <row r="47" spans="1:4" s="20" customFormat="1" ht="15">
      <c r="A47" s="153">
        <v>41</v>
      </c>
      <c r="B47" s="646" t="s">
        <v>568</v>
      </c>
      <c r="C47" s="554" t="s">
        <v>1143</v>
      </c>
      <c r="D47" s="11">
        <v>6906</v>
      </c>
    </row>
    <row r="48" spans="1:4" s="20" customFormat="1" ht="15">
      <c r="A48" s="153">
        <v>42</v>
      </c>
      <c r="B48" s="649"/>
      <c r="C48" s="650" t="s">
        <v>585</v>
      </c>
      <c r="D48" s="854">
        <f>SUM(D43:D47)</f>
        <v>23192</v>
      </c>
    </row>
    <row r="49" spans="1:4" s="20" customFormat="1" ht="15">
      <c r="A49" s="153">
        <v>43</v>
      </c>
      <c r="B49" s="1133" t="s">
        <v>866</v>
      </c>
      <c r="C49" s="1134"/>
      <c r="D49" s="1135"/>
    </row>
    <row r="50" spans="1:4" s="20" customFormat="1" ht="15">
      <c r="A50" s="153">
        <v>44</v>
      </c>
      <c r="B50" s="646" t="s">
        <v>568</v>
      </c>
      <c r="C50" s="515" t="s">
        <v>970</v>
      </c>
      <c r="D50" s="637">
        <v>667</v>
      </c>
    </row>
    <row r="51" spans="1:4" s="20" customFormat="1" ht="15">
      <c r="A51" s="153">
        <v>45</v>
      </c>
      <c r="B51" s="649"/>
      <c r="C51" s="22" t="s">
        <v>867</v>
      </c>
      <c r="D51" s="854">
        <f>SUM(D50)</f>
        <v>667</v>
      </c>
    </row>
    <row r="52" spans="1:4" ht="15.75" thickBot="1">
      <c r="A52" s="154">
        <v>46</v>
      </c>
      <c r="B52" s="651" t="s">
        <v>554</v>
      </c>
      <c r="C52" s="651"/>
      <c r="D52" s="855">
        <f>SUM(D48+D51)</f>
        <v>23859</v>
      </c>
    </row>
    <row r="53" spans="1:4" ht="15">
      <c r="A53" s="648">
        <v>47</v>
      </c>
      <c r="B53" s="1141" t="s">
        <v>252</v>
      </c>
      <c r="C53" s="1142"/>
      <c r="D53" s="1143"/>
    </row>
    <row r="54" spans="1:4" s="20" customFormat="1" ht="15">
      <c r="A54" s="153">
        <v>48</v>
      </c>
      <c r="B54" s="24" t="s">
        <v>642</v>
      </c>
      <c r="C54" s="21"/>
      <c r="D54" s="15"/>
    </row>
    <row r="55" spans="1:4" s="20" customFormat="1" ht="15">
      <c r="A55" s="153">
        <v>49</v>
      </c>
      <c r="B55" s="121" t="s">
        <v>568</v>
      </c>
      <c r="C55" s="515" t="s">
        <v>622</v>
      </c>
      <c r="D55" s="13">
        <v>399</v>
      </c>
    </row>
    <row r="56" spans="1:4" s="20" customFormat="1" ht="30">
      <c r="A56" s="153">
        <v>50</v>
      </c>
      <c r="B56" s="121" t="s">
        <v>568</v>
      </c>
      <c r="C56" s="636" t="s">
        <v>1152</v>
      </c>
      <c r="D56" s="13">
        <v>2199</v>
      </c>
    </row>
    <row r="57" spans="1:4" s="20" customFormat="1" ht="30">
      <c r="A57" s="153">
        <v>51</v>
      </c>
      <c r="B57" s="121" t="s">
        <v>568</v>
      </c>
      <c r="C57" s="636" t="s">
        <v>1104</v>
      </c>
      <c r="D57" s="13">
        <f>1830+9561+4302</f>
        <v>15693</v>
      </c>
    </row>
    <row r="58" spans="1:4" s="20" customFormat="1" ht="30">
      <c r="A58" s="848">
        <v>52</v>
      </c>
      <c r="B58" s="121" t="s">
        <v>568</v>
      </c>
      <c r="C58" s="636" t="s">
        <v>1153</v>
      </c>
      <c r="D58" s="45">
        <v>260</v>
      </c>
    </row>
    <row r="59" spans="1:4" s="7" customFormat="1" ht="15" thickBot="1">
      <c r="A59" s="154">
        <v>53</v>
      </c>
      <c r="B59" s="25" t="s">
        <v>554</v>
      </c>
      <c r="C59" s="23"/>
      <c r="D59" s="16">
        <f>SUM(D55:D58)</f>
        <v>18551</v>
      </c>
    </row>
    <row r="60" spans="1:4" ht="15" hidden="1">
      <c r="A60" s="648">
        <v>48</v>
      </c>
      <c r="B60" s="1138" t="s">
        <v>623</v>
      </c>
      <c r="C60" s="1138"/>
      <c r="D60" s="1139"/>
    </row>
    <row r="61" spans="1:4" s="20" customFormat="1" ht="15" hidden="1">
      <c r="A61" s="153">
        <v>49</v>
      </c>
      <c r="B61" s="121"/>
      <c r="C61" s="46"/>
      <c r="D61" s="45"/>
    </row>
    <row r="62" spans="1:4" s="7" customFormat="1" ht="15" hidden="1" thickBot="1">
      <c r="A62" s="153">
        <v>50</v>
      </c>
      <c r="B62" s="25" t="s">
        <v>554</v>
      </c>
      <c r="C62" s="23"/>
      <c r="D62" s="16">
        <f>SUM(D61:D61)</f>
        <v>0</v>
      </c>
    </row>
    <row r="63" spans="1:4" ht="15">
      <c r="A63" s="153">
        <v>54</v>
      </c>
      <c r="B63" s="1138" t="s">
        <v>624</v>
      </c>
      <c r="C63" s="1138"/>
      <c r="D63" s="1139"/>
    </row>
    <row r="64" spans="1:4" ht="15">
      <c r="A64" s="153">
        <v>55</v>
      </c>
      <c r="B64" s="24" t="s">
        <v>642</v>
      </c>
      <c r="C64" s="140"/>
      <c r="D64" s="138"/>
    </row>
    <row r="65" spans="1:4" ht="15">
      <c r="A65" s="153">
        <v>56</v>
      </c>
      <c r="B65" s="121" t="s">
        <v>568</v>
      </c>
      <c r="C65" s="122" t="s">
        <v>1099</v>
      </c>
      <c r="D65" s="637">
        <v>40540</v>
      </c>
    </row>
    <row r="66" spans="1:4" ht="30">
      <c r="A66" s="153">
        <v>57</v>
      </c>
      <c r="B66" s="121" t="s">
        <v>568</v>
      </c>
      <c r="C66" s="122" t="s">
        <v>1100</v>
      </c>
      <c r="D66" s="585">
        <f>195+4252+170-357</f>
        <v>4260</v>
      </c>
    </row>
    <row r="67" spans="1:4" s="7" customFormat="1" ht="15" thickBot="1">
      <c r="A67" s="848">
        <v>58</v>
      </c>
      <c r="B67" s="25" t="s">
        <v>554</v>
      </c>
      <c r="C67" s="23"/>
      <c r="D67" s="16">
        <f>SUM(D65:D66)</f>
        <v>44800</v>
      </c>
    </row>
    <row r="68" spans="1:4" ht="21" customHeight="1" thickBot="1">
      <c r="A68" s="849">
        <v>59</v>
      </c>
      <c r="B68" s="152" t="s">
        <v>555</v>
      </c>
      <c r="C68" s="25"/>
      <c r="D68" s="16">
        <f>SUM(D67+D59+D52+D40)</f>
        <v>1273766</v>
      </c>
    </row>
    <row r="70" ht="21" customHeight="1"/>
    <row r="72" spans="2:4" ht="15">
      <c r="B72" s="1140"/>
      <c r="C72" s="1140"/>
      <c r="D72" s="1140"/>
    </row>
  </sheetData>
  <sheetProtection/>
  <mergeCells count="13">
    <mergeCell ref="B72:D72"/>
    <mergeCell ref="B34:D34"/>
    <mergeCell ref="C1:D1"/>
    <mergeCell ref="B53:D53"/>
    <mergeCell ref="B3:D3"/>
    <mergeCell ref="B5:C5"/>
    <mergeCell ref="B41:D41"/>
    <mergeCell ref="B6:C6"/>
    <mergeCell ref="B30:D30"/>
    <mergeCell ref="B49:D49"/>
    <mergeCell ref="A5:A6"/>
    <mergeCell ref="B60:D60"/>
    <mergeCell ref="B63:D6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99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124" bestFit="1" customWidth="1"/>
    <col min="2" max="2" width="2.375" style="84" customWidth="1"/>
    <col min="3" max="3" width="100.875" style="84" customWidth="1"/>
    <col min="4" max="4" width="13.75390625" style="84" customWidth="1"/>
    <col min="5" max="16384" width="8.875" style="84" customWidth="1"/>
  </cols>
  <sheetData>
    <row r="1" spans="3:5" ht="15">
      <c r="C1" s="926" t="s">
        <v>1200</v>
      </c>
      <c r="D1" s="1033"/>
      <c r="E1" s="118"/>
    </row>
    <row r="2" spans="3:5" ht="15">
      <c r="C2" s="5"/>
      <c r="D2" s="118"/>
      <c r="E2" s="118"/>
    </row>
    <row r="3" spans="2:4" ht="15">
      <c r="B3" s="1150" t="s">
        <v>569</v>
      </c>
      <c r="C3" s="1150"/>
      <c r="D3" s="1150"/>
    </row>
    <row r="4" spans="2:4" ht="15">
      <c r="B4" s="1150" t="s">
        <v>643</v>
      </c>
      <c r="C4" s="1150"/>
      <c r="D4" s="1150"/>
    </row>
    <row r="5" spans="2:4" ht="15">
      <c r="B5" s="86"/>
      <c r="C5" s="86"/>
      <c r="D5" s="86"/>
    </row>
    <row r="6" ht="15">
      <c r="D6" s="85" t="s">
        <v>557</v>
      </c>
    </row>
    <row r="7" spans="1:4" s="87" customFormat="1" ht="21" customHeight="1">
      <c r="A7" s="1147" t="s">
        <v>632</v>
      </c>
      <c r="B7" s="1151" t="s">
        <v>551</v>
      </c>
      <c r="C7" s="1151"/>
      <c r="D7" s="126" t="s">
        <v>567</v>
      </c>
    </row>
    <row r="8" spans="1:4" s="123" customFormat="1" ht="12">
      <c r="A8" s="1148"/>
      <c r="B8" s="1152" t="s">
        <v>626</v>
      </c>
      <c r="C8" s="1153"/>
      <c r="D8" s="125" t="s">
        <v>627</v>
      </c>
    </row>
    <row r="9" spans="1:4" s="87" customFormat="1" ht="25.5" customHeight="1">
      <c r="A9" s="125">
        <v>1</v>
      </c>
      <c r="B9" s="89" t="s">
        <v>581</v>
      </c>
      <c r="C9" s="88"/>
      <c r="D9" s="132"/>
    </row>
    <row r="10" spans="1:4" ht="15">
      <c r="A10" s="125">
        <v>2</v>
      </c>
      <c r="B10" s="127" t="s">
        <v>641</v>
      </c>
      <c r="C10" s="122" t="s">
        <v>633</v>
      </c>
      <c r="D10" s="128">
        <v>1000</v>
      </c>
    </row>
    <row r="11" spans="1:4" ht="15" customHeight="1">
      <c r="A11" s="125">
        <v>3</v>
      </c>
      <c r="B11" s="127" t="s">
        <v>641</v>
      </c>
      <c r="C11" s="122" t="s">
        <v>976</v>
      </c>
      <c r="D11" s="641">
        <v>-1000</v>
      </c>
    </row>
    <row r="12" spans="1:4" s="87" customFormat="1" ht="15.75" customHeight="1">
      <c r="A12" s="125">
        <v>4</v>
      </c>
      <c r="B12" s="89" t="s">
        <v>554</v>
      </c>
      <c r="C12" s="89"/>
      <c r="D12" s="129">
        <f>SUM(D10:D11)</f>
        <v>0</v>
      </c>
    </row>
    <row r="13" spans="1:4" s="87" customFormat="1" ht="5.25" customHeight="1">
      <c r="A13" s="131"/>
      <c r="B13" s="130"/>
      <c r="C13" s="130"/>
      <c r="D13" s="132"/>
    </row>
    <row r="14" spans="1:4" s="87" customFormat="1" ht="25.5" customHeight="1">
      <c r="A14" s="125">
        <v>5</v>
      </c>
      <c r="B14" s="1149" t="s">
        <v>580</v>
      </c>
      <c r="C14" s="1149"/>
      <c r="D14" s="1149"/>
    </row>
    <row r="15" spans="1:4" s="87" customFormat="1" ht="15">
      <c r="A15" s="125">
        <v>6</v>
      </c>
      <c r="B15" s="127" t="s">
        <v>641</v>
      </c>
      <c r="C15" s="122" t="s">
        <v>818</v>
      </c>
      <c r="D15" s="128">
        <f>1519-323</f>
        <v>1196</v>
      </c>
    </row>
    <row r="16" spans="1:4" s="87" customFormat="1" ht="15">
      <c r="A16" s="125">
        <v>7</v>
      </c>
      <c r="B16" s="127" t="s">
        <v>641</v>
      </c>
      <c r="C16" s="122" t="s">
        <v>991</v>
      </c>
      <c r="D16" s="128">
        <v>714</v>
      </c>
    </row>
    <row r="17" spans="1:4" s="87" customFormat="1" ht="15">
      <c r="A17" s="125">
        <v>8</v>
      </c>
      <c r="B17" s="127" t="s">
        <v>641</v>
      </c>
      <c r="C17" s="122" t="s">
        <v>983</v>
      </c>
      <c r="D17" s="128">
        <v>2900</v>
      </c>
    </row>
    <row r="18" spans="1:4" s="87" customFormat="1" ht="15">
      <c r="A18" s="125">
        <v>9</v>
      </c>
      <c r="B18" s="127" t="s">
        <v>641</v>
      </c>
      <c r="C18" s="122" t="s">
        <v>989</v>
      </c>
      <c r="D18" s="641">
        <v>-127</v>
      </c>
    </row>
    <row r="19" spans="1:4" s="662" customFormat="1" ht="15.75" customHeight="1">
      <c r="A19" s="125">
        <v>10</v>
      </c>
      <c r="B19" s="660" t="s">
        <v>554</v>
      </c>
      <c r="C19" s="660"/>
      <c r="D19" s="664">
        <f>SUM(D15:D18)</f>
        <v>4683</v>
      </c>
    </row>
    <row r="20" spans="1:4" s="87" customFormat="1" ht="5.25" customHeight="1">
      <c r="A20" s="125"/>
      <c r="B20" s="127"/>
      <c r="C20" s="122"/>
      <c r="D20" s="128"/>
    </row>
    <row r="21" spans="1:4" s="87" customFormat="1" ht="15" customHeight="1">
      <c r="A21" s="125">
        <v>11</v>
      </c>
      <c r="B21" s="127" t="s">
        <v>641</v>
      </c>
      <c r="C21" s="122" t="s">
        <v>819</v>
      </c>
      <c r="D21" s="128">
        <v>200</v>
      </c>
    </row>
    <row r="22" spans="1:4" s="87" customFormat="1" ht="15" customHeight="1">
      <c r="A22" s="125">
        <v>12</v>
      </c>
      <c r="B22" s="127" t="s">
        <v>641</v>
      </c>
      <c r="C22" s="122" t="s">
        <v>984</v>
      </c>
      <c r="D22" s="128">
        <v>2611</v>
      </c>
    </row>
    <row r="23" spans="1:4" s="663" customFormat="1" ht="15.75" customHeight="1">
      <c r="A23" s="125">
        <v>13</v>
      </c>
      <c r="B23" s="660" t="s">
        <v>554</v>
      </c>
      <c r="C23" s="660"/>
      <c r="D23" s="661">
        <f>SUM(D21:D22)</f>
        <v>2811</v>
      </c>
    </row>
    <row r="24" spans="1:4" s="87" customFormat="1" ht="5.25" customHeight="1">
      <c r="A24" s="125"/>
      <c r="B24" s="127"/>
      <c r="C24" s="122"/>
      <c r="D24" s="128"/>
    </row>
    <row r="25" spans="1:4" s="662" customFormat="1" ht="15">
      <c r="A25" s="125">
        <v>14</v>
      </c>
      <c r="B25" s="127" t="s">
        <v>641</v>
      </c>
      <c r="C25" s="122" t="s">
        <v>1064</v>
      </c>
      <c r="D25" s="128">
        <v>3000</v>
      </c>
    </row>
    <row r="26" spans="1:4" s="662" customFormat="1" ht="15">
      <c r="A26" s="125">
        <v>15</v>
      </c>
      <c r="B26" s="127" t="s">
        <v>641</v>
      </c>
      <c r="C26" s="122" t="s">
        <v>1065</v>
      </c>
      <c r="D26" s="641">
        <v>-1000</v>
      </c>
    </row>
    <row r="27" spans="1:4" s="662" customFormat="1" ht="15">
      <c r="A27" s="125">
        <v>16</v>
      </c>
      <c r="B27" s="127" t="s">
        <v>641</v>
      </c>
      <c r="C27" s="122" t="s">
        <v>1067</v>
      </c>
      <c r="D27" s="641">
        <v>-207</v>
      </c>
    </row>
    <row r="28" spans="1:4" s="662" customFormat="1" ht="17.25" customHeight="1">
      <c r="A28" s="125">
        <v>17</v>
      </c>
      <c r="B28" s="127" t="s">
        <v>641</v>
      </c>
      <c r="C28" s="122" t="s">
        <v>1154</v>
      </c>
      <c r="D28" s="641">
        <v>-707</v>
      </c>
    </row>
    <row r="29" spans="1:4" s="662" customFormat="1" ht="15">
      <c r="A29" s="125">
        <v>18</v>
      </c>
      <c r="B29" s="127" t="s">
        <v>641</v>
      </c>
      <c r="C29" s="122" t="s">
        <v>1155</v>
      </c>
      <c r="D29" s="641">
        <v>-38</v>
      </c>
    </row>
    <row r="30" spans="1:4" s="663" customFormat="1" ht="15.75" customHeight="1">
      <c r="A30" s="125">
        <v>19</v>
      </c>
      <c r="B30" s="660" t="s">
        <v>554</v>
      </c>
      <c r="C30" s="660"/>
      <c r="D30" s="661">
        <f>SUM(D25:D29)</f>
        <v>1048</v>
      </c>
    </row>
    <row r="31" spans="1:4" s="87" customFormat="1" ht="5.25" customHeight="1">
      <c r="A31" s="131"/>
      <c r="B31" s="130"/>
      <c r="C31" s="130"/>
      <c r="D31" s="132"/>
    </row>
    <row r="32" spans="1:4" ht="15.75" customHeight="1">
      <c r="A32" s="125">
        <v>20</v>
      </c>
      <c r="B32" s="89" t="s">
        <v>554</v>
      </c>
      <c r="C32" s="89"/>
      <c r="D32" s="129">
        <f>SUM(D19+D23+D30)</f>
        <v>8542</v>
      </c>
    </row>
    <row r="33" spans="1:4" s="87" customFormat="1" ht="5.25" customHeight="1">
      <c r="A33" s="131"/>
      <c r="B33" s="130"/>
      <c r="C33" s="130"/>
      <c r="D33" s="132"/>
    </row>
    <row r="34" spans="1:4" s="87" customFormat="1" ht="25.5" customHeight="1">
      <c r="A34" s="125">
        <v>21</v>
      </c>
      <c r="B34" s="89" t="s">
        <v>662</v>
      </c>
      <c r="C34" s="88"/>
      <c r="D34" s="132"/>
    </row>
    <row r="35" spans="1:4" ht="15">
      <c r="A35" s="125">
        <v>22</v>
      </c>
      <c r="B35" s="127" t="s">
        <v>641</v>
      </c>
      <c r="C35" s="122" t="s">
        <v>663</v>
      </c>
      <c r="D35" s="128">
        <v>1000</v>
      </c>
    </row>
    <row r="36" spans="1:4" ht="17.25" customHeight="1">
      <c r="A36" s="125">
        <v>23</v>
      </c>
      <c r="B36" s="127" t="s">
        <v>641</v>
      </c>
      <c r="C36" s="122" t="s">
        <v>926</v>
      </c>
      <c r="D36" s="641">
        <v>-3517</v>
      </c>
    </row>
    <row r="37" spans="1:4" ht="15" customHeight="1">
      <c r="A37" s="125">
        <v>24</v>
      </c>
      <c r="B37" s="127" t="s">
        <v>641</v>
      </c>
      <c r="C37" s="122" t="s">
        <v>927</v>
      </c>
      <c r="D37" s="641">
        <v>-100</v>
      </c>
    </row>
    <row r="38" spans="1:4" ht="15" customHeight="1">
      <c r="A38" s="125">
        <v>25</v>
      </c>
      <c r="B38" s="127" t="s">
        <v>641</v>
      </c>
      <c r="C38" s="122" t="s">
        <v>928</v>
      </c>
      <c r="D38" s="641">
        <v>-859</v>
      </c>
    </row>
    <row r="39" spans="1:4" ht="15" customHeight="1">
      <c r="A39" s="125">
        <v>26</v>
      </c>
      <c r="B39" s="127" t="s">
        <v>641</v>
      </c>
      <c r="C39" s="122" t="s">
        <v>931</v>
      </c>
      <c r="D39" s="641">
        <v>-250</v>
      </c>
    </row>
    <row r="40" spans="1:4" ht="15">
      <c r="A40" s="125">
        <v>27</v>
      </c>
      <c r="B40" s="127" t="s">
        <v>641</v>
      </c>
      <c r="C40" s="122" t="s">
        <v>929</v>
      </c>
      <c r="D40" s="128">
        <v>720</v>
      </c>
    </row>
    <row r="41" spans="1:4" ht="30">
      <c r="A41" s="125">
        <v>28</v>
      </c>
      <c r="B41" s="127" t="s">
        <v>641</v>
      </c>
      <c r="C41" s="122" t="s">
        <v>930</v>
      </c>
      <c r="D41" s="128">
        <v>3517</v>
      </c>
    </row>
    <row r="42" spans="1:4" ht="15" customHeight="1">
      <c r="A42" s="125">
        <v>29</v>
      </c>
      <c r="B42" s="127" t="s">
        <v>641</v>
      </c>
      <c r="C42" s="122" t="s">
        <v>972</v>
      </c>
      <c r="D42" s="128">
        <v>10</v>
      </c>
    </row>
    <row r="43" spans="1:4" ht="15" customHeight="1">
      <c r="A43" s="125">
        <v>30</v>
      </c>
      <c r="B43" s="127" t="s">
        <v>641</v>
      </c>
      <c r="C43" s="122" t="s">
        <v>973</v>
      </c>
      <c r="D43" s="641">
        <v>-70</v>
      </c>
    </row>
    <row r="44" spans="1:4" ht="15" customHeight="1">
      <c r="A44" s="125">
        <v>31</v>
      </c>
      <c r="B44" s="127" t="s">
        <v>641</v>
      </c>
      <c r="C44" s="122" t="s">
        <v>976</v>
      </c>
      <c r="D44" s="641">
        <v>-350</v>
      </c>
    </row>
    <row r="45" spans="1:4" ht="15" customHeight="1">
      <c r="A45" s="125">
        <v>32</v>
      </c>
      <c r="B45" s="127" t="s">
        <v>641</v>
      </c>
      <c r="C45" s="122" t="s">
        <v>974</v>
      </c>
      <c r="D45" s="641">
        <v>-2250</v>
      </c>
    </row>
    <row r="46" spans="1:4" ht="15" customHeight="1">
      <c r="A46" s="125">
        <v>33</v>
      </c>
      <c r="B46" s="127" t="s">
        <v>641</v>
      </c>
      <c r="C46" s="122" t="s">
        <v>975</v>
      </c>
      <c r="D46" s="641">
        <v>-2250</v>
      </c>
    </row>
    <row r="47" spans="1:4" ht="15">
      <c r="A47" s="125">
        <v>34</v>
      </c>
      <c r="B47" s="127" t="s">
        <v>641</v>
      </c>
      <c r="C47" s="122" t="s">
        <v>979</v>
      </c>
      <c r="D47" s="641">
        <v>-6000</v>
      </c>
    </row>
    <row r="48" spans="1:4" ht="15" customHeight="1">
      <c r="A48" s="125">
        <v>35</v>
      </c>
      <c r="B48" s="127" t="s">
        <v>641</v>
      </c>
      <c r="C48" s="122" t="s">
        <v>986</v>
      </c>
      <c r="D48" s="128">
        <v>12783</v>
      </c>
    </row>
    <row r="49" spans="1:4" ht="15">
      <c r="A49" s="125">
        <v>36</v>
      </c>
      <c r="B49" s="127" t="s">
        <v>641</v>
      </c>
      <c r="C49" s="122" t="s">
        <v>987</v>
      </c>
      <c r="D49" s="641">
        <v>-1000</v>
      </c>
    </row>
    <row r="50" spans="1:4" ht="15">
      <c r="A50" s="125">
        <v>37</v>
      </c>
      <c r="B50" s="127" t="s">
        <v>641</v>
      </c>
      <c r="C50" s="122" t="s">
        <v>988</v>
      </c>
      <c r="D50" s="128">
        <v>410</v>
      </c>
    </row>
    <row r="51" spans="1:4" ht="15">
      <c r="A51" s="125">
        <v>38</v>
      </c>
      <c r="B51" s="127" t="s">
        <v>641</v>
      </c>
      <c r="C51" s="122" t="s">
        <v>1059</v>
      </c>
      <c r="D51" s="641">
        <v>-1204</v>
      </c>
    </row>
    <row r="52" spans="1:4" ht="15">
      <c r="A52" s="125">
        <v>39</v>
      </c>
      <c r="B52" s="127" t="s">
        <v>641</v>
      </c>
      <c r="C52" s="122" t="s">
        <v>1060</v>
      </c>
      <c r="D52" s="641">
        <v>-67</v>
      </c>
    </row>
    <row r="53" spans="1:4" ht="15">
      <c r="A53" s="125">
        <v>40</v>
      </c>
      <c r="B53" s="127" t="s">
        <v>641</v>
      </c>
      <c r="C53" s="122" t="s">
        <v>1061</v>
      </c>
      <c r="D53" s="641">
        <v>-8</v>
      </c>
    </row>
    <row r="54" spans="1:4" ht="15">
      <c r="A54" s="125">
        <v>41</v>
      </c>
      <c r="B54" s="127" t="s">
        <v>641</v>
      </c>
      <c r="C54" s="122" t="s">
        <v>1062</v>
      </c>
      <c r="D54" s="641">
        <v>-218</v>
      </c>
    </row>
    <row r="55" spans="1:4" ht="15">
      <c r="A55" s="125">
        <v>42</v>
      </c>
      <c r="B55" s="127" t="s">
        <v>641</v>
      </c>
      <c r="C55" s="122" t="s">
        <v>1057</v>
      </c>
      <c r="D55" s="641">
        <v>-360</v>
      </c>
    </row>
    <row r="56" spans="1:4" ht="15">
      <c r="A56" s="125">
        <v>43</v>
      </c>
      <c r="B56" s="127" t="s">
        <v>641</v>
      </c>
      <c r="C56" s="122" t="s">
        <v>1063</v>
      </c>
      <c r="D56" s="128">
        <v>63</v>
      </c>
    </row>
    <row r="57" spans="1:4" ht="15">
      <c r="A57" s="125">
        <v>44</v>
      </c>
      <c r="B57" s="127" t="s">
        <v>641</v>
      </c>
      <c r="C57" s="122" t="s">
        <v>1156</v>
      </c>
      <c r="D57" s="128">
        <v>5200</v>
      </c>
    </row>
    <row r="58" spans="1:4" ht="15">
      <c r="A58" s="125">
        <v>45</v>
      </c>
      <c r="B58" s="127" t="s">
        <v>641</v>
      </c>
      <c r="C58" s="122" t="s">
        <v>1157</v>
      </c>
      <c r="D58" s="641">
        <v>-156</v>
      </c>
    </row>
    <row r="59" spans="1:4" ht="15">
      <c r="A59" s="125">
        <v>46</v>
      </c>
      <c r="B59" s="127" t="s">
        <v>641</v>
      </c>
      <c r="C59" s="122" t="s">
        <v>1159</v>
      </c>
      <c r="D59" s="641">
        <v>-12125</v>
      </c>
    </row>
    <row r="60" spans="1:4" ht="15">
      <c r="A60" s="125">
        <v>47</v>
      </c>
      <c r="B60" s="127" t="s">
        <v>641</v>
      </c>
      <c r="C60" s="122" t="s">
        <v>1158</v>
      </c>
      <c r="D60" s="641">
        <v>-165</v>
      </c>
    </row>
    <row r="61" spans="1:4" ht="15" customHeight="1">
      <c r="A61" s="125">
        <v>48</v>
      </c>
      <c r="B61" s="127" t="s">
        <v>641</v>
      </c>
      <c r="C61" s="122" t="s">
        <v>1160</v>
      </c>
      <c r="D61" s="128">
        <v>2609</v>
      </c>
    </row>
    <row r="62" spans="1:4" ht="14.25" customHeight="1">
      <c r="A62" s="125">
        <v>49</v>
      </c>
      <c r="B62" s="127" t="s">
        <v>641</v>
      </c>
      <c r="C62" s="122" t="s">
        <v>1161</v>
      </c>
      <c r="D62" s="128">
        <v>882</v>
      </c>
    </row>
    <row r="63" spans="1:4" ht="15">
      <c r="A63" s="125">
        <v>50</v>
      </c>
      <c r="B63" s="127" t="s">
        <v>641</v>
      </c>
      <c r="C63" s="122" t="s">
        <v>1162</v>
      </c>
      <c r="D63" s="128">
        <v>1936</v>
      </c>
    </row>
    <row r="64" spans="1:4" ht="15.75" customHeight="1">
      <c r="A64" s="125">
        <v>51</v>
      </c>
      <c r="B64" s="127" t="s">
        <v>641</v>
      </c>
      <c r="C64" s="122" t="s">
        <v>1163</v>
      </c>
      <c r="D64" s="128">
        <v>231</v>
      </c>
    </row>
    <row r="65" spans="1:4" ht="15.75" customHeight="1">
      <c r="A65" s="125">
        <v>52</v>
      </c>
      <c r="B65" s="127" t="s">
        <v>641</v>
      </c>
      <c r="C65" s="122" t="s">
        <v>1164</v>
      </c>
      <c r="D65" s="641">
        <v>-277</v>
      </c>
    </row>
    <row r="66" spans="1:4" ht="15.75" customHeight="1">
      <c r="A66" s="125">
        <v>53</v>
      </c>
      <c r="B66" s="127" t="s">
        <v>641</v>
      </c>
      <c r="C66" s="122" t="s">
        <v>1165</v>
      </c>
      <c r="D66" s="128">
        <v>978</v>
      </c>
    </row>
    <row r="67" spans="1:4" ht="15.75" customHeight="1">
      <c r="A67" s="125">
        <v>54</v>
      </c>
      <c r="B67" s="127" t="s">
        <v>641</v>
      </c>
      <c r="C67" s="122" t="s">
        <v>1166</v>
      </c>
      <c r="D67" s="128">
        <f>6630+57</f>
        <v>6687</v>
      </c>
    </row>
    <row r="68" spans="1:4" ht="15">
      <c r="A68" s="125">
        <v>55</v>
      </c>
      <c r="B68" s="127" t="s">
        <v>641</v>
      </c>
      <c r="C68" s="122" t="s">
        <v>1167</v>
      </c>
      <c r="D68" s="641">
        <v>-2500</v>
      </c>
    </row>
    <row r="69" spans="1:4" ht="15">
      <c r="A69" s="125">
        <v>56</v>
      </c>
      <c r="B69" s="127" t="s">
        <v>641</v>
      </c>
      <c r="C69" s="122" t="s">
        <v>656</v>
      </c>
      <c r="D69" s="641">
        <v>-450</v>
      </c>
    </row>
    <row r="70" spans="1:4" ht="15">
      <c r="A70" s="125">
        <v>57</v>
      </c>
      <c r="B70" s="127" t="s">
        <v>641</v>
      </c>
      <c r="C70" s="122" t="s">
        <v>1168</v>
      </c>
      <c r="D70" s="641">
        <v>-2121</v>
      </c>
    </row>
    <row r="71" spans="1:4" s="87" customFormat="1" ht="15.75" customHeight="1">
      <c r="A71" s="125">
        <v>58</v>
      </c>
      <c r="B71" s="89" t="s">
        <v>554</v>
      </c>
      <c r="C71" s="89"/>
      <c r="D71" s="129">
        <f>SUM(D35:D70)</f>
        <v>729</v>
      </c>
    </row>
    <row r="72" spans="1:4" s="87" customFormat="1" ht="5.25" customHeight="1">
      <c r="A72" s="125"/>
      <c r="B72" s="89"/>
      <c r="C72" s="89"/>
      <c r="D72" s="129"/>
    </row>
    <row r="73" spans="1:4" s="87" customFormat="1" ht="25.5" customHeight="1">
      <c r="A73" s="125">
        <v>59</v>
      </c>
      <c r="B73" s="1149" t="s">
        <v>933</v>
      </c>
      <c r="C73" s="1149"/>
      <c r="D73" s="1149"/>
    </row>
    <row r="74" spans="1:4" s="87" customFormat="1" ht="15">
      <c r="A74" s="125">
        <v>60</v>
      </c>
      <c r="B74" s="127" t="s">
        <v>641</v>
      </c>
      <c r="C74" s="122" t="s">
        <v>971</v>
      </c>
      <c r="D74" s="128">
        <v>122146</v>
      </c>
    </row>
    <row r="75" spans="1:4" s="87" customFormat="1" ht="15" customHeight="1">
      <c r="A75" s="125">
        <v>61</v>
      </c>
      <c r="B75" s="127" t="s">
        <v>641</v>
      </c>
      <c r="C75" s="122" t="s">
        <v>978</v>
      </c>
      <c r="D75" s="641">
        <v>-882</v>
      </c>
    </row>
    <row r="76" spans="1:4" s="87" customFormat="1" ht="15">
      <c r="A76" s="125">
        <v>62</v>
      </c>
      <c r="B76" s="127" t="s">
        <v>641</v>
      </c>
      <c r="C76" s="122" t="s">
        <v>977</v>
      </c>
      <c r="D76" s="641">
        <v>-8489</v>
      </c>
    </row>
    <row r="77" spans="1:4" ht="15" customHeight="1">
      <c r="A77" s="125">
        <v>63</v>
      </c>
      <c r="B77" s="127" t="s">
        <v>641</v>
      </c>
      <c r="C77" s="122" t="s">
        <v>980</v>
      </c>
      <c r="D77" s="641">
        <f>-13962-447</f>
        <v>-14409</v>
      </c>
    </row>
    <row r="78" spans="1:4" ht="15" customHeight="1">
      <c r="A78" s="125">
        <v>64</v>
      </c>
      <c r="B78" s="127" t="s">
        <v>641</v>
      </c>
      <c r="C78" s="122" t="s">
        <v>1066</v>
      </c>
      <c r="D78" s="641">
        <v>-1052</v>
      </c>
    </row>
    <row r="79" spans="1:4" ht="15" customHeight="1">
      <c r="A79" s="125">
        <v>65</v>
      </c>
      <c r="B79" s="127" t="s">
        <v>641</v>
      </c>
      <c r="C79" s="122" t="s">
        <v>981</v>
      </c>
      <c r="D79" s="641">
        <v>-18</v>
      </c>
    </row>
    <row r="80" spans="1:4" ht="15">
      <c r="A80" s="125">
        <v>66</v>
      </c>
      <c r="B80" s="127" t="s">
        <v>641</v>
      </c>
      <c r="C80" s="122" t="s">
        <v>982</v>
      </c>
      <c r="D80" s="641">
        <f>-41870-714-146-3-7982-9122-2900-2611-4252-16238</f>
        <v>-85838</v>
      </c>
    </row>
    <row r="81" spans="1:4" ht="15">
      <c r="A81" s="125">
        <v>67</v>
      </c>
      <c r="B81" s="127" t="s">
        <v>641</v>
      </c>
      <c r="C81" s="122" t="s">
        <v>990</v>
      </c>
      <c r="D81" s="641">
        <v>-10330</v>
      </c>
    </row>
    <row r="82" spans="1:4" ht="15">
      <c r="A82" s="125">
        <v>68</v>
      </c>
      <c r="B82" s="127" t="s">
        <v>641</v>
      </c>
      <c r="C82" s="122" t="s">
        <v>1067</v>
      </c>
      <c r="D82" s="641">
        <v>-385</v>
      </c>
    </row>
    <row r="83" spans="1:4" ht="15">
      <c r="A83" s="125">
        <v>69</v>
      </c>
      <c r="B83" s="127" t="s">
        <v>641</v>
      </c>
      <c r="C83" s="122" t="s">
        <v>1068</v>
      </c>
      <c r="D83" s="641">
        <v>-594</v>
      </c>
    </row>
    <row r="84" spans="1:4" ht="15">
      <c r="A84" s="125">
        <v>70</v>
      </c>
      <c r="B84" s="127" t="s">
        <v>641</v>
      </c>
      <c r="C84" s="122" t="s">
        <v>1069</v>
      </c>
      <c r="D84" s="641">
        <v>-149</v>
      </c>
    </row>
    <row r="85" spans="1:4" ht="15.75" customHeight="1">
      <c r="A85" s="125">
        <v>71</v>
      </c>
      <c r="B85" s="89" t="s">
        <v>554</v>
      </c>
      <c r="C85" s="89"/>
      <c r="D85" s="129">
        <f>SUM(D74:D84)</f>
        <v>0</v>
      </c>
    </row>
    <row r="86" spans="1:4" s="87" customFormat="1" ht="5.25" customHeight="1">
      <c r="A86" s="131"/>
      <c r="B86" s="130"/>
      <c r="C86" s="130"/>
      <c r="D86" s="132"/>
    </row>
    <row r="87" spans="1:4" s="659" customFormat="1" ht="15.75" customHeight="1">
      <c r="A87" s="656">
        <v>72</v>
      </c>
      <c r="B87" s="657" t="s">
        <v>583</v>
      </c>
      <c r="C87" s="657"/>
      <c r="D87" s="658">
        <f>SUM(D85+D71+D32+D12)</f>
        <v>9271</v>
      </c>
    </row>
    <row r="88" spans="1:4" s="87" customFormat="1" ht="5.25" customHeight="1">
      <c r="A88" s="131"/>
      <c r="B88" s="130"/>
      <c r="C88" s="130"/>
      <c r="D88" s="132"/>
    </row>
    <row r="89" spans="1:4" s="87" customFormat="1" ht="25.5" customHeight="1">
      <c r="A89" s="125">
        <v>73</v>
      </c>
      <c r="B89" s="1149" t="s">
        <v>563</v>
      </c>
      <c r="C89" s="1149"/>
      <c r="D89" s="1149"/>
    </row>
    <row r="90" spans="1:4" s="87" customFormat="1" ht="32.25" customHeight="1">
      <c r="A90" s="125">
        <v>74</v>
      </c>
      <c r="B90" s="127" t="s">
        <v>641</v>
      </c>
      <c r="C90" s="122" t="s">
        <v>816</v>
      </c>
      <c r="D90" s="128">
        <f>195+170</f>
        <v>365</v>
      </c>
    </row>
    <row r="91" spans="1:4" s="87" customFormat="1" ht="15" customHeight="1">
      <c r="A91" s="125">
        <v>75</v>
      </c>
      <c r="B91" s="127" t="s">
        <v>641</v>
      </c>
      <c r="C91" s="122" t="s">
        <v>985</v>
      </c>
      <c r="D91" s="128">
        <v>4252</v>
      </c>
    </row>
    <row r="92" spans="1:4" s="87" customFormat="1" ht="15" customHeight="1">
      <c r="A92" s="125">
        <v>76</v>
      </c>
      <c r="B92" s="127"/>
      <c r="C92" s="122" t="s">
        <v>1169</v>
      </c>
      <c r="D92" s="641">
        <v>-357</v>
      </c>
    </row>
    <row r="93" spans="1:4" ht="15.75" customHeight="1">
      <c r="A93" s="125">
        <v>77</v>
      </c>
      <c r="B93" s="89" t="s">
        <v>554</v>
      </c>
      <c r="C93" s="89"/>
      <c r="D93" s="129">
        <f>SUM(D90:D92)</f>
        <v>4260</v>
      </c>
    </row>
    <row r="94" spans="1:4" s="87" customFormat="1" ht="5.25" customHeight="1">
      <c r="A94" s="125"/>
      <c r="B94" s="127"/>
      <c r="C94" s="122"/>
      <c r="D94" s="128"/>
    </row>
    <row r="95" spans="1:4" s="87" customFormat="1" ht="15" customHeight="1">
      <c r="A95" s="125">
        <v>78</v>
      </c>
      <c r="B95" s="127" t="s">
        <v>641</v>
      </c>
      <c r="C95" s="122" t="s">
        <v>824</v>
      </c>
      <c r="D95" s="129">
        <v>40540</v>
      </c>
    </row>
    <row r="96" spans="1:4" s="87" customFormat="1" ht="5.25" customHeight="1">
      <c r="A96" s="125"/>
      <c r="B96" s="127"/>
      <c r="C96" s="122"/>
      <c r="D96" s="128"/>
    </row>
    <row r="97" spans="1:4" s="659" customFormat="1" ht="15.75" customHeight="1">
      <c r="A97" s="656">
        <v>79</v>
      </c>
      <c r="B97" s="657" t="s">
        <v>584</v>
      </c>
      <c r="C97" s="657"/>
      <c r="D97" s="658">
        <f>SUM(D95+D93)</f>
        <v>44800</v>
      </c>
    </row>
    <row r="98" spans="1:4" s="87" customFormat="1" ht="5.25" customHeight="1">
      <c r="A98" s="131"/>
      <c r="B98" s="130"/>
      <c r="C98" s="130"/>
      <c r="D98" s="132"/>
    </row>
    <row r="99" spans="1:4" s="655" customFormat="1" ht="15.75" customHeight="1">
      <c r="A99" s="652">
        <v>80</v>
      </c>
      <c r="B99" s="653" t="s">
        <v>582</v>
      </c>
      <c r="C99" s="653"/>
      <c r="D99" s="654">
        <f>SUM(D97,D87)</f>
        <v>54071</v>
      </c>
    </row>
  </sheetData>
  <sheetProtection/>
  <mergeCells count="9">
    <mergeCell ref="A7:A8"/>
    <mergeCell ref="B89:D89"/>
    <mergeCell ref="B14:D14"/>
    <mergeCell ref="C1:D1"/>
    <mergeCell ref="B3:D3"/>
    <mergeCell ref="B7:C7"/>
    <mergeCell ref="B4:D4"/>
    <mergeCell ref="B8:C8"/>
    <mergeCell ref="B73:D7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63" r:id="rId1"/>
  <rowBreaks count="1" manualBreakCount="1"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5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867" bestFit="1" customWidth="1"/>
    <col min="2" max="2" width="14.625" style="868" customWidth="1"/>
    <col min="3" max="9" width="16.75390625" style="868" customWidth="1"/>
  </cols>
  <sheetData>
    <row r="1" ht="15.75">
      <c r="I1" s="869" t="s">
        <v>1201</v>
      </c>
    </row>
    <row r="3" spans="1:9" ht="29.25" customHeight="1">
      <c r="A3" s="1154" t="s">
        <v>1175</v>
      </c>
      <c r="B3" s="1155"/>
      <c r="C3" s="1155"/>
      <c r="D3" s="1155"/>
      <c r="E3" s="1155"/>
      <c r="F3" s="1155"/>
      <c r="G3" s="1155"/>
      <c r="H3" s="1155"/>
      <c r="I3" s="1155"/>
    </row>
    <row r="4" spans="2:9" ht="16.5" thickBot="1">
      <c r="B4" s="870"/>
      <c r="C4" s="870"/>
      <c r="D4" s="870"/>
      <c r="E4" s="870"/>
      <c r="F4" s="870"/>
      <c r="G4" s="870"/>
      <c r="H4" s="870"/>
      <c r="I4" s="870"/>
    </row>
    <row r="5" spans="1:9" ht="15.75">
      <c r="A5" s="1156" t="s">
        <v>632</v>
      </c>
      <c r="B5" s="1158" t="s">
        <v>1176</v>
      </c>
      <c r="C5" s="1158" t="s">
        <v>1177</v>
      </c>
      <c r="D5" s="1158"/>
      <c r="E5" s="1158"/>
      <c r="F5" s="1158"/>
      <c r="G5" s="1158"/>
      <c r="H5" s="1158"/>
      <c r="I5" s="1160" t="s">
        <v>621</v>
      </c>
    </row>
    <row r="6" spans="1:9" ht="102">
      <c r="A6" s="1157"/>
      <c r="B6" s="1159"/>
      <c r="C6" s="872" t="s">
        <v>1178</v>
      </c>
      <c r="D6" s="872" t="s">
        <v>1179</v>
      </c>
      <c r="E6" s="872" t="s">
        <v>1180</v>
      </c>
      <c r="F6" s="872" t="s">
        <v>1181</v>
      </c>
      <c r="G6" s="872" t="s">
        <v>1182</v>
      </c>
      <c r="H6" s="872" t="s">
        <v>1183</v>
      </c>
      <c r="I6" s="1161"/>
    </row>
    <row r="7" spans="1:9" ht="12.75">
      <c r="A7" s="1157"/>
      <c r="B7" s="873" t="s">
        <v>626</v>
      </c>
      <c r="C7" s="874" t="s">
        <v>627</v>
      </c>
      <c r="D7" s="874" t="s">
        <v>628</v>
      </c>
      <c r="E7" s="874" t="s">
        <v>629</v>
      </c>
      <c r="F7" s="874" t="s">
        <v>630</v>
      </c>
      <c r="G7" s="874" t="s">
        <v>631</v>
      </c>
      <c r="H7" s="874" t="s">
        <v>634</v>
      </c>
      <c r="I7" s="875" t="s">
        <v>635</v>
      </c>
    </row>
    <row r="8" spans="1:9" ht="15.75">
      <c r="A8" s="871">
        <v>1</v>
      </c>
      <c r="B8" s="876" t="s">
        <v>643</v>
      </c>
      <c r="C8" s="877">
        <v>148970</v>
      </c>
      <c r="D8" s="877">
        <f>16695+10000+17272+134</f>
        <v>44101</v>
      </c>
      <c r="E8" s="878">
        <v>487</v>
      </c>
      <c r="F8" s="878">
        <v>10</v>
      </c>
      <c r="G8" s="879">
        <v>11983</v>
      </c>
      <c r="H8" s="878">
        <v>0</v>
      </c>
      <c r="I8" s="880">
        <f aca="true" t="shared" si="0" ref="I8:I15">SUM(C8:H8)</f>
        <v>205551</v>
      </c>
    </row>
    <row r="9" spans="1:9" ht="15.75">
      <c r="A9" s="871">
        <v>2</v>
      </c>
      <c r="B9" s="876" t="s">
        <v>1184</v>
      </c>
      <c r="C9" s="881">
        <v>128500</v>
      </c>
      <c r="D9" s="878">
        <v>20000</v>
      </c>
      <c r="E9" s="878">
        <v>3000</v>
      </c>
      <c r="F9" s="878">
        <v>1000</v>
      </c>
      <c r="G9" s="881">
        <v>9500</v>
      </c>
      <c r="H9" s="878">
        <v>0</v>
      </c>
      <c r="I9" s="880">
        <f t="shared" si="0"/>
        <v>162000</v>
      </c>
    </row>
    <row r="10" spans="1:9" ht="15.75">
      <c r="A10" s="871">
        <v>3</v>
      </c>
      <c r="B10" s="876" t="s">
        <v>1185</v>
      </c>
      <c r="C10" s="881">
        <v>124800</v>
      </c>
      <c r="D10" s="878">
        <v>18000</v>
      </c>
      <c r="E10" s="878">
        <v>2800</v>
      </c>
      <c r="F10" s="878">
        <v>1000</v>
      </c>
      <c r="G10" s="881">
        <v>8000</v>
      </c>
      <c r="H10" s="878">
        <v>0</v>
      </c>
      <c r="I10" s="880">
        <f t="shared" si="0"/>
        <v>154600</v>
      </c>
    </row>
    <row r="11" spans="1:9" ht="15.75">
      <c r="A11" s="871">
        <v>4</v>
      </c>
      <c r="B11" s="876" t="s">
        <v>1186</v>
      </c>
      <c r="C11" s="881">
        <v>125000</v>
      </c>
      <c r="D11" s="878">
        <v>16000</v>
      </c>
      <c r="E11" s="878">
        <v>2600</v>
      </c>
      <c r="F11" s="878">
        <v>800</v>
      </c>
      <c r="G11" s="881">
        <v>8000</v>
      </c>
      <c r="H11" s="878">
        <v>0</v>
      </c>
      <c r="I11" s="880">
        <f t="shared" si="0"/>
        <v>152400</v>
      </c>
    </row>
    <row r="12" spans="1:9" ht="15.75">
      <c r="A12" s="871">
        <v>5</v>
      </c>
      <c r="B12" s="876" t="s">
        <v>1187</v>
      </c>
      <c r="C12" s="881">
        <v>125940</v>
      </c>
      <c r="D12" s="882">
        <v>6000</v>
      </c>
      <c r="E12" s="878">
        <v>2610</v>
      </c>
      <c r="F12" s="878">
        <v>200</v>
      </c>
      <c r="G12" s="881">
        <v>4000</v>
      </c>
      <c r="H12" s="878">
        <v>0</v>
      </c>
      <c r="I12" s="880">
        <f t="shared" si="0"/>
        <v>138750</v>
      </c>
    </row>
    <row r="13" spans="1:9" ht="15.75">
      <c r="A13" s="871">
        <v>6</v>
      </c>
      <c r="B13" s="876" t="s">
        <v>1188</v>
      </c>
      <c r="C13" s="881">
        <v>127035</v>
      </c>
      <c r="D13" s="882">
        <v>6000</v>
      </c>
      <c r="E13" s="878">
        <v>2640</v>
      </c>
      <c r="F13" s="878">
        <v>100</v>
      </c>
      <c r="G13" s="881">
        <v>3800</v>
      </c>
      <c r="H13" s="878">
        <v>0</v>
      </c>
      <c r="I13" s="880">
        <f t="shared" si="0"/>
        <v>139575</v>
      </c>
    </row>
    <row r="14" spans="1:9" ht="15.75">
      <c r="A14" s="871">
        <v>7</v>
      </c>
      <c r="B14" s="876" t="s">
        <v>1189</v>
      </c>
      <c r="C14" s="881">
        <v>128585</v>
      </c>
      <c r="D14" s="882">
        <v>6000</v>
      </c>
      <c r="E14" s="878">
        <v>2660</v>
      </c>
      <c r="F14" s="878">
        <v>100</v>
      </c>
      <c r="G14" s="881">
        <v>3500</v>
      </c>
      <c r="H14" s="878">
        <v>0</v>
      </c>
      <c r="I14" s="880">
        <f t="shared" si="0"/>
        <v>140845</v>
      </c>
    </row>
    <row r="15" spans="1:9" ht="15.75">
      <c r="A15" s="871">
        <v>8</v>
      </c>
      <c r="B15" s="876" t="s">
        <v>1190</v>
      </c>
      <c r="C15" s="881">
        <v>130615</v>
      </c>
      <c r="D15" s="882">
        <v>6000</v>
      </c>
      <c r="E15" s="878">
        <v>2710</v>
      </c>
      <c r="F15" s="878">
        <v>100</v>
      </c>
      <c r="G15" s="881">
        <v>3400</v>
      </c>
      <c r="H15" s="878">
        <v>0</v>
      </c>
      <c r="I15" s="880">
        <f t="shared" si="0"/>
        <v>142825</v>
      </c>
    </row>
  </sheetData>
  <sheetProtection/>
  <mergeCells count="5">
    <mergeCell ref="A3:I3"/>
    <mergeCell ref="A5:A7"/>
    <mergeCell ref="B5:B6"/>
    <mergeCell ref="C5:H5"/>
    <mergeCell ref="I5:I6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2015-12-11T07:32:25Z</cp:lastPrinted>
  <dcterms:created xsi:type="dcterms:W3CDTF">2001-11-30T10:27:10Z</dcterms:created>
  <dcterms:modified xsi:type="dcterms:W3CDTF">2015-12-11T07:32:32Z</dcterms:modified>
  <cp:category/>
  <cp:version/>
  <cp:contentType/>
  <cp:contentStatus/>
</cp:coreProperties>
</file>