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sztal\NJT\zárszámadás\"/>
    </mc:Choice>
  </mc:AlternateContent>
  <bookViews>
    <workbookView xWindow="0" yWindow="0" windowWidth="28770" windowHeight="11970"/>
  </bookViews>
  <sheets>
    <sheet name="5_melléklet" sheetId="1" r:id="rId1"/>
  </sheets>
  <externalReferences>
    <externalReference r:id="rId2"/>
    <externalReference r:id="rId3"/>
  </externalReferences>
  <definedNames>
    <definedName name="Excel_BuiltIn_Print_Titles_9">#REF!</definedName>
    <definedName name="melléklet">#REF!</definedName>
    <definedName name="Mérleg">#REF!</definedName>
    <definedName name="tizenkettő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02" i="1" l="1"/>
  <c r="E701" i="1"/>
  <c r="E700" i="1"/>
  <c r="D699" i="1"/>
  <c r="D704" i="1" s="1"/>
  <c r="E698" i="1"/>
  <c r="E697" i="1"/>
  <c r="C696" i="1"/>
  <c r="E696" i="1" s="1"/>
  <c r="B696" i="1"/>
  <c r="B703" i="1" s="1"/>
  <c r="E695" i="1"/>
  <c r="E694" i="1"/>
  <c r="E693" i="1"/>
  <c r="C693" i="1"/>
  <c r="C703" i="1" s="1"/>
  <c r="E703" i="1" s="1"/>
  <c r="D691" i="1"/>
  <c r="B691" i="1"/>
  <c r="B710" i="1" s="1"/>
  <c r="E690" i="1"/>
  <c r="C689" i="1"/>
  <c r="E689" i="1" s="1"/>
  <c r="D687" i="1"/>
  <c r="B687" i="1"/>
  <c r="B709" i="1" s="1"/>
  <c r="C686" i="1"/>
  <c r="E686" i="1" s="1"/>
  <c r="E685" i="1"/>
  <c r="E683" i="1"/>
  <c r="D677" i="1"/>
  <c r="C676" i="1"/>
  <c r="E676" i="1" s="1"/>
  <c r="B676" i="1"/>
  <c r="B677" i="1" s="1"/>
  <c r="E675" i="1"/>
  <c r="E674" i="1"/>
  <c r="D672" i="1"/>
  <c r="B672" i="1"/>
  <c r="C670" i="1"/>
  <c r="E670" i="1" s="1"/>
  <c r="E668" i="1"/>
  <c r="D668" i="1"/>
  <c r="D679" i="1" s="1"/>
  <c r="C668" i="1"/>
  <c r="B668" i="1"/>
  <c r="B679" i="1" s="1"/>
  <c r="E667" i="1"/>
  <c r="E666" i="1"/>
  <c r="E665" i="1"/>
  <c r="E664" i="1"/>
  <c r="E663" i="1"/>
  <c r="E661" i="1"/>
  <c r="E652" i="1"/>
  <c r="C651" i="1"/>
  <c r="E651" i="1" s="1"/>
  <c r="B651" i="1"/>
  <c r="D650" i="1"/>
  <c r="E650" i="1" s="1"/>
  <c r="E649" i="1"/>
  <c r="E648" i="1"/>
  <c r="E647" i="1"/>
  <c r="C646" i="1"/>
  <c r="E646" i="1" s="1"/>
  <c r="B646" i="1"/>
  <c r="E645" i="1"/>
  <c r="E644" i="1"/>
  <c r="E643" i="1"/>
  <c r="E640" i="1"/>
  <c r="D640" i="1"/>
  <c r="C640" i="1"/>
  <c r="B640" i="1"/>
  <c r="E639" i="1"/>
  <c r="E638" i="1"/>
  <c r="D636" i="1"/>
  <c r="E636" i="1" s="1"/>
  <c r="C636" i="1"/>
  <c r="B636" i="1"/>
  <c r="E635" i="1"/>
  <c r="E634" i="1"/>
  <c r="E632" i="1"/>
  <c r="C626" i="1"/>
  <c r="C628" i="1" s="1"/>
  <c r="C625" i="1"/>
  <c r="E625" i="1" s="1"/>
  <c r="B625" i="1"/>
  <c r="B626" i="1" s="1"/>
  <c r="B628" i="1" s="1"/>
  <c r="E623" i="1"/>
  <c r="D622" i="1"/>
  <c r="E622" i="1" s="1"/>
  <c r="D615" i="1"/>
  <c r="D612" i="1"/>
  <c r="D710" i="1" s="1"/>
  <c r="B612" i="1"/>
  <c r="E611" i="1"/>
  <c r="C610" i="1"/>
  <c r="E610" i="1" s="1"/>
  <c r="D608" i="1"/>
  <c r="D709" i="1" s="1"/>
  <c r="B608" i="1"/>
  <c r="B618" i="1" s="1"/>
  <c r="E607" i="1"/>
  <c r="E606" i="1"/>
  <c r="C606" i="1"/>
  <c r="C608" i="1" s="1"/>
  <c r="D588" i="1"/>
  <c r="D585" i="1"/>
  <c r="D582" i="1"/>
  <c r="D590" i="1" s="1"/>
  <c r="D574" i="1"/>
  <c r="B574" i="1"/>
  <c r="B575" i="1" s="1"/>
  <c r="E573" i="1"/>
  <c r="E572" i="1"/>
  <c r="D571" i="1"/>
  <c r="D575" i="1" s="1"/>
  <c r="E570" i="1"/>
  <c r="E569" i="1"/>
  <c r="C568" i="1"/>
  <c r="B568" i="1"/>
  <c r="E567" i="1"/>
  <c r="E566" i="1"/>
  <c r="E565" i="1"/>
  <c r="D563" i="1"/>
  <c r="E563" i="1" s="1"/>
  <c r="C563" i="1"/>
  <c r="B563" i="1"/>
  <c r="E562" i="1"/>
  <c r="E561" i="1"/>
  <c r="E560" i="1"/>
  <c r="E559" i="1"/>
  <c r="C559" i="1"/>
  <c r="D557" i="1"/>
  <c r="D577" i="1" s="1"/>
  <c r="B557" i="1"/>
  <c r="B577" i="1" s="1"/>
  <c r="C556" i="1"/>
  <c r="E556" i="1" s="1"/>
  <c r="E555" i="1"/>
  <c r="E554" i="1"/>
  <c r="E552" i="1"/>
  <c r="C551" i="1"/>
  <c r="C557" i="1" s="1"/>
  <c r="D544" i="1"/>
  <c r="C544" i="1"/>
  <c r="E544" i="1" s="1"/>
  <c r="B544" i="1"/>
  <c r="B545" i="1" s="1"/>
  <c r="E543" i="1"/>
  <c r="D542" i="1"/>
  <c r="D545" i="1" s="1"/>
  <c r="D540" i="1"/>
  <c r="B540" i="1"/>
  <c r="E539" i="1"/>
  <c r="E538" i="1"/>
  <c r="E537" i="1"/>
  <c r="C536" i="1"/>
  <c r="C540" i="1" s="1"/>
  <c r="E540" i="1" s="1"/>
  <c r="D534" i="1"/>
  <c r="B534" i="1"/>
  <c r="B547" i="1" s="1"/>
  <c r="E533" i="1"/>
  <c r="C533" i="1"/>
  <c r="C534" i="1" s="1"/>
  <c r="E532" i="1"/>
  <c r="E531" i="1"/>
  <c r="E530" i="1"/>
  <c r="D524" i="1"/>
  <c r="E524" i="1" s="1"/>
  <c r="C524" i="1"/>
  <c r="E523" i="1"/>
  <c r="E522" i="1"/>
  <c r="D521" i="1"/>
  <c r="E521" i="1" s="1"/>
  <c r="E520" i="1"/>
  <c r="E519" i="1"/>
  <c r="E518" i="1"/>
  <c r="E517" i="1"/>
  <c r="C517" i="1"/>
  <c r="C525" i="1" s="1"/>
  <c r="B517" i="1"/>
  <c r="E516" i="1"/>
  <c r="E515" i="1"/>
  <c r="E514" i="1"/>
  <c r="E513" i="1"/>
  <c r="D511" i="1"/>
  <c r="B511" i="1"/>
  <c r="E510" i="1"/>
  <c r="E509" i="1"/>
  <c r="E508" i="1"/>
  <c r="C507" i="1"/>
  <c r="C511" i="1" s="1"/>
  <c r="D505" i="1"/>
  <c r="B505" i="1"/>
  <c r="E504" i="1"/>
  <c r="C504" i="1"/>
  <c r="C505" i="1" s="1"/>
  <c r="E503" i="1"/>
  <c r="E502" i="1"/>
  <c r="E501" i="1"/>
  <c r="E500" i="1"/>
  <c r="D494" i="1"/>
  <c r="D496" i="1" s="1"/>
  <c r="C493" i="1"/>
  <c r="C494" i="1" s="1"/>
  <c r="C496" i="1" s="1"/>
  <c r="B493" i="1"/>
  <c r="B494" i="1" s="1"/>
  <c r="B496" i="1" s="1"/>
  <c r="D492" i="1"/>
  <c r="E492" i="1" s="1"/>
  <c r="D486" i="1"/>
  <c r="E484" i="1"/>
  <c r="E483" i="1"/>
  <c r="E482" i="1"/>
  <c r="D481" i="1"/>
  <c r="E481" i="1" s="1"/>
  <c r="E480" i="1"/>
  <c r="E479" i="1"/>
  <c r="C478" i="1"/>
  <c r="E478" i="1" s="1"/>
  <c r="B478" i="1"/>
  <c r="B485" i="1" s="1"/>
  <c r="E477" i="1"/>
  <c r="E476" i="1"/>
  <c r="C475" i="1"/>
  <c r="C485" i="1" s="1"/>
  <c r="E485" i="1" s="1"/>
  <c r="E474" i="1"/>
  <c r="D472" i="1"/>
  <c r="E472" i="1" s="1"/>
  <c r="C472" i="1"/>
  <c r="B472" i="1"/>
  <c r="E471" i="1"/>
  <c r="E470" i="1"/>
  <c r="E469" i="1"/>
  <c r="E468" i="1"/>
  <c r="C468" i="1"/>
  <c r="C466" i="1"/>
  <c r="B466" i="1"/>
  <c r="E465" i="1"/>
  <c r="D464" i="1"/>
  <c r="D466" i="1" s="1"/>
  <c r="C464" i="1"/>
  <c r="E462" i="1"/>
  <c r="E461" i="1"/>
  <c r="E460" i="1"/>
  <c r="C459" i="1"/>
  <c r="E459" i="1" s="1"/>
  <c r="D453" i="1"/>
  <c r="C452" i="1"/>
  <c r="E452" i="1" s="1"/>
  <c r="E450" i="1"/>
  <c r="E449" i="1"/>
  <c r="E448" i="1"/>
  <c r="D448" i="1"/>
  <c r="E447" i="1"/>
  <c r="E446" i="1"/>
  <c r="E445" i="1"/>
  <c r="C445" i="1"/>
  <c r="B445" i="1"/>
  <c r="B452" i="1" s="1"/>
  <c r="E444" i="1"/>
  <c r="E443" i="1"/>
  <c r="C442" i="1"/>
  <c r="C453" i="1" s="1"/>
  <c r="E441" i="1"/>
  <c r="D439" i="1"/>
  <c r="B439" i="1"/>
  <c r="E438" i="1"/>
  <c r="E437" i="1"/>
  <c r="E436" i="1"/>
  <c r="C435" i="1"/>
  <c r="E435" i="1" s="1"/>
  <c r="D433" i="1"/>
  <c r="D455" i="1" s="1"/>
  <c r="B433" i="1"/>
  <c r="E432" i="1"/>
  <c r="C431" i="1"/>
  <c r="E431" i="1" s="1"/>
  <c r="E430" i="1"/>
  <c r="E429" i="1"/>
  <c r="E428" i="1"/>
  <c r="C427" i="1"/>
  <c r="C433" i="1" s="1"/>
  <c r="D421" i="1"/>
  <c r="E421" i="1" s="1"/>
  <c r="C421" i="1"/>
  <c r="B421" i="1"/>
  <c r="C420" i="1"/>
  <c r="E420" i="1" s="1"/>
  <c r="B420" i="1"/>
  <c r="E419" i="1"/>
  <c r="D417" i="1"/>
  <c r="E417" i="1" s="1"/>
  <c r="C417" i="1"/>
  <c r="B417" i="1"/>
  <c r="B423" i="1" s="1"/>
  <c r="E416" i="1"/>
  <c r="E415" i="1"/>
  <c r="E414" i="1"/>
  <c r="E413" i="1"/>
  <c r="C413" i="1"/>
  <c r="D411" i="1"/>
  <c r="D423" i="1" s="1"/>
  <c r="B411" i="1"/>
  <c r="C410" i="1"/>
  <c r="E410" i="1" s="1"/>
  <c r="E409" i="1"/>
  <c r="E408" i="1"/>
  <c r="E407" i="1"/>
  <c r="C406" i="1"/>
  <c r="E406" i="1" s="1"/>
  <c r="B400" i="1"/>
  <c r="E399" i="1"/>
  <c r="E398" i="1"/>
  <c r="B398" i="1"/>
  <c r="E397" i="1"/>
  <c r="D397" i="1"/>
  <c r="E396" i="1"/>
  <c r="C395" i="1"/>
  <c r="E395" i="1" s="1"/>
  <c r="E394" i="1"/>
  <c r="D392" i="1"/>
  <c r="D400" i="1" s="1"/>
  <c r="E391" i="1"/>
  <c r="E390" i="1"/>
  <c r="E389" i="1"/>
  <c r="C388" i="1"/>
  <c r="C400" i="1" s="1"/>
  <c r="B388" i="1"/>
  <c r="E387" i="1"/>
  <c r="E386" i="1"/>
  <c r="E385" i="1"/>
  <c r="E384" i="1"/>
  <c r="D382" i="1"/>
  <c r="E382" i="1" s="1"/>
  <c r="C382" i="1"/>
  <c r="B382" i="1"/>
  <c r="E381" i="1"/>
  <c r="E380" i="1"/>
  <c r="E379" i="1"/>
  <c r="C379" i="1"/>
  <c r="D377" i="1"/>
  <c r="C377" i="1"/>
  <c r="C402" i="1" s="1"/>
  <c r="B377" i="1"/>
  <c r="B594" i="1" s="1"/>
  <c r="C376" i="1"/>
  <c r="E376" i="1" s="1"/>
  <c r="E375" i="1"/>
  <c r="E374" i="1"/>
  <c r="C374" i="1"/>
  <c r="E373" i="1"/>
  <c r="E372" i="1"/>
  <c r="C372" i="1"/>
  <c r="D366" i="1"/>
  <c r="D363" i="1"/>
  <c r="D368" i="1" s="1"/>
  <c r="C362" i="1"/>
  <c r="E362" i="1" s="1"/>
  <c r="B362" i="1"/>
  <c r="C361" i="1"/>
  <c r="C363" i="1" s="1"/>
  <c r="B361" i="1"/>
  <c r="B363" i="1" s="1"/>
  <c r="B595" i="1" s="1"/>
  <c r="D359" i="1"/>
  <c r="D594" i="1" s="1"/>
  <c r="C359" i="1"/>
  <c r="C368" i="1" s="1"/>
  <c r="B359" i="1"/>
  <c r="C358" i="1"/>
  <c r="E358" i="1" s="1"/>
  <c r="B358" i="1"/>
  <c r="E357" i="1"/>
  <c r="C357" i="1"/>
  <c r="B357" i="1"/>
  <c r="D342" i="1"/>
  <c r="E342" i="1" s="1"/>
  <c r="C342" i="1"/>
  <c r="B342" i="1"/>
  <c r="E341" i="1"/>
  <c r="D339" i="1"/>
  <c r="D343" i="1" s="1"/>
  <c r="C339" i="1"/>
  <c r="C343" i="1" s="1"/>
  <c r="B339" i="1"/>
  <c r="B343" i="1" s="1"/>
  <c r="D329" i="1"/>
  <c r="E329" i="1" s="1"/>
  <c r="C329" i="1"/>
  <c r="D328" i="1"/>
  <c r="C327" i="1"/>
  <c r="E327" i="1" s="1"/>
  <c r="E326" i="1"/>
  <c r="C326" i="1"/>
  <c r="D324" i="1"/>
  <c r="E323" i="1"/>
  <c r="C323" i="1"/>
  <c r="C322" i="1"/>
  <c r="E322" i="1" s="1"/>
  <c r="E319" i="1"/>
  <c r="C319" i="1"/>
  <c r="D318" i="1"/>
  <c r="E318" i="1" s="1"/>
  <c r="C318" i="1"/>
  <c r="D317" i="1"/>
  <c r="E317" i="1" s="1"/>
  <c r="C317" i="1"/>
  <c r="C320" i="1" s="1"/>
  <c r="D310" i="1"/>
  <c r="B310" i="1"/>
  <c r="B312" i="1" s="1"/>
  <c r="E309" i="1"/>
  <c r="C309" i="1"/>
  <c r="C310" i="1" s="1"/>
  <c r="E310" i="1" s="1"/>
  <c r="D307" i="1"/>
  <c r="D312" i="1" s="1"/>
  <c r="B307" i="1"/>
  <c r="E306" i="1"/>
  <c r="C305" i="1"/>
  <c r="E305" i="1" s="1"/>
  <c r="D299" i="1"/>
  <c r="E299" i="1" s="1"/>
  <c r="C299" i="1"/>
  <c r="B299" i="1"/>
  <c r="B301" i="1" s="1"/>
  <c r="E298" i="1"/>
  <c r="D296" i="1"/>
  <c r="D301" i="1" s="1"/>
  <c r="E301" i="1" s="1"/>
  <c r="C296" i="1"/>
  <c r="C301" i="1" s="1"/>
  <c r="B296" i="1"/>
  <c r="E295" i="1"/>
  <c r="D288" i="1"/>
  <c r="E288" i="1" s="1"/>
  <c r="C288" i="1"/>
  <c r="B288" i="1"/>
  <c r="E287" i="1"/>
  <c r="E285" i="1"/>
  <c r="D285" i="1"/>
  <c r="C285" i="1"/>
  <c r="C290" i="1" s="1"/>
  <c r="B285" i="1"/>
  <c r="B290" i="1" s="1"/>
  <c r="E284" i="1"/>
  <c r="E277" i="1"/>
  <c r="E276" i="1"/>
  <c r="B276" i="1"/>
  <c r="E275" i="1"/>
  <c r="C275" i="1"/>
  <c r="E274" i="1"/>
  <c r="D274" i="1"/>
  <c r="C273" i="1"/>
  <c r="E273" i="1" s="1"/>
  <c r="B273" i="1"/>
  <c r="E272" i="1"/>
  <c r="E271" i="1"/>
  <c r="E270" i="1"/>
  <c r="E269" i="1"/>
  <c r="D269" i="1"/>
  <c r="D278" i="1" s="1"/>
  <c r="E268" i="1"/>
  <c r="E267" i="1"/>
  <c r="E266" i="1"/>
  <c r="C266" i="1"/>
  <c r="C278" i="1" s="1"/>
  <c r="B266" i="1"/>
  <c r="B275" i="1" s="1"/>
  <c r="E265" i="1"/>
  <c r="E264" i="1"/>
  <c r="E263" i="1"/>
  <c r="E262" i="1"/>
  <c r="D260" i="1"/>
  <c r="D259" i="1"/>
  <c r="E259" i="1" s="1"/>
  <c r="E258" i="1"/>
  <c r="E257" i="1"/>
  <c r="C256" i="1"/>
  <c r="B256" i="1"/>
  <c r="B260" i="1" s="1"/>
  <c r="B347" i="1" s="1"/>
  <c r="D254" i="1"/>
  <c r="C254" i="1"/>
  <c r="E253" i="1"/>
  <c r="E252" i="1"/>
  <c r="E251" i="1"/>
  <c r="C251" i="1"/>
  <c r="B251" i="1"/>
  <c r="E250" i="1"/>
  <c r="E249" i="1"/>
  <c r="E248" i="1"/>
  <c r="C246" i="1"/>
  <c r="E246" i="1" s="1"/>
  <c r="B246" i="1"/>
  <c r="B254" i="1" s="1"/>
  <c r="B346" i="1" s="1"/>
  <c r="E235" i="1"/>
  <c r="E234" i="1"/>
  <c r="D233" i="1"/>
  <c r="D237" i="1" s="1"/>
  <c r="E232" i="1"/>
  <c r="E231" i="1"/>
  <c r="C230" i="1"/>
  <c r="C236" i="1" s="1"/>
  <c r="E236" i="1" s="1"/>
  <c r="B230" i="1"/>
  <c r="B236" i="1" s="1"/>
  <c r="E229" i="1"/>
  <c r="D218" i="1"/>
  <c r="C218" i="1"/>
  <c r="B218" i="1"/>
  <c r="D210" i="1"/>
  <c r="D212" i="1" s="1"/>
  <c r="C210" i="1"/>
  <c r="E210" i="1" s="1"/>
  <c r="E209" i="1"/>
  <c r="C209" i="1"/>
  <c r="B209" i="1"/>
  <c r="B210" i="1" s="1"/>
  <c r="B212" i="1" s="1"/>
  <c r="E208" i="1"/>
  <c r="D202" i="1"/>
  <c r="C202" i="1"/>
  <c r="E202" i="1" s="1"/>
  <c r="E201" i="1"/>
  <c r="C201" i="1"/>
  <c r="B201" i="1"/>
  <c r="E200" i="1"/>
  <c r="E199" i="1"/>
  <c r="C199" i="1"/>
  <c r="B199" i="1"/>
  <c r="C198" i="1"/>
  <c r="E198" i="1" s="1"/>
  <c r="E197" i="1"/>
  <c r="C197" i="1"/>
  <c r="B197" i="1"/>
  <c r="B198" i="1" s="1"/>
  <c r="E196" i="1"/>
  <c r="E195" i="1"/>
  <c r="E194" i="1"/>
  <c r="D192" i="1"/>
  <c r="C192" i="1"/>
  <c r="E192" i="1" s="1"/>
  <c r="B192" i="1"/>
  <c r="E191" i="1"/>
  <c r="E190" i="1"/>
  <c r="E189" i="1"/>
  <c r="C189" i="1"/>
  <c r="D187" i="1"/>
  <c r="D204" i="1" s="1"/>
  <c r="C187" i="1"/>
  <c r="E187" i="1" s="1"/>
  <c r="B187" i="1"/>
  <c r="E186" i="1"/>
  <c r="E185" i="1"/>
  <c r="E184" i="1"/>
  <c r="E183" i="1"/>
  <c r="E182" i="1"/>
  <c r="E181" i="1"/>
  <c r="C174" i="1"/>
  <c r="C176" i="1" s="1"/>
  <c r="E173" i="1"/>
  <c r="C173" i="1"/>
  <c r="E172" i="1"/>
  <c r="C172" i="1"/>
  <c r="E171" i="1"/>
  <c r="E170" i="1"/>
  <c r="C170" i="1"/>
  <c r="B170" i="1"/>
  <c r="E169" i="1"/>
  <c r="E168" i="1"/>
  <c r="C168" i="1"/>
  <c r="E167" i="1"/>
  <c r="D167" i="1"/>
  <c r="D174" i="1" s="1"/>
  <c r="E174" i="1" s="1"/>
  <c r="E166" i="1"/>
  <c r="C166" i="1"/>
  <c r="B166" i="1"/>
  <c r="E165" i="1"/>
  <c r="E164" i="1"/>
  <c r="C164" i="1"/>
  <c r="B164" i="1"/>
  <c r="B172" i="1" s="1"/>
  <c r="E163" i="1"/>
  <c r="E162" i="1"/>
  <c r="C162" i="1"/>
  <c r="E161" i="1"/>
  <c r="D159" i="1"/>
  <c r="E159" i="1" s="1"/>
  <c r="C159" i="1"/>
  <c r="B159" i="1"/>
  <c r="E158" i="1"/>
  <c r="E157" i="1"/>
  <c r="D155" i="1"/>
  <c r="E155" i="1" s="1"/>
  <c r="C155" i="1"/>
  <c r="B155" i="1"/>
  <c r="E154" i="1"/>
  <c r="E153" i="1"/>
  <c r="E152" i="1"/>
  <c r="E150" i="1"/>
  <c r="D144" i="1"/>
  <c r="E144" i="1" s="1"/>
  <c r="C144" i="1"/>
  <c r="C146" i="1" s="1"/>
  <c r="B144" i="1"/>
  <c r="B146" i="1" s="1"/>
  <c r="E143" i="1"/>
  <c r="E136" i="1"/>
  <c r="C136" i="1"/>
  <c r="B135" i="1"/>
  <c r="B137" i="1" s="1"/>
  <c r="B139" i="1" s="1"/>
  <c r="C134" i="1"/>
  <c r="E134" i="1" s="1"/>
  <c r="C133" i="1"/>
  <c r="E133" i="1" s="1"/>
  <c r="D132" i="1"/>
  <c r="D137" i="1" s="1"/>
  <c r="E131" i="1"/>
  <c r="E130" i="1"/>
  <c r="C129" i="1"/>
  <c r="C137" i="1" s="1"/>
  <c r="E128" i="1"/>
  <c r="E127" i="1"/>
  <c r="E126" i="1"/>
  <c r="E125" i="1"/>
  <c r="C125" i="1"/>
  <c r="E124" i="1"/>
  <c r="C124" i="1"/>
  <c r="C135" i="1" s="1"/>
  <c r="E135" i="1" s="1"/>
  <c r="D122" i="1"/>
  <c r="C122" i="1"/>
  <c r="E122" i="1" s="1"/>
  <c r="B122" i="1"/>
  <c r="E120" i="1"/>
  <c r="C120" i="1"/>
  <c r="E118" i="1"/>
  <c r="D118" i="1"/>
  <c r="D139" i="1" s="1"/>
  <c r="C118" i="1"/>
  <c r="B118" i="1"/>
  <c r="E117" i="1"/>
  <c r="E114" i="1"/>
  <c r="D105" i="1"/>
  <c r="D107" i="1" s="1"/>
  <c r="C105" i="1"/>
  <c r="E105" i="1" s="1"/>
  <c r="E104" i="1"/>
  <c r="C104" i="1"/>
  <c r="B104" i="1"/>
  <c r="B105" i="1" s="1"/>
  <c r="B107" i="1" s="1"/>
  <c r="E103" i="1"/>
  <c r="D96" i="1"/>
  <c r="E94" i="1"/>
  <c r="E93" i="1"/>
  <c r="C93" i="1"/>
  <c r="B93" i="1"/>
  <c r="B95" i="1" s="1"/>
  <c r="C92" i="1"/>
  <c r="C95" i="1" s="1"/>
  <c r="B92" i="1"/>
  <c r="B96" i="1" s="1"/>
  <c r="D90" i="1"/>
  <c r="B90" i="1"/>
  <c r="E89" i="1"/>
  <c r="C88" i="1"/>
  <c r="C90" i="1" s="1"/>
  <c r="E90" i="1" s="1"/>
  <c r="D86" i="1"/>
  <c r="D98" i="1" s="1"/>
  <c r="B86" i="1"/>
  <c r="E85" i="1"/>
  <c r="E83" i="1"/>
  <c r="C83" i="1"/>
  <c r="C86" i="1" s="1"/>
  <c r="E75" i="1"/>
  <c r="E74" i="1"/>
  <c r="D74" i="1"/>
  <c r="D77" i="1" s="1"/>
  <c r="E73" i="1"/>
  <c r="E72" i="1"/>
  <c r="E71" i="1"/>
  <c r="C71" i="1"/>
  <c r="C76" i="1" s="1"/>
  <c r="B71" i="1"/>
  <c r="B76" i="1" s="1"/>
  <c r="E70" i="1"/>
  <c r="D67" i="1"/>
  <c r="C67" i="1"/>
  <c r="E67" i="1" s="1"/>
  <c r="C66" i="1"/>
  <c r="E66" i="1" s="1"/>
  <c r="D64" i="1"/>
  <c r="C64" i="1"/>
  <c r="E62" i="1"/>
  <c r="C62" i="1"/>
  <c r="B51" i="1"/>
  <c r="D50" i="1"/>
  <c r="E50" i="1" s="1"/>
  <c r="E49" i="1"/>
  <c r="E48" i="1"/>
  <c r="C47" i="1"/>
  <c r="B47" i="1"/>
  <c r="B52" i="1" s="1"/>
  <c r="B54" i="1" s="1"/>
  <c r="E40" i="1"/>
  <c r="C39" i="1"/>
  <c r="E39" i="1" s="1"/>
  <c r="E38" i="1"/>
  <c r="E37" i="1"/>
  <c r="E36" i="1"/>
  <c r="D35" i="1"/>
  <c r="D41" i="1" s="1"/>
  <c r="E34" i="1"/>
  <c r="E33" i="1"/>
  <c r="C32" i="1"/>
  <c r="E32" i="1" s="1"/>
  <c r="B32" i="1"/>
  <c r="E31" i="1"/>
  <c r="E30" i="1"/>
  <c r="E29" i="1"/>
  <c r="E28" i="1"/>
  <c r="E26" i="1"/>
  <c r="D26" i="1"/>
  <c r="D216" i="1" s="1"/>
  <c r="E216" i="1" s="1"/>
  <c r="C26" i="1"/>
  <c r="C216" i="1" s="1"/>
  <c r="B26" i="1"/>
  <c r="B216" i="1" s="1"/>
  <c r="E25" i="1"/>
  <c r="D23" i="1"/>
  <c r="D215" i="1" s="1"/>
  <c r="C23" i="1"/>
  <c r="B23" i="1"/>
  <c r="B215" i="1" s="1"/>
  <c r="E22" i="1"/>
  <c r="E21" i="1"/>
  <c r="D15" i="1"/>
  <c r="B15" i="1"/>
  <c r="B17" i="1" s="1"/>
  <c r="C14" i="1"/>
  <c r="E14" i="1" s="1"/>
  <c r="B14" i="1"/>
  <c r="E13" i="1"/>
  <c r="C12" i="1"/>
  <c r="E12" i="1" s="1"/>
  <c r="B12" i="1"/>
  <c r="C215" i="1" l="1"/>
  <c r="E76" i="1"/>
  <c r="C77" i="1"/>
  <c r="E77" i="1"/>
  <c r="C139" i="1"/>
  <c r="E139" i="1" s="1"/>
  <c r="B174" i="1"/>
  <c r="B176" i="1" s="1"/>
  <c r="E215" i="1"/>
  <c r="E95" i="1"/>
  <c r="C96" i="1"/>
  <c r="E96" i="1" s="1"/>
  <c r="D79" i="1"/>
  <c r="E79" i="1" s="1"/>
  <c r="B98" i="1"/>
  <c r="E137" i="1"/>
  <c r="E41" i="1"/>
  <c r="C15" i="1"/>
  <c r="E23" i="1"/>
  <c r="E35" i="1"/>
  <c r="B39" i="1"/>
  <c r="B41" i="1" s="1"/>
  <c r="C51" i="1"/>
  <c r="E51" i="1" s="1"/>
  <c r="D52" i="1"/>
  <c r="B77" i="1"/>
  <c r="B79" i="1" s="1"/>
  <c r="E88" i="1"/>
  <c r="E92" i="1"/>
  <c r="E129" i="1"/>
  <c r="E132" i="1"/>
  <c r="D176" i="1"/>
  <c r="E176" i="1" s="1"/>
  <c r="B202" i="1"/>
  <c r="B204" i="1" s="1"/>
  <c r="B368" i="1"/>
  <c r="D488" i="1"/>
  <c r="E466" i="1"/>
  <c r="E496" i="1"/>
  <c r="D547" i="1"/>
  <c r="D706" i="1"/>
  <c r="D17" i="1"/>
  <c r="C41" i="1"/>
  <c r="C43" i="1"/>
  <c r="C79" i="1"/>
  <c r="C107" i="1"/>
  <c r="E107" i="1" s="1"/>
  <c r="D146" i="1"/>
  <c r="E146" i="1" s="1"/>
  <c r="C204" i="1"/>
  <c r="E204" i="1" s="1"/>
  <c r="C212" i="1"/>
  <c r="E212" i="1" s="1"/>
  <c r="E278" i="1"/>
  <c r="C526" i="1"/>
  <c r="E505" i="1"/>
  <c r="E534" i="1"/>
  <c r="E672" i="1"/>
  <c r="D43" i="1"/>
  <c r="E43" i="1" s="1"/>
  <c r="E47" i="1"/>
  <c r="E64" i="1"/>
  <c r="E86" i="1"/>
  <c r="E218" i="1"/>
  <c r="D348" i="1"/>
  <c r="D239" i="1"/>
  <c r="B237" i="1"/>
  <c r="B278" i="1"/>
  <c r="B280" i="1" s="1"/>
  <c r="E343" i="1"/>
  <c r="D402" i="1"/>
  <c r="E402" i="1" s="1"/>
  <c r="C455" i="1"/>
  <c r="E455" i="1" s="1"/>
  <c r="E453" i="1"/>
  <c r="E511" i="1"/>
  <c r="C709" i="1"/>
  <c r="E709" i="1" s="1"/>
  <c r="E608" i="1"/>
  <c r="C260" i="1"/>
  <c r="E256" i="1"/>
  <c r="D347" i="1"/>
  <c r="E260" i="1"/>
  <c r="E368" i="1"/>
  <c r="E400" i="1"/>
  <c r="E687" i="1"/>
  <c r="C237" i="1"/>
  <c r="D280" i="1"/>
  <c r="E296" i="1"/>
  <c r="D320" i="1"/>
  <c r="E361" i="1"/>
  <c r="E377" i="1"/>
  <c r="E392" i="1"/>
  <c r="C439" i="1"/>
  <c r="E439" i="1" s="1"/>
  <c r="B453" i="1"/>
  <c r="B455" i="1" s="1"/>
  <c r="E475" i="1"/>
  <c r="B486" i="1"/>
  <c r="B488" i="1" s="1"/>
  <c r="E493" i="1"/>
  <c r="E494" i="1"/>
  <c r="E507" i="1"/>
  <c r="D525" i="1"/>
  <c r="E525" i="1" s="1"/>
  <c r="E536" i="1"/>
  <c r="C545" i="1"/>
  <c r="C547" i="1" s="1"/>
  <c r="E551" i="1"/>
  <c r="E568" i="1"/>
  <c r="E571" i="1"/>
  <c r="C574" i="1"/>
  <c r="C575" i="1" s="1"/>
  <c r="D618" i="1"/>
  <c r="B653" i="1"/>
  <c r="B655" i="1" s="1"/>
  <c r="B657" i="1" s="1"/>
  <c r="C655" i="1"/>
  <c r="C657" i="1" s="1"/>
  <c r="C672" i="1"/>
  <c r="C679" i="1" s="1"/>
  <c r="E679" i="1" s="1"/>
  <c r="C691" i="1"/>
  <c r="E691" i="1" s="1"/>
  <c r="B704" i="1"/>
  <c r="B706" i="1"/>
  <c r="E230" i="1"/>
  <c r="E233" i="1"/>
  <c r="E254" i="1"/>
  <c r="E359" i="1"/>
  <c r="E433" i="1"/>
  <c r="E442" i="1"/>
  <c r="C486" i="1"/>
  <c r="E486" i="1" s="1"/>
  <c r="E542" i="1"/>
  <c r="E557" i="1"/>
  <c r="D595" i="1"/>
  <c r="C653" i="1"/>
  <c r="E653" i="1" s="1"/>
  <c r="D655" i="1"/>
  <c r="E655" i="1" s="1"/>
  <c r="C677" i="1"/>
  <c r="E677" i="1" s="1"/>
  <c r="C687" i="1"/>
  <c r="E699" i="1"/>
  <c r="C704" i="1"/>
  <c r="D290" i="1"/>
  <c r="E290" i="1" s="1"/>
  <c r="C307" i="1"/>
  <c r="C312" i="1" s="1"/>
  <c r="E312" i="1" s="1"/>
  <c r="C324" i="1"/>
  <c r="C331" i="1" s="1"/>
  <c r="B402" i="1"/>
  <c r="C411" i="1"/>
  <c r="C423" i="1" s="1"/>
  <c r="E423" i="1" s="1"/>
  <c r="B524" i="1"/>
  <c r="B525" i="1" s="1"/>
  <c r="C612" i="1"/>
  <c r="C618" i="1" s="1"/>
  <c r="D626" i="1"/>
  <c r="E363" i="1"/>
  <c r="E388" i="1"/>
  <c r="E427" i="1"/>
  <c r="E464" i="1"/>
  <c r="C577" i="1" l="1"/>
  <c r="E577" i="1" s="1"/>
  <c r="E575" i="1"/>
  <c r="B217" i="1"/>
  <c r="B219" i="1" s="1"/>
  <c r="B43" i="1"/>
  <c r="B596" i="1"/>
  <c r="B597" i="1" s="1"/>
  <c r="B526" i="1"/>
  <c r="E595" i="1"/>
  <c r="E618" i="1"/>
  <c r="E411" i="1"/>
  <c r="D331" i="1"/>
  <c r="E331" i="1" s="1"/>
  <c r="E320" i="1"/>
  <c r="E626" i="1"/>
  <c r="D628" i="1"/>
  <c r="E628" i="1" s="1"/>
  <c r="C711" i="1"/>
  <c r="D657" i="1"/>
  <c r="E657" i="1" s="1"/>
  <c r="C594" i="1"/>
  <c r="E307" i="1"/>
  <c r="C347" i="1"/>
  <c r="E324" i="1"/>
  <c r="E706" i="1"/>
  <c r="D526" i="1"/>
  <c r="E526" i="1" s="1"/>
  <c r="C98" i="1"/>
  <c r="E98" i="1" s="1"/>
  <c r="C52" i="1"/>
  <c r="C54" i="1" s="1"/>
  <c r="D596" i="1"/>
  <c r="D597" i="1" s="1"/>
  <c r="E574" i="1"/>
  <c r="D711" i="1"/>
  <c r="C17" i="1"/>
  <c r="E17" i="1" s="1"/>
  <c r="C710" i="1"/>
  <c r="E710" i="1" s="1"/>
  <c r="E612" i="1"/>
  <c r="C706" i="1"/>
  <c r="B711" i="1"/>
  <c r="B712" i="1" s="1"/>
  <c r="C488" i="1"/>
  <c r="E488" i="1" s="1"/>
  <c r="C596" i="1"/>
  <c r="E347" i="1"/>
  <c r="B348" i="1"/>
  <c r="B349" i="1" s="1"/>
  <c r="B239" i="1"/>
  <c r="E15" i="1"/>
  <c r="C280" i="1"/>
  <c r="E280" i="1" s="1"/>
  <c r="E704" i="1"/>
  <c r="C346" i="1"/>
  <c r="C349" i="1" s="1"/>
  <c r="C348" i="1"/>
  <c r="E348" i="1" s="1"/>
  <c r="C239" i="1"/>
  <c r="E237" i="1"/>
  <c r="E545" i="1"/>
  <c r="C712" i="1"/>
  <c r="E239" i="1"/>
  <c r="D346" i="1"/>
  <c r="E547" i="1"/>
  <c r="C595" i="1"/>
  <c r="E52" i="1"/>
  <c r="D54" i="1"/>
  <c r="D217" i="1"/>
  <c r="C597" i="1" l="1"/>
  <c r="E597" i="1" s="1"/>
  <c r="E594" i="1"/>
  <c r="D219" i="1"/>
  <c r="E54" i="1"/>
  <c r="C217" i="1"/>
  <c r="C219" i="1" s="1"/>
  <c r="E596" i="1"/>
  <c r="E346" i="1"/>
  <c r="D349" i="1"/>
  <c r="E349" i="1" s="1"/>
  <c r="E711" i="1"/>
  <c r="D712" i="1"/>
  <c r="E712" i="1" s="1"/>
  <c r="E217" i="1" l="1"/>
  <c r="E219" i="1"/>
</calcChain>
</file>

<file path=xl/sharedStrings.xml><?xml version="1.0" encoding="utf-8"?>
<sst xmlns="http://schemas.openxmlformats.org/spreadsheetml/2006/main" count="538" uniqueCount="119">
  <si>
    <t>2019. évi működési kiadások (adatok Ft-ban)</t>
  </si>
  <si>
    <t>NAGYSZÉNÁS NAGYKÖZSÉG ÖNKORMÁNYZATA</t>
  </si>
  <si>
    <t>Kötelező önkormányzati feladatok</t>
  </si>
  <si>
    <t xml:space="preserve">Ft-ban </t>
  </si>
  <si>
    <t>Eredeti</t>
  </si>
  <si>
    <t>Módosított</t>
  </si>
  <si>
    <t>Teljesítés</t>
  </si>
  <si>
    <t>Telj %-a</t>
  </si>
  <si>
    <t>064010 Közvilágítás</t>
  </si>
  <si>
    <t>Közüzemi díjak</t>
  </si>
  <si>
    <t xml:space="preserve"> ebből: villamosenergia díjak</t>
  </si>
  <si>
    <t>Működési célú előzetesen felszámított általános forgalmi adó</t>
  </si>
  <si>
    <t>DOLOGI  KIADÁSOK ÖSSZESEN:</t>
  </si>
  <si>
    <t>KORMÁNYFUNKCIÓ ÖSSZESEN:</t>
  </si>
  <si>
    <t>072111 Házi orvosi alapellátás</t>
  </si>
  <si>
    <t>Törvény szerinti illetmények</t>
  </si>
  <si>
    <t>Nem saját foglalkoztatottak juttatásai</t>
  </si>
  <si>
    <t>SZEMÉLYI JUTTATÁSOK ÖSSZESEN:</t>
  </si>
  <si>
    <t>Szociális hozzájárulási adó</t>
  </si>
  <si>
    <t>MUNKAADÓKAT TERHELŐ JÁRULÉKOK ÖSSZESEN:</t>
  </si>
  <si>
    <t>Szakmai anyagok beszerzése</t>
  </si>
  <si>
    <t>Üzemeltetési anyagok beszerzése</t>
  </si>
  <si>
    <t>Informatikai szolgáltatások igénybevétele</t>
  </si>
  <si>
    <t>Egyéb kommunikációs szolgáltatások</t>
  </si>
  <si>
    <t>ebből: gázenergia díjak</t>
  </si>
  <si>
    <t xml:space="preserve">         villamosenergia díjak</t>
  </si>
  <si>
    <t xml:space="preserve">         víz- és csatornadíj</t>
  </si>
  <si>
    <t>Karbantartás, kisjavítás</t>
  </si>
  <si>
    <t>Szakmai tevékenységet segítő szolgáltatások</t>
  </si>
  <si>
    <t>Egyéb szolgáltatások</t>
  </si>
  <si>
    <t>Egyéb dologi kiadások</t>
  </si>
  <si>
    <t>072311 Fogorvosi alapellátás</t>
  </si>
  <si>
    <t>041233  Hosszabb időtartamú közfoglalkoztatás</t>
  </si>
  <si>
    <t>Törvény szerinti illetmények (4 fő)</t>
  </si>
  <si>
    <t>Foglalkoztatottak egyéb személyi juttatásai</t>
  </si>
  <si>
    <t xml:space="preserve">         vízdíj</t>
  </si>
  <si>
    <t>041237  Startmunka program</t>
  </si>
  <si>
    <t>Törvény szerinti illetmények (30 fő)</t>
  </si>
  <si>
    <t>Céljuttatás, projekt prémium</t>
  </si>
  <si>
    <t>Táppénzhozzájárulás</t>
  </si>
  <si>
    <t>Vásárolt élelmezés</t>
  </si>
  <si>
    <t>104037 Intézményen kívüli gyermekétkeztetés</t>
  </si>
  <si>
    <t>Önként vállalt önkormányzati feladatok</t>
  </si>
  <si>
    <t xml:space="preserve">066020 Város-, és községgazdálkodási egyéb szolgáltatások </t>
  </si>
  <si>
    <t>Törvény szerinti illetmények (6 fő)</t>
  </si>
  <si>
    <t>Bérleti és lízingdíjak</t>
  </si>
  <si>
    <t>063080 Vízellátással kapcsolatos közmű építése, fenntartása, üzemeltetése</t>
  </si>
  <si>
    <t>Egyéb dologi kiadások (víziközművek biztosítása)</t>
  </si>
  <si>
    <t>081061 Szabadidős park, fürdő és strandszolgáltatás (termálhő szolgáltatása)</t>
  </si>
  <si>
    <t>Törvény szerinti illetmények (14 fő + 2 fő szezonális alk.)</t>
  </si>
  <si>
    <t>Közlekedési költségtérítés</t>
  </si>
  <si>
    <t>Reklám és propaganda kiadások</t>
  </si>
  <si>
    <t>Államigazgatási feladatok</t>
  </si>
  <si>
    <t>011130 Önkormányzatok és  önkormányzati hivatalok jogalkotó és általános igazgatási tevékenysége</t>
  </si>
  <si>
    <t>Törvény szerinti illetmények (diákmunkások.)</t>
  </si>
  <si>
    <t>Béren kívüli juttatások</t>
  </si>
  <si>
    <t>Egyéb költségtérítések</t>
  </si>
  <si>
    <t>Választott tisztségviselők juttatásai</t>
  </si>
  <si>
    <t>Egyéb külső személyi juttatások</t>
  </si>
  <si>
    <t>Egészségügyi hozzájárulás</t>
  </si>
  <si>
    <t>Munkadókat terhelő egyéb járulék kötelezettségek</t>
  </si>
  <si>
    <t>Fizetendő általános forgalmi adó</t>
  </si>
  <si>
    <t>Kamatkiadások</t>
  </si>
  <si>
    <t>107060 Egyéb szociális pénzbeli és természetbeni ellátások, támogatások</t>
  </si>
  <si>
    <t>Üzemeltetési  anyagok beszerzése (téli rezsi csökkentés fűtőanyag)</t>
  </si>
  <si>
    <t>DOLOGI KIADÁSOK ÖSSZESEN:</t>
  </si>
  <si>
    <t>PÉNZESZKÖZ ÁTADÁS, EGYÉB TÁMOGATÁS:</t>
  </si>
  <si>
    <r>
      <t xml:space="preserve">NAGYSZÉNÁS NAGYKÖZSÉG ÖNKORMÁNYZATA ÖSSZESEN:      (polgármester, 14 fő MT szerinti alkalmazott,  2 fő alkalmazozott 4 hónapra,   30  </t>
    </r>
    <r>
      <rPr>
        <b/>
        <u/>
        <sz val="8"/>
        <rFont val="Arial CE"/>
        <charset val="238"/>
      </rPr>
      <t xml:space="preserve">fő támogatott fogl. </t>
    </r>
  </si>
  <si>
    <t>POLGÁRMESTERI HIVATAL</t>
  </si>
  <si>
    <t>066020 Város- és községgazdálkodási egyéb szolgáltatások</t>
  </si>
  <si>
    <t>Törvény szerinti illetmények (20 fő és  1 fő támogatott foglalkoztatott időszakosan)</t>
  </si>
  <si>
    <t>Reprezentáció</t>
  </si>
  <si>
    <t>ebből: termálhő díja</t>
  </si>
  <si>
    <t>Közvetített szolgáltatások</t>
  </si>
  <si>
    <t>091220 Iskola működtetés</t>
  </si>
  <si>
    <t xml:space="preserve">104031 Gyermekek bölcsődei ellátása </t>
  </si>
  <si>
    <t xml:space="preserve">041233  Hosszabb időtartamú közfoglalkoztatás </t>
  </si>
  <si>
    <t>Törvény szerinti illetmények (1 fő támogatott foglalkoztatott időszakosan)</t>
  </si>
  <si>
    <t>016010 Országgyűlési, önkormányzati, európai parlamenti választások lebonyolítása</t>
  </si>
  <si>
    <t>Egyéb dologi kiadás</t>
  </si>
  <si>
    <t>096015 Gyermekétkeztetés köznevelési intéményben</t>
  </si>
  <si>
    <r>
      <t>POLGÁRMESTERI HIVATAL ÖSSZESEN: (18 fő köztiszt.,  2</t>
    </r>
    <r>
      <rPr>
        <b/>
        <u/>
        <sz val="8"/>
        <rFont val="Arial CE"/>
        <charset val="238"/>
      </rPr>
      <t xml:space="preserve"> fő MT</t>
    </r>
    <r>
      <rPr>
        <b/>
        <u/>
        <sz val="8"/>
        <rFont val="Arial CE"/>
        <family val="2"/>
        <charset val="238"/>
      </rPr>
      <t>. alkalmazott, 2 fő támogatott foglalkoztatott időszakosan)</t>
    </r>
  </si>
  <si>
    <t>GONDOZÁSI KÖZPONT</t>
  </si>
  <si>
    <t>041233  Hosszabb időtartamú közfoglalkoztatás + GINOP + Megváltozott munkaképességűek foglalkoztatása</t>
  </si>
  <si>
    <t>Törvény szerinti illetmények (23 fő támogatott foglalkoztatott)</t>
  </si>
  <si>
    <t>074031 Család és nővédelmi egészségügyi gondozás</t>
  </si>
  <si>
    <t>Törvény szerinti illetmények (2 fő)</t>
  </si>
  <si>
    <t>Céljuttatás, projektprémium</t>
  </si>
  <si>
    <t>Jubileumi jutalom</t>
  </si>
  <si>
    <t xml:space="preserve">          termálhő</t>
  </si>
  <si>
    <t>074032 Ifjúság-egészségügyi gondozás</t>
  </si>
  <si>
    <t>Törvény szerinti illetmények (1 fő)</t>
  </si>
  <si>
    <t>102031 Idősek nappali ellátása</t>
  </si>
  <si>
    <t>Szociális gondozó</t>
  </si>
  <si>
    <t>Szakmai szolgáltatások</t>
  </si>
  <si>
    <t>Törvény szerinti illetmények (9 fő)</t>
  </si>
  <si>
    <t>104035 Gyermekétkezetés bölcsődében</t>
  </si>
  <si>
    <t>104042 Család- és gyermekjóléti szolgáltatások</t>
  </si>
  <si>
    <t>Törvény szerinti illetmények (2 fő + 1 fő félévtől)</t>
  </si>
  <si>
    <t xml:space="preserve">          távhő</t>
  </si>
  <si>
    <t>107051 Szociális étkeztetés</t>
  </si>
  <si>
    <t>Törvény szerinti illetmények (1 fő + 1 fő részmunkaidős)</t>
  </si>
  <si>
    <t>107052 Házi segítségnyújtás</t>
  </si>
  <si>
    <t>Törvény szerinti illetmények (12 fő)</t>
  </si>
  <si>
    <t>Készenléti, helyettesítési díj</t>
  </si>
  <si>
    <r>
      <t xml:space="preserve">GONDOZÁSI KÖZPONT ÖSSZESEN: ( 33 fő közalk. + 1 fő részm. közalk. + 1 fő közalkalmazott 2019.07.01.-től + 23 </t>
    </r>
    <r>
      <rPr>
        <b/>
        <sz val="8"/>
        <rFont val="Arial CE"/>
        <charset val="238"/>
      </rPr>
      <t>fő közcélú foglalkoztatott időszakosan</t>
    </r>
    <r>
      <rPr>
        <b/>
        <sz val="8"/>
        <rFont val="Arial CE"/>
        <family val="2"/>
        <charset val="238"/>
      </rPr>
      <t xml:space="preserve">) </t>
    </r>
  </si>
  <si>
    <t>NAGYSZÉNÁSI ÖNKORMÁNYZATI ÓVODA ÉS KÖNYVTÁR</t>
  </si>
  <si>
    <t>Törvény szerinti illetmények (4 fő időszakosan)</t>
  </si>
  <si>
    <t>096015 Gyermekétkeztetés köznevelési intézményekben</t>
  </si>
  <si>
    <t>Vásárolt élelmezés-Óvoda</t>
  </si>
  <si>
    <t>Vásárolt élelmezés-Iskola</t>
  </si>
  <si>
    <t>091140  Óvodai nevelés, ellátás működtetési feladatai</t>
  </si>
  <si>
    <t xml:space="preserve">         termálhő díja</t>
  </si>
  <si>
    <t>091110  Óvodai nevelés, ellátás szakmai feladatai</t>
  </si>
  <si>
    <t>Törvény szerinti illetmények  (13 fő)</t>
  </si>
  <si>
    <t>Táppénz hozzájárulás kiadásai</t>
  </si>
  <si>
    <t>082042 Könyvtári állomány gyarapítása, nyilvántartása</t>
  </si>
  <si>
    <r>
      <t xml:space="preserve">NAGYSZÉNÁSI ÖNKORMÁNYZATI ÓVODA ÉS KÖNYVTÁR  ÖSSZESEN: (20 fő közalk. + 1 fő részm. alk. +  4 </t>
    </r>
    <r>
      <rPr>
        <b/>
        <sz val="8"/>
        <rFont val="Arial CE"/>
        <charset val="238"/>
      </rPr>
      <t>fő közcélú foglalkoztatott időszakosan</t>
    </r>
    <r>
      <rPr>
        <b/>
        <sz val="8"/>
        <rFont val="Arial CE"/>
        <family val="2"/>
        <charset val="238"/>
      </rPr>
      <t xml:space="preserve">) </t>
    </r>
  </si>
  <si>
    <t>5. melléklet a 9/2020. (VI. 24.)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</si>
</sst>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 #,##0.00&quot;     &quot;;\-#,##0.00&quot;     &quot;;&quot; -&quot;#&quot;     &quot;;@\ "/>
  </numFmts>
  <fonts count="29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u/>
      <sz val="10"/>
      <name val="Arial"/>
      <family val="2"/>
      <charset val="238"/>
    </font>
    <font>
      <b/>
      <u/>
      <sz val="8"/>
      <name val="Arial"/>
      <family val="2"/>
      <charset val="238"/>
    </font>
    <font>
      <b/>
      <sz val="8"/>
      <name val="Arial CE"/>
      <family val="2"/>
      <charset val="238"/>
    </font>
    <font>
      <sz val="8"/>
      <name val="Arial"/>
      <family val="2"/>
      <charset val="238"/>
    </font>
    <font>
      <sz val="8"/>
      <name val="Arial CE"/>
      <family val="2"/>
      <charset val="238"/>
    </font>
    <font>
      <b/>
      <sz val="8"/>
      <name val="Arial"/>
      <family val="2"/>
      <charset val="238"/>
    </font>
    <font>
      <b/>
      <i/>
      <sz val="8"/>
      <name val="Arial CE"/>
      <family val="2"/>
      <charset val="238"/>
    </font>
    <font>
      <sz val="8"/>
      <name val="Arial CE"/>
      <charset val="238"/>
    </font>
    <font>
      <b/>
      <sz val="8"/>
      <name val="Arial CE"/>
      <charset val="238"/>
    </font>
    <font>
      <sz val="10"/>
      <name val="Arial CE"/>
      <family val="2"/>
      <charset val="238"/>
    </font>
    <font>
      <b/>
      <u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u/>
      <sz val="8"/>
      <name val="Arial CE"/>
      <family val="2"/>
      <charset val="238"/>
    </font>
    <font>
      <b/>
      <u/>
      <sz val="8"/>
      <name val="Arial CE"/>
      <charset val="238"/>
    </font>
    <font>
      <b/>
      <u/>
      <sz val="11"/>
      <name val="Arial CE"/>
      <family val="2"/>
      <charset val="238"/>
    </font>
    <font>
      <b/>
      <sz val="11"/>
      <name val="Arial CE"/>
      <family val="2"/>
      <charset val="238"/>
    </font>
    <font>
      <b/>
      <i/>
      <sz val="11"/>
      <name val="Arial CE"/>
      <family val="2"/>
      <charset val="238"/>
    </font>
    <font>
      <i/>
      <sz val="8"/>
      <name val="Arial CE"/>
      <family val="2"/>
      <charset val="238"/>
    </font>
    <font>
      <i/>
      <sz val="8"/>
      <name val="Arial"/>
      <family val="2"/>
      <charset val="238"/>
    </font>
    <font>
      <i/>
      <sz val="8"/>
      <name val="Arial CE"/>
      <charset val="238"/>
    </font>
    <font>
      <b/>
      <sz val="10"/>
      <name val="Arial CE"/>
      <family val="2"/>
      <charset val="238"/>
    </font>
    <font>
      <b/>
      <i/>
      <sz val="8"/>
      <name val="Arial CE"/>
      <charset val="238"/>
    </font>
    <font>
      <sz val="10"/>
      <name val="Arial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3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ill="0" applyBorder="0" applyAlignment="0" applyProtection="0"/>
    <xf numFmtId="0" fontId="15" fillId="0" borderId="0"/>
    <xf numFmtId="0" fontId="28" fillId="0" borderId="0"/>
  </cellStyleXfs>
  <cellXfs count="90">
    <xf numFmtId="0" fontId="0" fillId="0" borderId="0" xfId="0"/>
    <xf numFmtId="0" fontId="0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/>
    </xf>
    <xf numFmtId="3" fontId="0" fillId="0" borderId="0" xfId="0" applyNumberFormat="1" applyFont="1"/>
    <xf numFmtId="3" fontId="7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/>
    </xf>
    <xf numFmtId="3" fontId="9" fillId="0" borderId="0" xfId="0" applyNumberFormat="1" applyFont="1"/>
    <xf numFmtId="3" fontId="10" fillId="0" borderId="0" xfId="0" applyNumberFormat="1" applyFont="1" applyAlignment="1">
      <alignment horizontal="center"/>
    </xf>
    <xf numFmtId="3" fontId="9" fillId="0" borderId="0" xfId="0" applyNumberFormat="1" applyFont="1" applyBorder="1" applyAlignment="1">
      <alignment horizontal="center"/>
    </xf>
    <xf numFmtId="3" fontId="9" fillId="0" borderId="0" xfId="0" applyNumberFormat="1" applyFont="1" applyBorder="1" applyAlignment="1"/>
    <xf numFmtId="3" fontId="8" fillId="0" borderId="0" xfId="0" applyNumberFormat="1" applyFont="1" applyFill="1" applyBorder="1" applyAlignment="1">
      <alignment horizontal="center"/>
    </xf>
    <xf numFmtId="3" fontId="10" fillId="0" borderId="0" xfId="0" applyNumberFormat="1" applyFont="1" applyFill="1" applyBorder="1"/>
    <xf numFmtId="4" fontId="9" fillId="0" borderId="0" xfId="0" applyNumberFormat="1" applyFont="1"/>
    <xf numFmtId="3" fontId="10" fillId="0" borderId="0" xfId="0" applyNumberFormat="1" applyFont="1" applyBorder="1"/>
    <xf numFmtId="3" fontId="8" fillId="0" borderId="0" xfId="0" applyNumberFormat="1" applyFont="1" applyFill="1" applyBorder="1" applyAlignment="1"/>
    <xf numFmtId="3" fontId="11" fillId="0" borderId="0" xfId="0" applyNumberFormat="1" applyFont="1"/>
    <xf numFmtId="4" fontId="11" fillId="0" borderId="0" xfId="0" applyNumberFormat="1" applyFont="1"/>
    <xf numFmtId="3" fontId="12" fillId="0" borderId="0" xfId="0" applyNumberFormat="1" applyFont="1" applyFill="1" applyBorder="1" applyAlignment="1"/>
    <xf numFmtId="3" fontId="8" fillId="0" borderId="0" xfId="0" applyNumberFormat="1" applyFont="1" applyBorder="1" applyAlignment="1">
      <alignment horizontal="right"/>
    </xf>
    <xf numFmtId="3" fontId="8" fillId="0" borderId="0" xfId="0" applyNumberFormat="1" applyFont="1" applyAlignment="1">
      <alignment horizontal="right"/>
    </xf>
    <xf numFmtId="3" fontId="8" fillId="0" borderId="0" xfId="0" applyNumberFormat="1" applyFont="1"/>
    <xf numFmtId="3" fontId="13" fillId="0" borderId="0" xfId="0" applyNumberFormat="1" applyFont="1" applyAlignment="1">
      <alignment horizontal="right"/>
    </xf>
    <xf numFmtId="3" fontId="14" fillId="0" borderId="0" xfId="0" applyNumberFormat="1" applyFont="1" applyFill="1" applyBorder="1" applyAlignment="1">
      <alignment horizontal="center" wrapText="1"/>
    </xf>
    <xf numFmtId="3" fontId="11" fillId="0" borderId="0" xfId="0" applyNumberFormat="1" applyFont="1" applyBorder="1" applyAlignment="1"/>
    <xf numFmtId="3" fontId="14" fillId="0" borderId="0" xfId="0" applyNumberFormat="1" applyFont="1" applyBorder="1" applyAlignment="1">
      <alignment horizontal="right"/>
    </xf>
    <xf numFmtId="3" fontId="13" fillId="0" borderId="0" xfId="0" applyNumberFormat="1" applyFont="1"/>
    <xf numFmtId="3" fontId="8" fillId="0" borderId="0" xfId="0" applyNumberFormat="1" applyFont="1" applyFill="1" applyBorder="1" applyAlignment="1">
      <alignment horizontal="center" wrapText="1"/>
    </xf>
    <xf numFmtId="3" fontId="10" fillId="0" borderId="0" xfId="0" applyNumberFormat="1" applyFont="1" applyBorder="1" applyAlignment="1">
      <alignment horizontal="right"/>
    </xf>
    <xf numFmtId="3" fontId="9" fillId="0" borderId="0" xfId="0" applyNumberFormat="1" applyFont="1" applyBorder="1" applyAlignment="1">
      <alignment wrapText="1"/>
    </xf>
    <xf numFmtId="3" fontId="14" fillId="0" borderId="0" xfId="0" applyNumberFormat="1" applyFont="1" applyFill="1" applyBorder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3" fontId="13" fillId="0" borderId="0" xfId="0" applyNumberFormat="1" applyFont="1" applyFill="1" applyBorder="1" applyAlignment="1">
      <alignment horizontal="right"/>
    </xf>
    <xf numFmtId="3" fontId="18" fillId="0" borderId="0" xfId="0" applyNumberFormat="1" applyFont="1" applyFill="1" applyBorder="1" applyAlignment="1">
      <alignment wrapText="1"/>
    </xf>
    <xf numFmtId="3" fontId="20" fillId="0" borderId="0" xfId="0" applyNumberFormat="1" applyFont="1" applyFill="1" applyBorder="1" applyAlignment="1">
      <alignment wrapText="1"/>
    </xf>
    <xf numFmtId="3" fontId="21" fillId="0" borderId="0" xfId="0" applyNumberFormat="1" applyFont="1" applyBorder="1" applyAlignment="1">
      <alignment horizontal="right"/>
    </xf>
    <xf numFmtId="3" fontId="4" fillId="0" borderId="0" xfId="0" applyNumberFormat="1" applyFont="1"/>
    <xf numFmtId="3" fontId="22" fillId="0" borderId="0" xfId="0" applyNumberFormat="1" applyFont="1" applyFill="1" applyBorder="1" applyAlignment="1">
      <alignment horizontal="center"/>
    </xf>
    <xf numFmtId="3" fontId="8" fillId="0" borderId="0" xfId="0" applyNumberFormat="1" applyFont="1" applyFill="1" applyAlignment="1">
      <alignment horizontal="right"/>
    </xf>
    <xf numFmtId="3" fontId="23" fillId="0" borderId="0" xfId="0" applyNumberFormat="1" applyFont="1" applyBorder="1"/>
    <xf numFmtId="3" fontId="24" fillId="0" borderId="0" xfId="0" applyNumberFormat="1" applyFont="1"/>
    <xf numFmtId="3" fontId="25" fillId="0" borderId="0" xfId="0" applyNumberFormat="1" applyFont="1" applyBorder="1"/>
    <xf numFmtId="3" fontId="25" fillId="0" borderId="0" xfId="0" applyNumberFormat="1" applyFont="1" applyBorder="1" applyAlignment="1">
      <alignment horizontal="right"/>
    </xf>
    <xf numFmtId="3" fontId="13" fillId="0" borderId="0" xfId="0" applyNumberFormat="1" applyFont="1" applyBorder="1" applyAlignment="1">
      <alignment horizontal="right"/>
    </xf>
    <xf numFmtId="3" fontId="14" fillId="0" borderId="0" xfId="0" applyNumberFormat="1" applyFont="1" applyAlignment="1">
      <alignment horizontal="right"/>
    </xf>
    <xf numFmtId="3" fontId="26" fillId="0" borderId="0" xfId="0" applyNumberFormat="1" applyFont="1" applyAlignment="1">
      <alignment horizontal="center"/>
    </xf>
    <xf numFmtId="3" fontId="15" fillId="0" borderId="0" xfId="0" applyNumberFormat="1" applyFont="1" applyAlignment="1">
      <alignment horizontal="right"/>
    </xf>
    <xf numFmtId="3" fontId="10" fillId="0" borderId="0" xfId="0" applyNumberFormat="1" applyFont="1"/>
    <xf numFmtId="3" fontId="11" fillId="0" borderId="0" xfId="1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3" fontId="8" fillId="0" borderId="0" xfId="0" applyNumberFormat="1" applyFont="1" applyBorder="1" applyAlignment="1"/>
    <xf numFmtId="3" fontId="14" fillId="0" borderId="0" xfId="0" applyNumberFormat="1" applyFont="1" applyBorder="1"/>
    <xf numFmtId="3" fontId="13" fillId="0" borderId="0" xfId="0" applyNumberFormat="1" applyFont="1" applyBorder="1"/>
    <xf numFmtId="3" fontId="13" fillId="0" borderId="0" xfId="0" applyNumberFormat="1" applyFont="1" applyFill="1" applyBorder="1"/>
    <xf numFmtId="3" fontId="14" fillId="0" borderId="0" xfId="0" applyNumberFormat="1" applyFont="1" applyFill="1" applyBorder="1" applyAlignment="1"/>
    <xf numFmtId="3" fontId="27" fillId="0" borderId="0" xfId="0" applyNumberFormat="1" applyFont="1" applyFill="1" applyBorder="1" applyAlignment="1"/>
    <xf numFmtId="3" fontId="8" fillId="0" borderId="0" xfId="0" applyNumberFormat="1" applyFont="1" applyFill="1" applyBorder="1" applyAlignment="1">
      <alignment wrapText="1"/>
    </xf>
    <xf numFmtId="3" fontId="5" fillId="0" borderId="0" xfId="3" applyNumberFormat="1" applyFont="1" applyBorder="1" applyAlignment="1">
      <alignment horizontal="center"/>
    </xf>
    <xf numFmtId="3" fontId="1" fillId="0" borderId="0" xfId="0" applyNumberFormat="1" applyFont="1"/>
    <xf numFmtId="3" fontId="9" fillId="0" borderId="0" xfId="3" applyNumberFormat="1" applyFont="1" applyBorder="1"/>
    <xf numFmtId="3" fontId="9" fillId="0" borderId="0" xfId="3" applyNumberFormat="1" applyFont="1" applyFill="1" applyBorder="1" applyAlignment="1">
      <alignment horizontal="right"/>
    </xf>
    <xf numFmtId="3" fontId="11" fillId="0" borderId="0" xfId="3" applyNumberFormat="1" applyFont="1" applyFill="1" applyBorder="1" applyAlignment="1">
      <alignment horizontal="center"/>
    </xf>
    <xf numFmtId="3" fontId="9" fillId="0" borderId="0" xfId="1" applyNumberFormat="1" applyFont="1" applyFill="1" applyBorder="1" applyAlignment="1">
      <alignment horizontal="right"/>
    </xf>
    <xf numFmtId="3" fontId="9" fillId="0" borderId="0" xfId="3" applyNumberFormat="1" applyFont="1" applyFill="1" applyBorder="1"/>
    <xf numFmtId="3" fontId="11" fillId="0" borderId="0" xfId="3" applyNumberFormat="1" applyFont="1" applyFill="1" applyBorder="1"/>
    <xf numFmtId="3" fontId="14" fillId="2" borderId="1" xfId="0" applyNumberFormat="1" applyFont="1" applyFill="1" applyBorder="1" applyAlignment="1">
      <alignment horizontal="center" wrapText="1"/>
    </xf>
    <xf numFmtId="3" fontId="14" fillId="2" borderId="2" xfId="0" applyNumberFormat="1" applyFont="1" applyFill="1" applyBorder="1" applyAlignment="1">
      <alignment horizontal="center" wrapText="1"/>
    </xf>
    <xf numFmtId="3" fontId="14" fillId="2" borderId="3" xfId="0" applyNumberFormat="1" applyFont="1" applyFill="1" applyBorder="1" applyAlignment="1">
      <alignment horizontal="center" wrapText="1"/>
    </xf>
    <xf numFmtId="3" fontId="11" fillId="3" borderId="1" xfId="3" applyNumberFormat="1" applyFont="1" applyFill="1" applyBorder="1" applyAlignment="1">
      <alignment horizontal="center"/>
    </xf>
    <xf numFmtId="3" fontId="11" fillId="3" borderId="2" xfId="3" applyNumberFormat="1" applyFont="1" applyFill="1" applyBorder="1" applyAlignment="1">
      <alignment horizontal="center"/>
    </xf>
    <xf numFmtId="3" fontId="11" fillId="3" borderId="3" xfId="3" applyNumberFormat="1" applyFont="1" applyFill="1" applyBorder="1" applyAlignment="1">
      <alignment horizontal="center"/>
    </xf>
    <xf numFmtId="3" fontId="8" fillId="2" borderId="1" xfId="0" applyNumberFormat="1" applyFont="1" applyFill="1" applyBorder="1" applyAlignment="1">
      <alignment horizontal="center"/>
    </xf>
    <xf numFmtId="3" fontId="8" fillId="2" borderId="2" xfId="0" applyNumberFormat="1" applyFont="1" applyFill="1" applyBorder="1" applyAlignment="1">
      <alignment horizontal="center"/>
    </xf>
    <xf numFmtId="3" fontId="8" fillId="2" borderId="3" xfId="0" applyNumberFormat="1" applyFont="1" applyFill="1" applyBorder="1" applyAlignment="1">
      <alignment horizontal="center"/>
    </xf>
    <xf numFmtId="3" fontId="8" fillId="0" borderId="0" xfId="0" applyNumberFormat="1" applyFont="1" applyFill="1" applyBorder="1" applyAlignment="1">
      <alignment horizontal="center"/>
    </xf>
    <xf numFmtId="3" fontId="5" fillId="0" borderId="0" xfId="3" applyNumberFormat="1" applyFont="1" applyBorder="1" applyAlignment="1">
      <alignment horizontal="center"/>
    </xf>
    <xf numFmtId="3" fontId="6" fillId="0" borderId="0" xfId="3" applyNumberFormat="1" applyFont="1" applyBorder="1" applyAlignment="1">
      <alignment horizontal="center"/>
    </xf>
    <xf numFmtId="3" fontId="26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/>
    </xf>
    <xf numFmtId="3" fontId="17" fillId="0" borderId="0" xfId="0" applyNumberFormat="1" applyFont="1" applyFill="1" applyBorder="1" applyAlignment="1">
      <alignment horizontal="center"/>
    </xf>
    <xf numFmtId="3" fontId="8" fillId="2" borderId="1" xfId="0" applyNumberFormat="1" applyFont="1" applyFill="1" applyBorder="1" applyAlignment="1">
      <alignment horizontal="center" wrapText="1"/>
    </xf>
    <xf numFmtId="3" fontId="8" fillId="2" borderId="2" xfId="0" applyNumberFormat="1" applyFont="1" applyFill="1" applyBorder="1" applyAlignment="1">
      <alignment horizontal="center" wrapText="1"/>
    </xf>
    <xf numFmtId="3" fontId="8" fillId="2" borderId="3" xfId="0" applyNumberFormat="1" applyFont="1" applyFill="1" applyBorder="1" applyAlignment="1">
      <alignment horizontal="center" wrapText="1"/>
    </xf>
    <xf numFmtId="3" fontId="12" fillId="2" borderId="1" xfId="0" applyNumberFormat="1" applyFont="1" applyFill="1" applyBorder="1" applyAlignment="1">
      <alignment horizontal="center"/>
    </xf>
    <xf numFmtId="3" fontId="12" fillId="2" borderId="2" xfId="0" applyNumberFormat="1" applyFont="1" applyFill="1" applyBorder="1" applyAlignment="1">
      <alignment horizontal="center"/>
    </xf>
    <xf numFmtId="3" fontId="12" fillId="2" borderId="3" xfId="0" applyNumberFormat="1" applyFont="1" applyFill="1" applyBorder="1" applyAlignment="1">
      <alignment horizontal="center"/>
    </xf>
    <xf numFmtId="3" fontId="16" fillId="0" borderId="0" xfId="2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4">
    <cellStyle name="Ezres" xfId="1" builtinId="3"/>
    <cellStyle name="Normál" xfId="0" builtinId="0"/>
    <cellStyle name="Normál_ktgvetés2007_végleges" xfId="2"/>
    <cellStyle name="Normál_mellékletek testületnek-végleges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sztal/&#225;prilis7/2019.%20&#233;vi%20k&#246;lts&#233;gvet&#233;s/Indul&#243;%20k&#246;lts&#233;gvet&#233;s/2019%20.%20&#233;vi%20k&#246;lts&#233;gvet&#233;s-indul&#24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sztal/&#225;prilis7/2019%20.%20&#233;vi%20z&#225;rsz&#225;mad&#225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"/>
      <sheetName val="bevételek"/>
      <sheetName val="kiadások"/>
      <sheetName val="3_melléklet"/>
      <sheetName val="4_ melléklet"/>
      <sheetName val="5_melléklet"/>
      <sheetName val="kisértékű"/>
      <sheetName val="Finanszírozás"/>
      <sheetName val="6_melléklet"/>
      <sheetName val="7_melléklet"/>
      <sheetName val="8_melléklet"/>
      <sheetName val="9_melléklet"/>
      <sheetName val="10_melléklet"/>
      <sheetName val="11_sz_melléklet"/>
    </sheetNames>
    <sheetDataSet>
      <sheetData sheetId="0"/>
      <sheetData sheetId="1"/>
      <sheetData sheetId="2"/>
      <sheetData sheetId="3">
        <row r="11">
          <cell r="B11">
            <v>3235950</v>
          </cell>
        </row>
        <row r="15">
          <cell r="B15">
            <v>64800.000000000007</v>
          </cell>
        </row>
        <row r="28">
          <cell r="B28">
            <v>1134000</v>
          </cell>
        </row>
        <row r="46">
          <cell r="B46">
            <v>520000</v>
          </cell>
        </row>
        <row r="47">
          <cell r="B47">
            <v>5540150</v>
          </cell>
        </row>
        <row r="63">
          <cell r="B63">
            <v>1400000</v>
          </cell>
        </row>
        <row r="69">
          <cell r="B69">
            <v>150000</v>
          </cell>
        </row>
      </sheetData>
      <sheetData sheetId="4">
        <row r="6">
          <cell r="B6">
            <v>91286816</v>
          </cell>
        </row>
      </sheetData>
      <sheetData sheetId="5">
        <row r="109">
          <cell r="B109">
            <v>80000</v>
          </cell>
        </row>
        <row r="111">
          <cell r="B111">
            <v>500000</v>
          </cell>
        </row>
        <row r="112">
          <cell r="B112">
            <v>2235600</v>
          </cell>
        </row>
        <row r="147">
          <cell r="B147">
            <v>7738740.0000000009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 melléklet"/>
      <sheetName val="5_melléklet"/>
      <sheetName val="6_melléklet"/>
      <sheetName val="7_melléklet"/>
      <sheetName val="8_melléklet"/>
      <sheetName val="9_melléklet"/>
      <sheetName val="10_melléklet"/>
      <sheetName val="11_melléklet"/>
      <sheetName val="12_melléklet"/>
      <sheetName val="13_melléklet"/>
      <sheetName val="14_melléklet"/>
      <sheetName val="15_melléklet"/>
      <sheetName val="Finanszírozás"/>
    </sheetNames>
    <sheetDataSet>
      <sheetData sheetId="0"/>
      <sheetData sheetId="1"/>
      <sheetData sheetId="2">
        <row r="33">
          <cell r="C33">
            <v>68285207</v>
          </cell>
        </row>
      </sheetData>
      <sheetData sheetId="3"/>
      <sheetData sheetId="4">
        <row r="6">
          <cell r="I6">
            <v>66678411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30"/>
  <sheetViews>
    <sheetView tabSelected="1" workbookViewId="0">
      <selection activeCell="A2" sqref="A2"/>
    </sheetView>
  </sheetViews>
  <sheetFormatPr defaultRowHeight="12.75" x14ac:dyDescent="0.2"/>
  <cols>
    <col min="1" max="1" width="46.5703125" customWidth="1"/>
    <col min="2" max="2" width="14.28515625" customWidth="1"/>
    <col min="3" max="3" width="10.28515625" bestFit="1" customWidth="1"/>
    <col min="4" max="4" width="10.140625" bestFit="1" customWidth="1"/>
    <col min="5" max="5" width="7.28515625" customWidth="1"/>
  </cols>
  <sheetData>
    <row r="1" spans="1:5" x14ac:dyDescent="0.2">
      <c r="A1" s="87" t="s">
        <v>118</v>
      </c>
      <c r="B1" s="87"/>
      <c r="C1" s="87"/>
      <c r="D1" s="87"/>
      <c r="E1" s="87"/>
    </row>
    <row r="2" spans="1:5" x14ac:dyDescent="0.2">
      <c r="A2" s="1"/>
      <c r="B2" s="1"/>
    </row>
    <row r="3" spans="1:5" ht="15" x14ac:dyDescent="0.25">
      <c r="A3" s="88" t="s">
        <v>0</v>
      </c>
      <c r="B3" s="88"/>
      <c r="C3" s="88"/>
      <c r="D3" s="88"/>
      <c r="E3" s="88"/>
    </row>
    <row r="4" spans="1:5" ht="14.25" x14ac:dyDescent="0.2">
      <c r="A4" s="2"/>
      <c r="B4" s="2"/>
      <c r="C4" s="2"/>
      <c r="D4" s="2"/>
      <c r="E4" s="2"/>
    </row>
    <row r="5" spans="1:5" x14ac:dyDescent="0.2">
      <c r="A5" s="89" t="s">
        <v>1</v>
      </c>
      <c r="B5" s="89"/>
      <c r="C5" s="89"/>
      <c r="D5" s="89"/>
      <c r="E5" s="89"/>
    </row>
    <row r="6" spans="1:5" x14ac:dyDescent="0.2">
      <c r="A6" s="3"/>
      <c r="B6" s="4"/>
      <c r="C6" s="4"/>
      <c r="D6" s="4"/>
      <c r="E6" s="4"/>
    </row>
    <row r="7" spans="1:5" x14ac:dyDescent="0.2">
      <c r="A7" s="78" t="s">
        <v>2</v>
      </c>
      <c r="B7" s="78"/>
      <c r="C7" s="78"/>
      <c r="D7" s="78"/>
      <c r="E7" s="78"/>
    </row>
    <row r="8" spans="1:5" x14ac:dyDescent="0.2">
      <c r="A8" s="5"/>
      <c r="B8" s="6"/>
      <c r="C8" s="6"/>
      <c r="D8" s="7"/>
      <c r="E8" s="7" t="s">
        <v>3</v>
      </c>
    </row>
    <row r="9" spans="1:5" x14ac:dyDescent="0.2">
      <c r="A9" s="5"/>
      <c r="B9" s="8" t="s">
        <v>4</v>
      </c>
      <c r="C9" s="9" t="s">
        <v>5</v>
      </c>
      <c r="D9" s="9" t="s">
        <v>6</v>
      </c>
      <c r="E9" s="10" t="s">
        <v>7</v>
      </c>
    </row>
    <row r="10" spans="1:5" x14ac:dyDescent="0.2">
      <c r="A10" s="71" t="s">
        <v>8</v>
      </c>
      <c r="B10" s="72"/>
      <c r="C10" s="72"/>
      <c r="D10" s="72"/>
      <c r="E10" s="73"/>
    </row>
    <row r="11" spans="1:5" x14ac:dyDescent="0.2">
      <c r="A11" s="11"/>
      <c r="B11" s="10"/>
      <c r="C11" s="7"/>
      <c r="D11" s="7"/>
      <c r="E11" s="7"/>
    </row>
    <row r="12" spans="1:5" x14ac:dyDescent="0.2">
      <c r="A12" s="12" t="s">
        <v>9</v>
      </c>
      <c r="B12" s="7">
        <f>B13</f>
        <v>8300000</v>
      </c>
      <c r="C12" s="7">
        <f>C13</f>
        <v>8300000</v>
      </c>
      <c r="D12" s="7">
        <v>8234561</v>
      </c>
      <c r="E12" s="13">
        <f t="shared" ref="E12:E17" si="0">D12/C12*100</f>
        <v>99.211578313253014</v>
      </c>
    </row>
    <row r="13" spans="1:5" x14ac:dyDescent="0.2">
      <c r="A13" s="14" t="s">
        <v>10</v>
      </c>
      <c r="B13" s="7">
        <v>8300000</v>
      </c>
      <c r="C13" s="7">
        <v>8300000</v>
      </c>
      <c r="D13" s="7">
        <v>8234561</v>
      </c>
      <c r="E13" s="13">
        <f t="shared" si="0"/>
        <v>99.211578313253014</v>
      </c>
    </row>
    <row r="14" spans="1:5" x14ac:dyDescent="0.2">
      <c r="A14" s="12" t="s">
        <v>11</v>
      </c>
      <c r="B14" s="7">
        <f>B13*0.27</f>
        <v>2241000</v>
      </c>
      <c r="C14" s="7">
        <f>C13*0.27</f>
        <v>2241000</v>
      </c>
      <c r="D14" s="7">
        <v>2157933</v>
      </c>
      <c r="E14" s="13">
        <f t="shared" si="0"/>
        <v>96.293306559571619</v>
      </c>
    </row>
    <row r="15" spans="1:5" x14ac:dyDescent="0.2">
      <c r="A15" s="15" t="s">
        <v>12</v>
      </c>
      <c r="B15" s="16">
        <f>SUM(B12:B14)-B13</f>
        <v>10541000</v>
      </c>
      <c r="C15" s="16">
        <f>SUM(C12:C14)-C13</f>
        <v>10541000</v>
      </c>
      <c r="D15" s="16">
        <f>D12+D14</f>
        <v>10392494</v>
      </c>
      <c r="E15" s="17">
        <f t="shared" si="0"/>
        <v>98.59115833412389</v>
      </c>
    </row>
    <row r="16" spans="1:5" x14ac:dyDescent="0.2">
      <c r="A16" s="11"/>
      <c r="B16" s="10"/>
      <c r="C16" s="10"/>
      <c r="D16" s="16"/>
      <c r="E16" s="17"/>
    </row>
    <row r="17" spans="1:5" x14ac:dyDescent="0.2">
      <c r="A17" s="18" t="s">
        <v>13</v>
      </c>
      <c r="B17" s="19">
        <f>B15</f>
        <v>10541000</v>
      </c>
      <c r="C17" s="19">
        <f>C15</f>
        <v>10541000</v>
      </c>
      <c r="D17" s="16">
        <f>D15</f>
        <v>10392494</v>
      </c>
      <c r="E17" s="17">
        <f t="shared" si="0"/>
        <v>98.59115833412389</v>
      </c>
    </row>
    <row r="18" spans="1:5" x14ac:dyDescent="0.2">
      <c r="A18" s="18"/>
      <c r="B18" s="19"/>
      <c r="C18" s="7"/>
      <c r="D18" s="7"/>
      <c r="E18" s="7"/>
    </row>
    <row r="19" spans="1:5" x14ac:dyDescent="0.2">
      <c r="A19" s="71" t="s">
        <v>14</v>
      </c>
      <c r="B19" s="72"/>
      <c r="C19" s="72"/>
      <c r="D19" s="72"/>
      <c r="E19" s="73"/>
    </row>
    <row r="20" spans="1:5" x14ac:dyDescent="0.2">
      <c r="A20" s="11"/>
      <c r="B20" s="20"/>
      <c r="C20" s="7"/>
      <c r="D20" s="7"/>
      <c r="E20" s="7"/>
    </row>
    <row r="21" spans="1:5" x14ac:dyDescent="0.2">
      <c r="A21" s="7" t="s">
        <v>15</v>
      </c>
      <c r="B21" s="7">
        <v>72600</v>
      </c>
      <c r="C21" s="7">
        <v>72600</v>
      </c>
      <c r="D21" s="7"/>
      <c r="E21" s="13">
        <f t="shared" ref="E21:E43" si="1">D21/C21*100</f>
        <v>0</v>
      </c>
    </row>
    <row r="22" spans="1:5" x14ac:dyDescent="0.2">
      <c r="A22" s="7" t="s">
        <v>16</v>
      </c>
      <c r="B22" s="7">
        <v>3526216</v>
      </c>
      <c r="C22" s="7">
        <v>3526216</v>
      </c>
      <c r="D22" s="7">
        <v>3338722</v>
      </c>
      <c r="E22" s="13">
        <f t="shared" si="1"/>
        <v>94.682855502896018</v>
      </c>
    </row>
    <row r="23" spans="1:5" x14ac:dyDescent="0.2">
      <c r="A23" s="21" t="s">
        <v>17</v>
      </c>
      <c r="B23" s="16">
        <f>SUM(B21:B22)</f>
        <v>3598816</v>
      </c>
      <c r="C23" s="16">
        <f>SUM(C21:C22)</f>
        <v>3598816</v>
      </c>
      <c r="D23" s="16">
        <f>SUM(D22)</f>
        <v>3338722</v>
      </c>
      <c r="E23" s="17">
        <f t="shared" si="1"/>
        <v>92.772789717507081</v>
      </c>
    </row>
    <row r="24" spans="1:5" x14ac:dyDescent="0.2">
      <c r="A24" s="7"/>
      <c r="B24" s="7"/>
      <c r="C24" s="7"/>
      <c r="D24" s="7"/>
      <c r="E24" s="13"/>
    </row>
    <row r="25" spans="1:5" x14ac:dyDescent="0.2">
      <c r="A25" s="7" t="s">
        <v>18</v>
      </c>
      <c r="B25" s="7">
        <v>633008</v>
      </c>
      <c r="C25" s="7">
        <v>633008</v>
      </c>
      <c r="D25" s="7">
        <v>561100</v>
      </c>
      <c r="E25" s="13">
        <f t="shared" si="1"/>
        <v>88.640269949194945</v>
      </c>
    </row>
    <row r="26" spans="1:5" x14ac:dyDescent="0.2">
      <c r="A26" s="21" t="s">
        <v>19</v>
      </c>
      <c r="B26" s="16">
        <f>SUM(B25:B25)</f>
        <v>633008</v>
      </c>
      <c r="C26" s="16">
        <f>SUM(C25:C25)</f>
        <v>633008</v>
      </c>
      <c r="D26" s="16">
        <f>SUM(D25)</f>
        <v>561100</v>
      </c>
      <c r="E26" s="17">
        <f t="shared" si="1"/>
        <v>88.640269949194945</v>
      </c>
    </row>
    <row r="27" spans="1:5" x14ac:dyDescent="0.2">
      <c r="A27" s="7"/>
      <c r="B27" s="7"/>
      <c r="C27" s="7"/>
      <c r="D27" s="7"/>
      <c r="E27" s="13"/>
    </row>
    <row r="28" spans="1:5" x14ac:dyDescent="0.2">
      <c r="A28" s="7" t="s">
        <v>20</v>
      </c>
      <c r="B28" s="7">
        <v>200000</v>
      </c>
      <c r="C28" s="7">
        <v>200000</v>
      </c>
      <c r="D28" s="7">
        <v>370081</v>
      </c>
      <c r="E28" s="13">
        <f t="shared" si="1"/>
        <v>185.04050000000001</v>
      </c>
    </row>
    <row r="29" spans="1:5" x14ac:dyDescent="0.2">
      <c r="A29" s="7" t="s">
        <v>21</v>
      </c>
      <c r="B29" s="7">
        <v>500000</v>
      </c>
      <c r="C29" s="7">
        <v>500000</v>
      </c>
      <c r="D29" s="7">
        <v>485340</v>
      </c>
      <c r="E29" s="13">
        <f t="shared" si="1"/>
        <v>97.067999999999998</v>
      </c>
    </row>
    <row r="30" spans="1:5" x14ac:dyDescent="0.2">
      <c r="A30" s="7" t="s">
        <v>22</v>
      </c>
      <c r="B30" s="7">
        <v>600000</v>
      </c>
      <c r="C30" s="7">
        <v>600000</v>
      </c>
      <c r="D30" s="7">
        <v>607072</v>
      </c>
      <c r="E30" s="13">
        <f t="shared" si="1"/>
        <v>101.17866666666666</v>
      </c>
    </row>
    <row r="31" spans="1:5" x14ac:dyDescent="0.2">
      <c r="A31" s="14" t="s">
        <v>23</v>
      </c>
      <c r="B31" s="7">
        <v>76000</v>
      </c>
      <c r="C31" s="7">
        <v>76000</v>
      </c>
      <c r="D31" s="7">
        <v>15748</v>
      </c>
      <c r="E31" s="13">
        <f t="shared" si="1"/>
        <v>20.721052631578949</v>
      </c>
    </row>
    <row r="32" spans="1:5" x14ac:dyDescent="0.2">
      <c r="A32" s="12" t="s">
        <v>9</v>
      </c>
      <c r="B32" s="7">
        <f>SUM(B33:B35)</f>
        <v>371000</v>
      </c>
      <c r="C32" s="7">
        <f>SUM(C33:C35)</f>
        <v>371000</v>
      </c>
      <c r="D32" s="7">
        <v>396493</v>
      </c>
      <c r="E32" s="13">
        <f t="shared" si="1"/>
        <v>106.87142857142857</v>
      </c>
    </row>
    <row r="33" spans="1:5" x14ac:dyDescent="0.2">
      <c r="A33" s="14" t="s">
        <v>24</v>
      </c>
      <c r="B33" s="7">
        <v>120000</v>
      </c>
      <c r="C33" s="7">
        <v>120000</v>
      </c>
      <c r="D33" s="7">
        <v>113418</v>
      </c>
      <c r="E33" s="13">
        <f t="shared" si="1"/>
        <v>94.515000000000001</v>
      </c>
    </row>
    <row r="34" spans="1:5" x14ac:dyDescent="0.2">
      <c r="A34" s="14" t="s">
        <v>25</v>
      </c>
      <c r="B34" s="7">
        <v>200000</v>
      </c>
      <c r="C34" s="7">
        <v>200000</v>
      </c>
      <c r="D34" s="7">
        <v>235915</v>
      </c>
      <c r="E34" s="13">
        <f t="shared" si="1"/>
        <v>117.95750000000001</v>
      </c>
    </row>
    <row r="35" spans="1:5" x14ac:dyDescent="0.2">
      <c r="A35" s="14" t="s">
        <v>26</v>
      </c>
      <c r="B35" s="7">
        <v>51000</v>
      </c>
      <c r="C35" s="7">
        <v>51000</v>
      </c>
      <c r="D35" s="7">
        <f>D32-D33-D34</f>
        <v>47160</v>
      </c>
      <c r="E35" s="13">
        <f t="shared" si="1"/>
        <v>92.470588235294116</v>
      </c>
    </row>
    <row r="36" spans="1:5" x14ac:dyDescent="0.2">
      <c r="A36" s="12" t="s">
        <v>27</v>
      </c>
      <c r="B36" s="7">
        <v>50000</v>
      </c>
      <c r="C36" s="7">
        <v>50000</v>
      </c>
      <c r="D36" s="7">
        <v>0</v>
      </c>
      <c r="E36" s="13">
        <f t="shared" si="1"/>
        <v>0</v>
      </c>
    </row>
    <row r="37" spans="1:5" x14ac:dyDescent="0.2">
      <c r="A37" s="12" t="s">
        <v>28</v>
      </c>
      <c r="B37" s="7">
        <v>17050000</v>
      </c>
      <c r="C37" s="7">
        <v>17050000</v>
      </c>
      <c r="D37" s="7">
        <v>16299700</v>
      </c>
      <c r="E37" s="13">
        <f t="shared" si="1"/>
        <v>95.599413489736079</v>
      </c>
    </row>
    <row r="38" spans="1:5" x14ac:dyDescent="0.2">
      <c r="A38" s="12" t="s">
        <v>29</v>
      </c>
      <c r="B38" s="7">
        <v>20000</v>
      </c>
      <c r="C38" s="7">
        <v>20000</v>
      </c>
      <c r="D38" s="7">
        <v>45373</v>
      </c>
      <c r="E38" s="13">
        <f t="shared" si="1"/>
        <v>226.86500000000001</v>
      </c>
    </row>
    <row r="39" spans="1:5" x14ac:dyDescent="0.2">
      <c r="A39" s="12" t="s">
        <v>11</v>
      </c>
      <c r="B39" s="7">
        <f>(B28+B29+B30+B31+B32+B36+B38)*0.27</f>
        <v>490590.00000000006</v>
      </c>
      <c r="C39" s="7">
        <f>(C28+C29+C30+C31+C32+C36+C38)*0.27</f>
        <v>490590.00000000006</v>
      </c>
      <c r="D39" s="7">
        <v>425400</v>
      </c>
      <c r="E39" s="13">
        <f t="shared" si="1"/>
        <v>86.711918302452133</v>
      </c>
    </row>
    <row r="40" spans="1:5" x14ac:dyDescent="0.2">
      <c r="A40" s="12" t="s">
        <v>30</v>
      </c>
      <c r="B40" s="7">
        <v>100000</v>
      </c>
      <c r="C40" s="7">
        <v>100000</v>
      </c>
      <c r="D40" s="7">
        <v>102772</v>
      </c>
      <c r="E40" s="13">
        <f t="shared" si="1"/>
        <v>102.77199999999999</v>
      </c>
    </row>
    <row r="41" spans="1:5" x14ac:dyDescent="0.2">
      <c r="A41" s="15" t="s">
        <v>12</v>
      </c>
      <c r="B41" s="16">
        <f>SUM(B28:B40)-B33-B34-B35</f>
        <v>19457590</v>
      </c>
      <c r="C41" s="16">
        <f>SUM(C28:C40)-C33-C34-C35</f>
        <v>19457590</v>
      </c>
      <c r="D41" s="16">
        <f>SUM(D28:D40)-D33-D34-D35</f>
        <v>18747979</v>
      </c>
      <c r="E41" s="17">
        <f t="shared" si="1"/>
        <v>96.353037555010673</v>
      </c>
    </row>
    <row r="42" spans="1:5" x14ac:dyDescent="0.2">
      <c r="A42" s="11"/>
      <c r="B42" s="10"/>
      <c r="C42" s="10"/>
      <c r="D42" s="7"/>
      <c r="E42" s="17"/>
    </row>
    <row r="43" spans="1:5" x14ac:dyDescent="0.2">
      <c r="A43" s="18" t="s">
        <v>13</v>
      </c>
      <c r="B43" s="19">
        <f>B23+B26+B41</f>
        <v>23689414</v>
      </c>
      <c r="C43" s="19">
        <f>C23+C26+C41</f>
        <v>23689414</v>
      </c>
      <c r="D43" s="16">
        <f>D23+D26+D41</f>
        <v>22647801</v>
      </c>
      <c r="E43" s="17">
        <f t="shared" si="1"/>
        <v>95.603044465346414</v>
      </c>
    </row>
    <row r="44" spans="1:5" x14ac:dyDescent="0.2">
      <c r="A44" s="14"/>
      <c r="B44" s="22"/>
      <c r="C44" s="7"/>
      <c r="D44" s="7"/>
      <c r="E44" s="7"/>
    </row>
    <row r="45" spans="1:5" x14ac:dyDescent="0.2">
      <c r="A45" s="83" t="s">
        <v>31</v>
      </c>
      <c r="B45" s="84"/>
      <c r="C45" s="84"/>
      <c r="D45" s="84"/>
      <c r="E45" s="85"/>
    </row>
    <row r="46" spans="1:5" x14ac:dyDescent="0.2">
      <c r="A46" s="7"/>
      <c r="B46" s="7"/>
      <c r="C46" s="7"/>
      <c r="D46" s="7"/>
      <c r="E46" s="7"/>
    </row>
    <row r="47" spans="1:5" x14ac:dyDescent="0.2">
      <c r="A47" s="12" t="s">
        <v>9</v>
      </c>
      <c r="B47" s="7">
        <f>SUM(B48:B50)</f>
        <v>124000</v>
      </c>
      <c r="C47" s="7">
        <f>SUM(C48:C50)</f>
        <v>124000</v>
      </c>
      <c r="D47" s="7">
        <v>112123</v>
      </c>
      <c r="E47" s="13">
        <f t="shared" ref="E47:E54" si="2">D47/C47*100</f>
        <v>90.421774193548387</v>
      </c>
    </row>
    <row r="48" spans="1:5" x14ac:dyDescent="0.2">
      <c r="A48" s="14" t="s">
        <v>24</v>
      </c>
      <c r="B48" s="7">
        <v>40000</v>
      </c>
      <c r="C48" s="7">
        <v>40000</v>
      </c>
      <c r="D48" s="7">
        <v>28355</v>
      </c>
      <c r="E48" s="13">
        <f t="shared" si="2"/>
        <v>70.887500000000003</v>
      </c>
    </row>
    <row r="49" spans="1:5" x14ac:dyDescent="0.2">
      <c r="A49" s="14" t="s">
        <v>25</v>
      </c>
      <c r="B49" s="7">
        <v>67000</v>
      </c>
      <c r="C49" s="7">
        <v>67000</v>
      </c>
      <c r="D49" s="7">
        <v>58978</v>
      </c>
      <c r="E49" s="13">
        <f t="shared" si="2"/>
        <v>88.026865671641801</v>
      </c>
    </row>
    <row r="50" spans="1:5" x14ac:dyDescent="0.2">
      <c r="A50" s="14" t="s">
        <v>26</v>
      </c>
      <c r="B50" s="7">
        <v>17000</v>
      </c>
      <c r="C50" s="7">
        <v>17000</v>
      </c>
      <c r="D50" s="7">
        <f>D47-D48-D49</f>
        <v>24790</v>
      </c>
      <c r="E50" s="13">
        <f t="shared" si="2"/>
        <v>145.8235294117647</v>
      </c>
    </row>
    <row r="51" spans="1:5" x14ac:dyDescent="0.2">
      <c r="A51" s="12" t="s">
        <v>11</v>
      </c>
      <c r="B51" s="7">
        <f>(B47)*0.27</f>
        <v>33480</v>
      </c>
      <c r="C51" s="7">
        <f>(C47)*0.27</f>
        <v>33480</v>
      </c>
      <c r="D51" s="7">
        <v>29936</v>
      </c>
      <c r="E51" s="13">
        <f t="shared" si="2"/>
        <v>89.41457586618877</v>
      </c>
    </row>
    <row r="52" spans="1:5" x14ac:dyDescent="0.2">
      <c r="A52" s="15" t="s">
        <v>12</v>
      </c>
      <c r="B52" s="16">
        <f>SUM(B47:B51)-B48-B49-B50</f>
        <v>157480</v>
      </c>
      <c r="C52" s="16">
        <f>SUM(C47:C51)-C48-C49-C50</f>
        <v>157480</v>
      </c>
      <c r="D52" s="16">
        <f>SUM(D47:D51)-D47</f>
        <v>142059</v>
      </c>
      <c r="E52" s="17">
        <f t="shared" si="2"/>
        <v>90.207645415290827</v>
      </c>
    </row>
    <row r="53" spans="1:5" x14ac:dyDescent="0.2">
      <c r="A53" s="11"/>
      <c r="B53" s="10"/>
      <c r="C53" s="10"/>
      <c r="D53" s="7"/>
      <c r="E53" s="17"/>
    </row>
    <row r="54" spans="1:5" x14ac:dyDescent="0.2">
      <c r="A54" s="18" t="s">
        <v>13</v>
      </c>
      <c r="B54" s="19">
        <f>B52</f>
        <v>157480</v>
      </c>
      <c r="C54" s="19">
        <f>C52</f>
        <v>157480</v>
      </c>
      <c r="D54" s="7">
        <f>D52</f>
        <v>142059</v>
      </c>
      <c r="E54" s="17">
        <f t="shared" si="2"/>
        <v>90.207645415290827</v>
      </c>
    </row>
    <row r="55" spans="1:5" x14ac:dyDescent="0.2">
      <c r="A55" s="18"/>
      <c r="B55" s="19"/>
      <c r="C55" s="7"/>
      <c r="D55" s="7"/>
      <c r="E55" s="7"/>
    </row>
    <row r="56" spans="1:5" x14ac:dyDescent="0.2">
      <c r="A56" s="14"/>
      <c r="B56" s="22"/>
      <c r="C56" s="7"/>
      <c r="D56" s="7"/>
      <c r="E56" s="7"/>
    </row>
    <row r="57" spans="1:5" x14ac:dyDescent="0.2">
      <c r="A57" s="14"/>
      <c r="B57" s="22"/>
      <c r="C57" s="7"/>
      <c r="D57" s="7"/>
      <c r="E57" s="7"/>
    </row>
    <row r="58" spans="1:5" x14ac:dyDescent="0.2">
      <c r="A58" s="14"/>
      <c r="B58" s="22"/>
      <c r="C58" s="7"/>
      <c r="D58" s="7"/>
      <c r="E58" s="7"/>
    </row>
    <row r="59" spans="1:5" x14ac:dyDescent="0.2">
      <c r="A59" s="14"/>
      <c r="B59" s="22"/>
      <c r="C59" s="7"/>
      <c r="D59" s="7"/>
      <c r="E59" s="7"/>
    </row>
    <row r="60" spans="1:5" x14ac:dyDescent="0.2">
      <c r="A60" s="65" t="s">
        <v>32</v>
      </c>
      <c r="B60" s="66"/>
      <c r="C60" s="66"/>
      <c r="D60" s="66"/>
      <c r="E60" s="67"/>
    </row>
    <row r="61" spans="1:5" x14ac:dyDescent="0.2">
      <c r="A61" s="23"/>
      <c r="B61" s="10"/>
      <c r="C61" s="7"/>
      <c r="D61" s="7"/>
      <c r="E61" s="7"/>
    </row>
    <row r="62" spans="1:5" x14ac:dyDescent="0.2">
      <c r="A62" s="7" t="s">
        <v>33</v>
      </c>
      <c r="B62" s="10"/>
      <c r="C62" s="10">
        <f>290672+227118</f>
        <v>517790</v>
      </c>
      <c r="D62" s="7">
        <v>2521319</v>
      </c>
      <c r="E62" s="13">
        <f t="shared" ref="E62:E79" si="3">D62/C62*100</f>
        <v>486.93852720214761</v>
      </c>
    </row>
    <row r="63" spans="1:5" x14ac:dyDescent="0.2">
      <c r="A63" s="7" t="s">
        <v>34</v>
      </c>
      <c r="B63" s="10"/>
      <c r="C63" s="10"/>
      <c r="D63" s="7">
        <v>7444</v>
      </c>
      <c r="E63" s="13"/>
    </row>
    <row r="64" spans="1:5" x14ac:dyDescent="0.2">
      <c r="A64" s="21" t="s">
        <v>17</v>
      </c>
      <c r="B64" s="10"/>
      <c r="C64" s="24">
        <f>SUM(C62)</f>
        <v>517790</v>
      </c>
      <c r="D64" s="16">
        <f>SUM(D62:D63)</f>
        <v>2528763</v>
      </c>
      <c r="E64" s="17">
        <f t="shared" si="3"/>
        <v>488.37617566967299</v>
      </c>
    </row>
    <row r="65" spans="1:5" x14ac:dyDescent="0.2">
      <c r="A65" s="23"/>
      <c r="B65" s="10"/>
      <c r="C65" s="10"/>
      <c r="D65" s="7"/>
      <c r="E65" s="13"/>
    </row>
    <row r="66" spans="1:5" x14ac:dyDescent="0.2">
      <c r="A66" s="7" t="s">
        <v>18</v>
      </c>
      <c r="B66" s="10"/>
      <c r="C66" s="10">
        <f>28340+22146</f>
        <v>50486</v>
      </c>
      <c r="D66" s="7">
        <v>226904</v>
      </c>
      <c r="E66" s="13">
        <f t="shared" si="3"/>
        <v>449.43944855999678</v>
      </c>
    </row>
    <row r="67" spans="1:5" x14ac:dyDescent="0.2">
      <c r="A67" s="21" t="s">
        <v>19</v>
      </c>
      <c r="B67" s="10"/>
      <c r="C67" s="24">
        <f>SUM(C66)</f>
        <v>50486</v>
      </c>
      <c r="D67" s="16">
        <f>SUM(D66)</f>
        <v>226904</v>
      </c>
      <c r="E67" s="17">
        <f t="shared" si="3"/>
        <v>449.43944855999678</v>
      </c>
    </row>
    <row r="68" spans="1:5" x14ac:dyDescent="0.2">
      <c r="A68" s="23"/>
      <c r="B68" s="10"/>
      <c r="C68" s="7"/>
      <c r="D68" s="7"/>
      <c r="E68" s="13"/>
    </row>
    <row r="69" spans="1:5" x14ac:dyDescent="0.2">
      <c r="A69" s="23"/>
      <c r="B69" s="10"/>
      <c r="C69" s="7"/>
      <c r="D69" s="7"/>
      <c r="E69" s="13"/>
    </row>
    <row r="70" spans="1:5" x14ac:dyDescent="0.2">
      <c r="A70" s="7" t="s">
        <v>21</v>
      </c>
      <c r="B70" s="7">
        <v>200000</v>
      </c>
      <c r="C70" s="7">
        <v>200000</v>
      </c>
      <c r="D70" s="7">
        <v>0</v>
      </c>
      <c r="E70" s="13">
        <f t="shared" si="3"/>
        <v>0</v>
      </c>
    </row>
    <row r="71" spans="1:5" x14ac:dyDescent="0.2">
      <c r="A71" s="12" t="s">
        <v>9</v>
      </c>
      <c r="B71" s="7">
        <f>SUM(B72:B74)</f>
        <v>418000</v>
      </c>
      <c r="C71" s="7">
        <f>SUM(C72:C74)</f>
        <v>418000</v>
      </c>
      <c r="D71" s="7">
        <v>260744</v>
      </c>
      <c r="E71" s="13">
        <f t="shared" si="3"/>
        <v>62.378947368421059</v>
      </c>
    </row>
    <row r="72" spans="1:5" x14ac:dyDescent="0.2">
      <c r="A72" s="14" t="s">
        <v>24</v>
      </c>
      <c r="B72" s="7">
        <v>260000</v>
      </c>
      <c r="C72" s="7">
        <v>260000</v>
      </c>
      <c r="D72" s="7">
        <v>147290</v>
      </c>
      <c r="E72" s="13">
        <f t="shared" si="3"/>
        <v>56.65</v>
      </c>
    </row>
    <row r="73" spans="1:5" x14ac:dyDescent="0.2">
      <c r="A73" s="14" t="s">
        <v>25</v>
      </c>
      <c r="B73" s="7">
        <v>118000</v>
      </c>
      <c r="C73" s="7">
        <v>118000</v>
      </c>
      <c r="D73" s="7">
        <v>102539</v>
      </c>
      <c r="E73" s="13">
        <f t="shared" si="3"/>
        <v>86.897457627118641</v>
      </c>
    </row>
    <row r="74" spans="1:5" x14ac:dyDescent="0.2">
      <c r="A74" s="14" t="s">
        <v>35</v>
      </c>
      <c r="B74" s="7">
        <v>40000</v>
      </c>
      <c r="C74" s="7">
        <v>40000</v>
      </c>
      <c r="D74" s="7">
        <f>D71-D72-D73</f>
        <v>10915</v>
      </c>
      <c r="E74" s="13">
        <f t="shared" si="3"/>
        <v>27.287499999999998</v>
      </c>
    </row>
    <row r="75" spans="1:5" x14ac:dyDescent="0.2">
      <c r="A75" s="12" t="s">
        <v>29</v>
      </c>
      <c r="B75" s="7">
        <v>140000</v>
      </c>
      <c r="C75" s="7">
        <v>140000</v>
      </c>
      <c r="D75" s="7">
        <v>106900</v>
      </c>
      <c r="E75" s="13">
        <f t="shared" si="3"/>
        <v>76.357142857142861</v>
      </c>
    </row>
    <row r="76" spans="1:5" x14ac:dyDescent="0.2">
      <c r="A76" s="12" t="s">
        <v>11</v>
      </c>
      <c r="B76" s="7">
        <f>(B71+B75+B70)*0.27</f>
        <v>204660</v>
      </c>
      <c r="C76" s="7">
        <f>(C71+C75+C70)*0.27</f>
        <v>204660</v>
      </c>
      <c r="D76" s="7">
        <v>69834</v>
      </c>
      <c r="E76" s="13">
        <f t="shared" si="3"/>
        <v>34.121958369979474</v>
      </c>
    </row>
    <row r="77" spans="1:5" x14ac:dyDescent="0.2">
      <c r="A77" s="15" t="s">
        <v>12</v>
      </c>
      <c r="B77" s="16">
        <f>B71+B75+B76+B70</f>
        <v>962660</v>
      </c>
      <c r="C77" s="16">
        <f>C71+C75+C76+C70</f>
        <v>962660</v>
      </c>
      <c r="D77" s="16">
        <f>SUM(D70:D76)-D71</f>
        <v>437478</v>
      </c>
      <c r="E77" s="17">
        <f t="shared" si="3"/>
        <v>45.444705295743042</v>
      </c>
    </row>
    <row r="78" spans="1:5" x14ac:dyDescent="0.2">
      <c r="A78" s="11"/>
      <c r="B78" s="10"/>
      <c r="C78" s="7"/>
      <c r="D78" s="7"/>
      <c r="E78" s="13"/>
    </row>
    <row r="79" spans="1:5" x14ac:dyDescent="0.2">
      <c r="A79" s="18" t="s">
        <v>13</v>
      </c>
      <c r="B79" s="19">
        <f>B77</f>
        <v>962660</v>
      </c>
      <c r="C79" s="16">
        <f>C64+C67+C77</f>
        <v>1530936</v>
      </c>
      <c r="D79" s="16">
        <f>D64+D67+D77</f>
        <v>3193145</v>
      </c>
      <c r="E79" s="17">
        <f t="shared" si="3"/>
        <v>208.57468894846028</v>
      </c>
    </row>
    <row r="80" spans="1:5" x14ac:dyDescent="0.2">
      <c r="A80" s="23"/>
      <c r="B80" s="10"/>
      <c r="C80" s="7"/>
      <c r="D80" s="7"/>
      <c r="E80" s="7"/>
    </row>
    <row r="81" spans="1:5" x14ac:dyDescent="0.2">
      <c r="A81" s="65" t="s">
        <v>36</v>
      </c>
      <c r="B81" s="66"/>
      <c r="C81" s="66"/>
      <c r="D81" s="66"/>
      <c r="E81" s="67"/>
    </row>
    <row r="82" spans="1:5" x14ac:dyDescent="0.2">
      <c r="A82" s="23"/>
      <c r="B82" s="10"/>
      <c r="C82" s="7"/>
      <c r="D82" s="7"/>
      <c r="E82" s="7"/>
    </row>
    <row r="83" spans="1:5" x14ac:dyDescent="0.2">
      <c r="A83" s="7" t="s">
        <v>37</v>
      </c>
      <c r="B83" s="7">
        <v>30155555</v>
      </c>
      <c r="C83" s="7">
        <f>30155555+2038255</f>
        <v>32193810</v>
      </c>
      <c r="D83" s="7">
        <v>26636888</v>
      </c>
      <c r="E83" s="13">
        <f t="shared" ref="E83:E98" si="4">D83/C83*100</f>
        <v>82.739160105622787</v>
      </c>
    </row>
    <row r="84" spans="1:5" x14ac:dyDescent="0.2">
      <c r="A84" s="7" t="s">
        <v>38</v>
      </c>
      <c r="B84" s="7"/>
      <c r="C84" s="7"/>
      <c r="D84" s="7">
        <v>180450</v>
      </c>
      <c r="E84" s="13"/>
    </row>
    <row r="85" spans="1:5" x14ac:dyDescent="0.2">
      <c r="A85" s="7" t="s">
        <v>34</v>
      </c>
      <c r="B85" s="7">
        <v>800000</v>
      </c>
      <c r="C85" s="7">
        <v>800000</v>
      </c>
      <c r="D85" s="7">
        <v>626301</v>
      </c>
      <c r="E85" s="13">
        <f t="shared" si="4"/>
        <v>78.287625000000006</v>
      </c>
    </row>
    <row r="86" spans="1:5" x14ac:dyDescent="0.2">
      <c r="A86" s="21" t="s">
        <v>17</v>
      </c>
      <c r="B86" s="16">
        <f>SUM(B83:B85)</f>
        <v>30955555</v>
      </c>
      <c r="C86" s="16">
        <f>SUM(C83:C85)</f>
        <v>32993810</v>
      </c>
      <c r="D86" s="16">
        <f>SUM(D83:D85)</f>
        <v>27443639</v>
      </c>
      <c r="E86" s="17">
        <f t="shared" si="4"/>
        <v>83.178144627734724</v>
      </c>
    </row>
    <row r="87" spans="1:5" x14ac:dyDescent="0.2">
      <c r="A87" s="7"/>
      <c r="B87" s="7"/>
      <c r="C87" s="7"/>
      <c r="D87" s="7"/>
      <c r="E87" s="13"/>
    </row>
    <row r="88" spans="1:5" x14ac:dyDescent="0.2">
      <c r="A88" s="7" t="s">
        <v>18</v>
      </c>
      <c r="B88" s="7">
        <v>3018167</v>
      </c>
      <c r="C88" s="7">
        <f>3018167+356695</f>
        <v>3374862</v>
      </c>
      <c r="D88" s="7">
        <v>2679305</v>
      </c>
      <c r="E88" s="13">
        <f t="shared" si="4"/>
        <v>79.390060986197369</v>
      </c>
    </row>
    <row r="89" spans="1:5" x14ac:dyDescent="0.2">
      <c r="A89" s="7" t="s">
        <v>39</v>
      </c>
      <c r="B89" s="7">
        <v>150000</v>
      </c>
      <c r="C89" s="7">
        <v>150000</v>
      </c>
      <c r="D89" s="7">
        <v>153116</v>
      </c>
      <c r="E89" s="13">
        <f t="shared" si="4"/>
        <v>102.07733333333333</v>
      </c>
    </row>
    <row r="90" spans="1:5" x14ac:dyDescent="0.2">
      <c r="A90" s="21" t="s">
        <v>19</v>
      </c>
      <c r="B90" s="16">
        <f>SUM(B88:B89)</f>
        <v>3168167</v>
      </c>
      <c r="C90" s="16">
        <f>SUM(C88:C89)</f>
        <v>3524862</v>
      </c>
      <c r="D90" s="16">
        <f>SUM(D88:D89)</f>
        <v>2832421</v>
      </c>
      <c r="E90" s="17">
        <f t="shared" si="4"/>
        <v>80.355514627239316</v>
      </c>
    </row>
    <row r="91" spans="1:5" x14ac:dyDescent="0.2">
      <c r="A91" s="7"/>
      <c r="B91" s="7"/>
      <c r="C91" s="7"/>
      <c r="D91" s="7"/>
      <c r="E91" s="13"/>
    </row>
    <row r="92" spans="1:5" x14ac:dyDescent="0.2">
      <c r="A92" s="7" t="s">
        <v>21</v>
      </c>
      <c r="B92" s="7">
        <f>1380000+1520000-B94</f>
        <v>2254000</v>
      </c>
      <c r="C92" s="7">
        <f>1380000+1520000-C94</f>
        <v>2254000</v>
      </c>
      <c r="D92" s="7">
        <v>3421316</v>
      </c>
      <c r="E92" s="13">
        <f t="shared" si="4"/>
        <v>151.78864241348714</v>
      </c>
    </row>
    <row r="93" spans="1:5" x14ac:dyDescent="0.2">
      <c r="A93" s="12" t="s">
        <v>40</v>
      </c>
      <c r="B93" s="7">
        <f>111000+79000</f>
        <v>190000</v>
      </c>
      <c r="C93" s="7">
        <f>111000+79000</f>
        <v>190000</v>
      </c>
      <c r="D93" s="7">
        <v>0</v>
      </c>
      <c r="E93" s="13">
        <f t="shared" si="4"/>
        <v>0</v>
      </c>
    </row>
    <row r="94" spans="1:5" x14ac:dyDescent="0.2">
      <c r="A94" s="12" t="s">
        <v>28</v>
      </c>
      <c r="B94" s="7">
        <v>646000</v>
      </c>
      <c r="C94" s="7">
        <v>646000</v>
      </c>
      <c r="D94" s="7">
        <v>625000</v>
      </c>
      <c r="E94" s="13">
        <f t="shared" si="4"/>
        <v>96.749226006191947</v>
      </c>
    </row>
    <row r="95" spans="1:5" x14ac:dyDescent="0.2">
      <c r="A95" s="12" t="s">
        <v>11</v>
      </c>
      <c r="B95" s="7">
        <f>(B92+B93+B94)*0.27</f>
        <v>834300</v>
      </c>
      <c r="C95" s="7">
        <f>(C92+C93+C94)*0.27</f>
        <v>834300</v>
      </c>
      <c r="D95" s="7">
        <v>654694</v>
      </c>
      <c r="E95" s="13">
        <f t="shared" si="4"/>
        <v>78.472252187462544</v>
      </c>
    </row>
    <row r="96" spans="1:5" x14ac:dyDescent="0.2">
      <c r="A96" s="15" t="s">
        <v>12</v>
      </c>
      <c r="B96" s="16">
        <f>SUM(B92:B95)</f>
        <v>3924300</v>
      </c>
      <c r="C96" s="16">
        <f>SUM(C92:C95)</f>
        <v>3924300</v>
      </c>
      <c r="D96" s="16">
        <f>SUM(D92:D95)</f>
        <v>4701010</v>
      </c>
      <c r="E96" s="17">
        <f t="shared" si="4"/>
        <v>119.7923196493642</v>
      </c>
    </row>
    <row r="97" spans="1:5" x14ac:dyDescent="0.2">
      <c r="A97" s="11"/>
      <c r="B97" s="10"/>
      <c r="C97" s="10"/>
      <c r="D97" s="7"/>
      <c r="E97" s="17"/>
    </row>
    <row r="98" spans="1:5" x14ac:dyDescent="0.2">
      <c r="A98" s="18" t="s">
        <v>13</v>
      </c>
      <c r="B98" s="19">
        <f>B86+B90+B96</f>
        <v>38048022</v>
      </c>
      <c r="C98" s="19">
        <f>C86+C90+C96</f>
        <v>40442972</v>
      </c>
      <c r="D98" s="16">
        <f>D86+D90+D96</f>
        <v>34977070</v>
      </c>
      <c r="E98" s="17">
        <f t="shared" si="4"/>
        <v>86.484915104656494</v>
      </c>
    </row>
    <row r="99" spans="1:5" x14ac:dyDescent="0.2">
      <c r="A99" s="23"/>
      <c r="B99" s="10"/>
      <c r="C99" s="7"/>
      <c r="D99" s="7"/>
      <c r="E99" s="7"/>
    </row>
    <row r="100" spans="1:5" x14ac:dyDescent="0.2">
      <c r="A100" s="71" t="s">
        <v>41</v>
      </c>
      <c r="B100" s="72"/>
      <c r="C100" s="72"/>
      <c r="D100" s="72"/>
      <c r="E100" s="73"/>
    </row>
    <row r="101" spans="1:5" x14ac:dyDescent="0.2">
      <c r="A101" s="18"/>
      <c r="B101" s="19"/>
      <c r="C101" s="7"/>
      <c r="D101" s="7"/>
      <c r="E101" s="7"/>
    </row>
    <row r="102" spans="1:5" x14ac:dyDescent="0.2">
      <c r="A102" s="7"/>
      <c r="B102" s="7"/>
      <c r="C102" s="7"/>
      <c r="D102" s="7"/>
      <c r="E102" s="7"/>
    </row>
    <row r="103" spans="1:5" x14ac:dyDescent="0.2">
      <c r="A103" s="12" t="s">
        <v>40</v>
      </c>
      <c r="B103" s="7">
        <v>1400000</v>
      </c>
      <c r="C103" s="7">
        <v>1400000</v>
      </c>
      <c r="D103" s="7">
        <v>1114695</v>
      </c>
      <c r="E103" s="13">
        <f>D103/C103*100</f>
        <v>79.621071428571426</v>
      </c>
    </row>
    <row r="104" spans="1:5" x14ac:dyDescent="0.2">
      <c r="A104" s="12" t="s">
        <v>11</v>
      </c>
      <c r="B104" s="7">
        <f>B103*0.27</f>
        <v>378000</v>
      </c>
      <c r="C104" s="7">
        <f>C103*0.27</f>
        <v>378000</v>
      </c>
      <c r="D104" s="7">
        <v>285253</v>
      </c>
      <c r="E104" s="13">
        <f>D104/C104*100</f>
        <v>75.463756613756615</v>
      </c>
    </row>
    <row r="105" spans="1:5" x14ac:dyDescent="0.2">
      <c r="A105" s="15" t="s">
        <v>12</v>
      </c>
      <c r="B105" s="16">
        <f>SUM(B103:B104)</f>
        <v>1778000</v>
      </c>
      <c r="C105" s="16">
        <f>SUM(C103:C104)</f>
        <v>1778000</v>
      </c>
      <c r="D105" s="16">
        <f>SUM(D103:D104)</f>
        <v>1399948</v>
      </c>
      <c r="E105" s="17">
        <f>D105/C105*100</f>
        <v>78.737232845894269</v>
      </c>
    </row>
    <row r="106" spans="1:5" x14ac:dyDescent="0.2">
      <c r="A106" s="11"/>
      <c r="B106" s="10"/>
      <c r="C106" s="10"/>
      <c r="D106" s="16"/>
      <c r="E106" s="17"/>
    </row>
    <row r="107" spans="1:5" x14ac:dyDescent="0.2">
      <c r="A107" s="18" t="s">
        <v>13</v>
      </c>
      <c r="B107" s="19">
        <f>B105</f>
        <v>1778000</v>
      </c>
      <c r="C107" s="19">
        <f>C105</f>
        <v>1778000</v>
      </c>
      <c r="D107" s="16">
        <f>D105</f>
        <v>1399948</v>
      </c>
      <c r="E107" s="17">
        <f>D107/C107*100</f>
        <v>78.737232845894269</v>
      </c>
    </row>
    <row r="108" spans="1:5" x14ac:dyDescent="0.2">
      <c r="A108" s="18"/>
      <c r="B108" s="19"/>
      <c r="C108" s="7"/>
      <c r="D108" s="7"/>
      <c r="E108" s="7"/>
    </row>
    <row r="109" spans="1:5" x14ac:dyDescent="0.2">
      <c r="A109" s="23"/>
      <c r="B109" s="10"/>
      <c r="C109" s="7"/>
      <c r="D109" s="7"/>
      <c r="E109" s="7"/>
    </row>
    <row r="110" spans="1:5" x14ac:dyDescent="0.2">
      <c r="A110" s="86" t="s">
        <v>42</v>
      </c>
      <c r="B110" s="86"/>
      <c r="C110" s="86"/>
      <c r="D110" s="86"/>
      <c r="E110" s="86"/>
    </row>
    <row r="111" spans="1:5" x14ac:dyDescent="0.2">
      <c r="A111" s="18"/>
      <c r="B111" s="25"/>
      <c r="C111" s="7"/>
      <c r="D111" s="7"/>
      <c r="E111" s="7"/>
    </row>
    <row r="112" spans="1:5" x14ac:dyDescent="0.2">
      <c r="A112" s="71" t="s">
        <v>43</v>
      </c>
      <c r="B112" s="72"/>
      <c r="C112" s="72"/>
      <c r="D112" s="72"/>
      <c r="E112" s="73"/>
    </row>
    <row r="113" spans="1:5" x14ac:dyDescent="0.2">
      <c r="A113" s="26"/>
      <c r="B113" s="22"/>
      <c r="C113" s="7"/>
      <c r="D113" s="7"/>
      <c r="E113" s="7"/>
    </row>
    <row r="114" spans="1:5" x14ac:dyDescent="0.2">
      <c r="A114" s="7" t="s">
        <v>44</v>
      </c>
      <c r="B114" s="22"/>
      <c r="C114" s="22">
        <v>12105000</v>
      </c>
      <c r="D114" s="7">
        <v>11694414</v>
      </c>
      <c r="E114" s="13">
        <f t="shared" ref="E114:E139" si="5">D114/C114*100</f>
        <v>96.608128872366791</v>
      </c>
    </row>
    <row r="115" spans="1:5" x14ac:dyDescent="0.2">
      <c r="A115" s="7" t="s">
        <v>38</v>
      </c>
      <c r="B115" s="22"/>
      <c r="C115" s="22"/>
      <c r="D115" s="7">
        <v>360905</v>
      </c>
      <c r="E115" s="13"/>
    </row>
    <row r="116" spans="1:5" x14ac:dyDescent="0.2">
      <c r="A116" s="7" t="s">
        <v>34</v>
      </c>
      <c r="B116" s="22"/>
      <c r="C116" s="22"/>
      <c r="D116" s="7">
        <v>166134</v>
      </c>
      <c r="E116" s="13"/>
    </row>
    <row r="117" spans="1:5" x14ac:dyDescent="0.2">
      <c r="A117" s="7" t="s">
        <v>16</v>
      </c>
      <c r="B117" s="7">
        <v>135000</v>
      </c>
      <c r="C117" s="7">
        <v>135000</v>
      </c>
      <c r="D117" s="7">
        <v>135000</v>
      </c>
      <c r="E117" s="13">
        <f t="shared" si="5"/>
        <v>100</v>
      </c>
    </row>
    <row r="118" spans="1:5" x14ac:dyDescent="0.2">
      <c r="A118" s="21" t="s">
        <v>17</v>
      </c>
      <c r="B118" s="16">
        <f>SUM(B110:B117)</f>
        <v>135000</v>
      </c>
      <c r="C118" s="16">
        <f>SUM(C110:C117)</f>
        <v>12240000</v>
      </c>
      <c r="D118" s="16">
        <f>SUM(D114:D117)</f>
        <v>12356453</v>
      </c>
      <c r="E118" s="17">
        <f t="shared" si="5"/>
        <v>100.95141339869281</v>
      </c>
    </row>
    <row r="119" spans="1:5" x14ac:dyDescent="0.2">
      <c r="A119" s="21"/>
      <c r="B119" s="16"/>
      <c r="C119" s="16"/>
      <c r="D119" s="7"/>
      <c r="E119" s="13"/>
    </row>
    <row r="120" spans="1:5" x14ac:dyDescent="0.2">
      <c r="A120" s="7" t="s">
        <v>18</v>
      </c>
      <c r="B120" s="7">
        <v>23693</v>
      </c>
      <c r="C120" s="7">
        <f>23693+2360475</f>
        <v>2384168</v>
      </c>
      <c r="D120" s="7">
        <v>2265821</v>
      </c>
      <c r="E120" s="13">
        <f t="shared" si="5"/>
        <v>95.036130004261437</v>
      </c>
    </row>
    <row r="121" spans="1:5" x14ac:dyDescent="0.2">
      <c r="A121" s="7" t="s">
        <v>39</v>
      </c>
      <c r="B121" s="7"/>
      <c r="C121" s="7"/>
      <c r="D121" s="7">
        <v>282319</v>
      </c>
      <c r="E121" s="13"/>
    </row>
    <row r="122" spans="1:5" x14ac:dyDescent="0.2">
      <c r="A122" s="21" t="s">
        <v>19</v>
      </c>
      <c r="B122" s="16">
        <f>SUM(B120:B120)</f>
        <v>23693</v>
      </c>
      <c r="C122" s="16">
        <f>SUM(C120:C120)</f>
        <v>2384168</v>
      </c>
      <c r="D122" s="16">
        <f>SUM(D120:D121)</f>
        <v>2548140</v>
      </c>
      <c r="E122" s="17">
        <f t="shared" si="5"/>
        <v>106.87753547568795</v>
      </c>
    </row>
    <row r="123" spans="1:5" x14ac:dyDescent="0.2">
      <c r="A123" s="21"/>
      <c r="B123" s="16"/>
      <c r="C123" s="7"/>
      <c r="D123" s="7"/>
      <c r="E123" s="13"/>
    </row>
    <row r="124" spans="1:5" x14ac:dyDescent="0.2">
      <c r="A124" s="7" t="s">
        <v>21</v>
      </c>
      <c r="B124" s="7">
        <v>3500000</v>
      </c>
      <c r="C124" s="7">
        <f>3500000+3900000+472440</f>
        <v>7872440</v>
      </c>
      <c r="D124" s="7">
        <v>7665047</v>
      </c>
      <c r="E124" s="13">
        <f t="shared" si="5"/>
        <v>97.365581700209844</v>
      </c>
    </row>
    <row r="125" spans="1:5" x14ac:dyDescent="0.2">
      <c r="A125" s="12" t="s">
        <v>27</v>
      </c>
      <c r="B125" s="7">
        <v>80000</v>
      </c>
      <c r="C125" s="7">
        <f>80000+900000</f>
        <v>980000</v>
      </c>
      <c r="D125" s="7">
        <v>642060</v>
      </c>
      <c r="E125" s="13">
        <f t="shared" si="5"/>
        <v>65.516326530612247</v>
      </c>
    </row>
    <row r="126" spans="1:5" x14ac:dyDescent="0.2">
      <c r="A126" s="12" t="s">
        <v>45</v>
      </c>
      <c r="B126" s="7"/>
      <c r="C126" s="7">
        <v>70000</v>
      </c>
      <c r="D126" s="7">
        <v>0</v>
      </c>
      <c r="E126" s="13">
        <f t="shared" si="5"/>
        <v>0</v>
      </c>
    </row>
    <row r="127" spans="1:5" x14ac:dyDescent="0.2">
      <c r="A127" s="14" t="s">
        <v>23</v>
      </c>
      <c r="B127" s="7"/>
      <c r="C127" s="7">
        <v>200000</v>
      </c>
      <c r="D127" s="7">
        <v>86793</v>
      </c>
      <c r="E127" s="13">
        <f t="shared" si="5"/>
        <v>43.396499999999996</v>
      </c>
    </row>
    <row r="128" spans="1:5" x14ac:dyDescent="0.2">
      <c r="A128" s="7" t="s">
        <v>22</v>
      </c>
      <c r="B128" s="7"/>
      <c r="C128" s="7">
        <v>80000</v>
      </c>
      <c r="D128" s="7">
        <v>42106</v>
      </c>
      <c r="E128" s="13">
        <f t="shared" si="5"/>
        <v>52.632500000000007</v>
      </c>
    </row>
    <row r="129" spans="1:5" x14ac:dyDescent="0.2">
      <c r="A129" s="12" t="s">
        <v>9</v>
      </c>
      <c r="B129" s="7"/>
      <c r="C129" s="7">
        <f>C130+C131+C132</f>
        <v>495000</v>
      </c>
      <c r="D129" s="7">
        <v>140392</v>
      </c>
      <c r="E129" s="13">
        <f t="shared" si="5"/>
        <v>28.362020202020201</v>
      </c>
    </row>
    <row r="130" spans="1:5" x14ac:dyDescent="0.2">
      <c r="A130" s="14" t="s">
        <v>24</v>
      </c>
      <c r="B130" s="7"/>
      <c r="C130" s="7">
        <v>280000</v>
      </c>
      <c r="D130" s="7">
        <v>51116</v>
      </c>
      <c r="E130" s="13">
        <f t="shared" si="5"/>
        <v>18.255714285714287</v>
      </c>
    </row>
    <row r="131" spans="1:5" x14ac:dyDescent="0.2">
      <c r="A131" s="14" t="s">
        <v>25</v>
      </c>
      <c r="B131" s="7"/>
      <c r="C131" s="7">
        <v>150000</v>
      </c>
      <c r="D131" s="7">
        <v>51720</v>
      </c>
      <c r="E131" s="13">
        <f t="shared" si="5"/>
        <v>34.479999999999997</v>
      </c>
    </row>
    <row r="132" spans="1:5" x14ac:dyDescent="0.2">
      <c r="A132" s="14" t="s">
        <v>26</v>
      </c>
      <c r="B132" s="7"/>
      <c r="C132" s="7">
        <v>65000</v>
      </c>
      <c r="D132" s="7">
        <f>D129-D130-D131</f>
        <v>37556</v>
      </c>
      <c r="E132" s="13">
        <f t="shared" si="5"/>
        <v>57.778461538461535</v>
      </c>
    </row>
    <row r="133" spans="1:5" x14ac:dyDescent="0.2">
      <c r="A133" s="12" t="s">
        <v>28</v>
      </c>
      <c r="B133" s="7">
        <v>4200000</v>
      </c>
      <c r="C133" s="7">
        <f>4200000+1400000+400000</f>
        <v>6000000</v>
      </c>
      <c r="D133" s="7">
        <v>6617396</v>
      </c>
      <c r="E133" s="13">
        <f t="shared" si="5"/>
        <v>110.28993333333332</v>
      </c>
    </row>
    <row r="134" spans="1:5" x14ac:dyDescent="0.2">
      <c r="A134" s="12" t="s">
        <v>29</v>
      </c>
      <c r="B134" s="7">
        <v>500000</v>
      </c>
      <c r="C134" s="7">
        <f>500000+430000+3096800</f>
        <v>4026800</v>
      </c>
      <c r="D134" s="7">
        <v>4394534</v>
      </c>
      <c r="E134" s="13">
        <f t="shared" si="5"/>
        <v>109.13216449786431</v>
      </c>
    </row>
    <row r="135" spans="1:5" x14ac:dyDescent="0.2">
      <c r="A135" s="12" t="s">
        <v>11</v>
      </c>
      <c r="B135" s="7">
        <f>(B124+B125+B133+B134)*0.27</f>
        <v>2235600</v>
      </c>
      <c r="C135" s="7">
        <f>(C124+C125+C133+C134+C126+C127+C128+C129)*0.27-472440*0.27+127560</f>
        <v>5325546.0000000009</v>
      </c>
      <c r="D135" s="7">
        <v>4632905</v>
      </c>
      <c r="E135" s="13">
        <f t="shared" si="5"/>
        <v>86.993990850891151</v>
      </c>
    </row>
    <row r="136" spans="1:5" x14ac:dyDescent="0.2">
      <c r="A136" s="12" t="s">
        <v>30</v>
      </c>
      <c r="B136" s="7">
        <v>800000</v>
      </c>
      <c r="C136" s="7">
        <f>800000+750000</f>
        <v>1550000</v>
      </c>
      <c r="D136" s="7">
        <v>1353904</v>
      </c>
      <c r="E136" s="13">
        <f t="shared" si="5"/>
        <v>87.348645161290335</v>
      </c>
    </row>
    <row r="137" spans="1:5" x14ac:dyDescent="0.2">
      <c r="A137" s="15" t="s">
        <v>12</v>
      </c>
      <c r="B137" s="16">
        <f>SUM(B124:B136)</f>
        <v>11315600</v>
      </c>
      <c r="C137" s="16">
        <f>C124+C125+C126+C127+C128+C129+C133+C134+C135+C136</f>
        <v>26599786</v>
      </c>
      <c r="D137" s="16">
        <f>SUM(D124:D136)-D129</f>
        <v>25575137</v>
      </c>
      <c r="E137" s="17">
        <f t="shared" si="5"/>
        <v>96.147905099687648</v>
      </c>
    </row>
    <row r="138" spans="1:5" x14ac:dyDescent="0.2">
      <c r="A138" s="11"/>
      <c r="B138" s="10"/>
      <c r="C138" s="7"/>
      <c r="D138" s="7"/>
      <c r="E138" s="17"/>
    </row>
    <row r="139" spans="1:5" x14ac:dyDescent="0.2">
      <c r="A139" s="18" t="s">
        <v>13</v>
      </c>
      <c r="B139" s="19">
        <f>B137+B122+B118</f>
        <v>11474293</v>
      </c>
      <c r="C139" s="16">
        <f>C118+C122+C137</f>
        <v>41223954</v>
      </c>
      <c r="D139" s="16">
        <f>D118+D122+D137</f>
        <v>40479730</v>
      </c>
      <c r="E139" s="17">
        <f t="shared" si="5"/>
        <v>98.194680694627195</v>
      </c>
    </row>
    <row r="140" spans="1:5" x14ac:dyDescent="0.2">
      <c r="A140" s="18"/>
      <c r="B140" s="19"/>
      <c r="C140" s="7"/>
      <c r="D140" s="7"/>
      <c r="E140" s="7"/>
    </row>
    <row r="141" spans="1:5" x14ac:dyDescent="0.2">
      <c r="A141" s="80" t="s">
        <v>46</v>
      </c>
      <c r="B141" s="81"/>
      <c r="C141" s="81"/>
      <c r="D141" s="81"/>
      <c r="E141" s="82"/>
    </row>
    <row r="142" spans="1:5" x14ac:dyDescent="0.2">
      <c r="A142" s="27"/>
      <c r="B142" s="27"/>
      <c r="C142" s="27"/>
      <c r="D142" s="27"/>
      <c r="E142" s="27"/>
    </row>
    <row r="143" spans="1:5" x14ac:dyDescent="0.2">
      <c r="A143" s="12" t="s">
        <v>47</v>
      </c>
      <c r="B143" s="28">
        <v>581623</v>
      </c>
      <c r="C143" s="28">
        <v>581623</v>
      </c>
      <c r="D143" s="7">
        <v>581623</v>
      </c>
      <c r="E143" s="13">
        <f>D143/C143*100</f>
        <v>100</v>
      </c>
    </row>
    <row r="144" spans="1:5" x14ac:dyDescent="0.2">
      <c r="A144" s="15" t="s">
        <v>12</v>
      </c>
      <c r="B144" s="19">
        <f>B143</f>
        <v>581623</v>
      </c>
      <c r="C144" s="19">
        <f>C143</f>
        <v>581623</v>
      </c>
      <c r="D144" s="16">
        <f>SUM(D143)</f>
        <v>581623</v>
      </c>
      <c r="E144" s="17">
        <f>D144/C144*100</f>
        <v>100</v>
      </c>
    </row>
    <row r="145" spans="1:5" x14ac:dyDescent="0.2">
      <c r="A145" s="11"/>
      <c r="B145" s="19"/>
      <c r="C145" s="19"/>
      <c r="D145" s="16"/>
      <c r="E145" s="17"/>
    </row>
    <row r="146" spans="1:5" x14ac:dyDescent="0.2">
      <c r="A146" s="18" t="s">
        <v>13</v>
      </c>
      <c r="B146" s="19">
        <f>B144</f>
        <v>581623</v>
      </c>
      <c r="C146" s="19">
        <f>C144</f>
        <v>581623</v>
      </c>
      <c r="D146" s="16">
        <f>D144</f>
        <v>581623</v>
      </c>
      <c r="E146" s="17">
        <f>D146/C146*100</f>
        <v>100</v>
      </c>
    </row>
    <row r="147" spans="1:5" x14ac:dyDescent="0.2">
      <c r="A147" s="18"/>
      <c r="B147" s="19"/>
      <c r="C147" s="7"/>
      <c r="D147" s="7"/>
      <c r="E147" s="7"/>
    </row>
    <row r="148" spans="1:5" x14ac:dyDescent="0.2">
      <c r="A148" s="80" t="s">
        <v>48</v>
      </c>
      <c r="B148" s="81"/>
      <c r="C148" s="81"/>
      <c r="D148" s="81"/>
      <c r="E148" s="82"/>
    </row>
    <row r="149" spans="1:5" x14ac:dyDescent="0.2">
      <c r="A149" s="27"/>
      <c r="B149" s="29"/>
      <c r="C149" s="7"/>
      <c r="D149" s="7"/>
      <c r="E149" s="7"/>
    </row>
    <row r="150" spans="1:5" x14ac:dyDescent="0.2">
      <c r="A150" s="7" t="s">
        <v>49</v>
      </c>
      <c r="B150" s="7">
        <v>34624100</v>
      </c>
      <c r="C150" s="7">
        <v>34624100</v>
      </c>
      <c r="D150" s="7">
        <v>36251589</v>
      </c>
      <c r="E150" s="13">
        <f t="shared" ref="E150:E176" si="6">D150/C150*100</f>
        <v>104.7004514196759</v>
      </c>
    </row>
    <row r="151" spans="1:5" x14ac:dyDescent="0.2">
      <c r="A151" s="7" t="s">
        <v>38</v>
      </c>
      <c r="B151" s="7"/>
      <c r="C151" s="7"/>
      <c r="D151" s="7">
        <v>1535786</v>
      </c>
      <c r="E151" s="13"/>
    </row>
    <row r="152" spans="1:5" x14ac:dyDescent="0.2">
      <c r="A152" s="7" t="s">
        <v>50</v>
      </c>
      <c r="B152" s="7">
        <v>596000</v>
      </c>
      <c r="C152" s="7">
        <v>596000</v>
      </c>
      <c r="D152" s="7">
        <v>515958</v>
      </c>
      <c r="E152" s="13">
        <f t="shared" si="6"/>
        <v>86.570134228187925</v>
      </c>
    </row>
    <row r="153" spans="1:5" x14ac:dyDescent="0.2">
      <c r="A153" s="7" t="s">
        <v>34</v>
      </c>
      <c r="B153" s="7">
        <v>1304000</v>
      </c>
      <c r="C153" s="7">
        <v>1304000</v>
      </c>
      <c r="D153" s="7">
        <v>1812763</v>
      </c>
      <c r="E153" s="13">
        <f t="shared" si="6"/>
        <v>139.01556748466257</v>
      </c>
    </row>
    <row r="154" spans="1:5" x14ac:dyDescent="0.2">
      <c r="A154" s="7" t="s">
        <v>16</v>
      </c>
      <c r="B154" s="7">
        <v>1100000</v>
      </c>
      <c r="C154" s="7">
        <v>1100000</v>
      </c>
      <c r="D154" s="7">
        <v>515225</v>
      </c>
      <c r="E154" s="13">
        <f t="shared" si="6"/>
        <v>46.838636363636368</v>
      </c>
    </row>
    <row r="155" spans="1:5" x14ac:dyDescent="0.2">
      <c r="A155" s="21" t="s">
        <v>17</v>
      </c>
      <c r="B155" s="16">
        <f>SUM(B150:B154)</f>
        <v>37624100</v>
      </c>
      <c r="C155" s="16">
        <f>SUM(C150:C154)</f>
        <v>37624100</v>
      </c>
      <c r="D155" s="16">
        <f>SUM(D150:D154)</f>
        <v>40631321</v>
      </c>
      <c r="E155" s="17">
        <f t="shared" si="6"/>
        <v>107.99280514351173</v>
      </c>
    </row>
    <row r="156" spans="1:5" x14ac:dyDescent="0.2">
      <c r="A156" s="7"/>
      <c r="B156" s="7"/>
      <c r="C156" s="7"/>
      <c r="D156" s="7"/>
      <c r="E156" s="13"/>
    </row>
    <row r="157" spans="1:5" x14ac:dyDescent="0.2">
      <c r="A157" s="7" t="s">
        <v>18</v>
      </c>
      <c r="B157" s="7">
        <v>7199030</v>
      </c>
      <c r="C157" s="7">
        <v>7199030</v>
      </c>
      <c r="D157" s="7">
        <v>7260359</v>
      </c>
      <c r="E157" s="13">
        <f t="shared" si="6"/>
        <v>100.85190643739503</v>
      </c>
    </row>
    <row r="158" spans="1:5" x14ac:dyDescent="0.2">
      <c r="A158" s="7" t="s">
        <v>39</v>
      </c>
      <c r="B158" s="7">
        <v>20000</v>
      </c>
      <c r="C158" s="7">
        <v>20000</v>
      </c>
      <c r="D158" s="7">
        <v>58608</v>
      </c>
      <c r="E158" s="13">
        <f t="shared" si="6"/>
        <v>293.04000000000002</v>
      </c>
    </row>
    <row r="159" spans="1:5" x14ac:dyDescent="0.2">
      <c r="A159" s="21" t="s">
        <v>19</v>
      </c>
      <c r="B159" s="16">
        <f>SUM(B157:B158)</f>
        <v>7219030</v>
      </c>
      <c r="C159" s="16">
        <f>SUM(C157:C158)</f>
        <v>7219030</v>
      </c>
      <c r="D159" s="16">
        <f>SUM(D157:D158)</f>
        <v>7318967</v>
      </c>
      <c r="E159" s="17">
        <f t="shared" si="6"/>
        <v>101.38435496181619</v>
      </c>
    </row>
    <row r="160" spans="1:5" x14ac:dyDescent="0.2">
      <c r="A160" s="7"/>
      <c r="B160" s="7"/>
      <c r="C160" s="7"/>
      <c r="D160" s="7"/>
      <c r="E160" s="13"/>
    </row>
    <row r="161" spans="1:5" x14ac:dyDescent="0.2">
      <c r="A161" s="7" t="s">
        <v>20</v>
      </c>
      <c r="B161" s="7">
        <v>10000</v>
      </c>
      <c r="C161" s="7">
        <v>10000</v>
      </c>
      <c r="D161" s="7">
        <v>15185</v>
      </c>
      <c r="E161" s="13">
        <f t="shared" si="6"/>
        <v>151.85</v>
      </c>
    </row>
    <row r="162" spans="1:5" x14ac:dyDescent="0.2">
      <c r="A162" s="7" t="s">
        <v>21</v>
      </c>
      <c r="B162" s="7">
        <v>5000000</v>
      </c>
      <c r="C162" s="7">
        <f>5000000+1200000+737840+884499</f>
        <v>7822339</v>
      </c>
      <c r="D162" s="7">
        <v>7493821</v>
      </c>
      <c r="E162" s="13">
        <f t="shared" si="6"/>
        <v>95.800258720569389</v>
      </c>
    </row>
    <row r="163" spans="1:5" x14ac:dyDescent="0.2">
      <c r="A163" s="7" t="s">
        <v>22</v>
      </c>
      <c r="B163" s="7">
        <v>270000</v>
      </c>
      <c r="C163" s="7">
        <v>270000</v>
      </c>
      <c r="D163" s="7">
        <v>273562</v>
      </c>
      <c r="E163" s="13">
        <f t="shared" si="6"/>
        <v>101.31925925925927</v>
      </c>
    </row>
    <row r="164" spans="1:5" x14ac:dyDescent="0.2">
      <c r="A164" s="12" t="s">
        <v>9</v>
      </c>
      <c r="B164" s="7">
        <f>SUM(B165:B167)</f>
        <v>15982000</v>
      </c>
      <c r="C164" s="7">
        <f>SUM(C165:C167)</f>
        <v>15982000</v>
      </c>
      <c r="D164" s="7">
        <v>15814046</v>
      </c>
      <c r="E164" s="13">
        <f t="shared" si="6"/>
        <v>98.949105243398833</v>
      </c>
    </row>
    <row r="165" spans="1:5" x14ac:dyDescent="0.2">
      <c r="A165" s="14" t="s">
        <v>24</v>
      </c>
      <c r="B165" s="7">
        <v>382000</v>
      </c>
      <c r="C165" s="7">
        <v>382000</v>
      </c>
      <c r="D165" s="7">
        <v>421982</v>
      </c>
      <c r="E165" s="13">
        <f t="shared" si="6"/>
        <v>110.46649214659685</v>
      </c>
    </row>
    <row r="166" spans="1:5" x14ac:dyDescent="0.2">
      <c r="A166" s="14" t="s">
        <v>25</v>
      </c>
      <c r="B166" s="7">
        <f>10800000+1300000</f>
        <v>12100000</v>
      </c>
      <c r="C166" s="7">
        <f>10800000+1300000</f>
        <v>12100000</v>
      </c>
      <c r="D166" s="7">
        <v>11927881</v>
      </c>
      <c r="E166" s="13">
        <f t="shared" si="6"/>
        <v>98.577528925619845</v>
      </c>
    </row>
    <row r="167" spans="1:5" x14ac:dyDescent="0.2">
      <c r="A167" s="14" t="s">
        <v>26</v>
      </c>
      <c r="B167" s="7">
        <v>3500000</v>
      </c>
      <c r="C167" s="7">
        <v>3500000</v>
      </c>
      <c r="D167" s="7">
        <f>D164-D165-D166</f>
        <v>3464183</v>
      </c>
      <c r="E167" s="13">
        <f t="shared" si="6"/>
        <v>98.976657142857135</v>
      </c>
    </row>
    <row r="168" spans="1:5" x14ac:dyDescent="0.2">
      <c r="A168" s="12" t="s">
        <v>27</v>
      </c>
      <c r="B168" s="7">
        <v>2800000</v>
      </c>
      <c r="C168" s="7">
        <f>2800000-42677-100000+100000</f>
        <v>2757323</v>
      </c>
      <c r="D168" s="7">
        <v>2810876</v>
      </c>
      <c r="E168" s="13">
        <f t="shared" si="6"/>
        <v>101.9422098898098</v>
      </c>
    </row>
    <row r="169" spans="1:5" x14ac:dyDescent="0.2">
      <c r="A169" s="12" t="s">
        <v>28</v>
      </c>
      <c r="B169" s="7">
        <v>2300000</v>
      </c>
      <c r="C169" s="7">
        <v>2300000</v>
      </c>
      <c r="D169" s="7">
        <v>2296150</v>
      </c>
      <c r="E169" s="13">
        <f t="shared" si="6"/>
        <v>99.832608695652169</v>
      </c>
    </row>
    <row r="170" spans="1:5" x14ac:dyDescent="0.2">
      <c r="A170" s="12" t="s">
        <v>29</v>
      </c>
      <c r="B170" s="7">
        <f>1000000+400000</f>
        <v>1400000</v>
      </c>
      <c r="C170" s="7">
        <f>1000000+400000+45119</f>
        <v>1445119</v>
      </c>
      <c r="D170" s="7">
        <v>1682488</v>
      </c>
      <c r="E170" s="13">
        <f t="shared" si="6"/>
        <v>116.42556772141258</v>
      </c>
    </row>
    <row r="171" spans="1:5" x14ac:dyDescent="0.2">
      <c r="A171" s="12" t="s">
        <v>51</v>
      </c>
      <c r="B171" s="7">
        <v>900000</v>
      </c>
      <c r="C171" s="7">
        <v>900000</v>
      </c>
      <c r="D171" s="7">
        <v>1138410</v>
      </c>
      <c r="E171" s="13">
        <f t="shared" si="6"/>
        <v>126.49</v>
      </c>
    </row>
    <row r="172" spans="1:5" x14ac:dyDescent="0.2">
      <c r="A172" s="12" t="s">
        <v>11</v>
      </c>
      <c r="B172" s="7">
        <f>(B161+B162+B163+B164+B168+B169+B170+B171)*0.27</f>
        <v>7738740.0000000009</v>
      </c>
      <c r="C172" s="7">
        <f>8024217+209697+265815</f>
        <v>8499729</v>
      </c>
      <c r="D172" s="7">
        <v>7763823</v>
      </c>
      <c r="E172" s="13">
        <f t="shared" si="6"/>
        <v>91.342006315730771</v>
      </c>
    </row>
    <row r="173" spans="1:5" x14ac:dyDescent="0.2">
      <c r="A173" s="12" t="s">
        <v>30</v>
      </c>
      <c r="B173" s="7"/>
      <c r="C173" s="7">
        <f>2908000+427000+1000000</f>
        <v>4335000</v>
      </c>
      <c r="D173" s="7">
        <v>5254906</v>
      </c>
      <c r="E173" s="13">
        <f t="shared" si="6"/>
        <v>121.22043829296425</v>
      </c>
    </row>
    <row r="174" spans="1:5" x14ac:dyDescent="0.2">
      <c r="A174" s="15" t="s">
        <v>12</v>
      </c>
      <c r="B174" s="16">
        <f>SUM(B161:B172)-B165-B166-B167</f>
        <v>36400740</v>
      </c>
      <c r="C174" s="16">
        <f>SUM(C161:C172)-C165-C166-C167+C173</f>
        <v>44321510</v>
      </c>
      <c r="D174" s="16">
        <f>SUM(D161:D173)-D164</f>
        <v>44543267</v>
      </c>
      <c r="E174" s="17">
        <f t="shared" si="6"/>
        <v>100.50033719519034</v>
      </c>
    </row>
    <row r="175" spans="1:5" x14ac:dyDescent="0.2">
      <c r="A175" s="11"/>
      <c r="B175" s="10"/>
      <c r="C175" s="10"/>
      <c r="D175" s="7"/>
      <c r="E175" s="17"/>
    </row>
    <row r="176" spans="1:5" x14ac:dyDescent="0.2">
      <c r="A176" s="18" t="s">
        <v>13</v>
      </c>
      <c r="B176" s="19">
        <f>B155+B159+B174</f>
        <v>81243870</v>
      </c>
      <c r="C176" s="19">
        <f>C155+C159+C174</f>
        <v>89164640</v>
      </c>
      <c r="D176" s="16">
        <f>D155+D159+D174</f>
        <v>92493555</v>
      </c>
      <c r="E176" s="17">
        <f t="shared" si="6"/>
        <v>103.73344747424539</v>
      </c>
    </row>
    <row r="177" spans="1:5" x14ac:dyDescent="0.2">
      <c r="A177" s="18"/>
      <c r="B177" s="30"/>
      <c r="C177" s="7"/>
      <c r="D177" s="7"/>
      <c r="E177" s="7"/>
    </row>
    <row r="178" spans="1:5" x14ac:dyDescent="0.2">
      <c r="A178" s="79" t="s">
        <v>52</v>
      </c>
      <c r="B178" s="79"/>
      <c r="C178" s="79"/>
      <c r="D178" s="79"/>
      <c r="E178" s="79"/>
    </row>
    <row r="179" spans="1:5" x14ac:dyDescent="0.2">
      <c r="A179" s="18"/>
      <c r="B179" s="19"/>
      <c r="C179" s="7"/>
      <c r="D179" s="7"/>
      <c r="E179" s="7"/>
    </row>
    <row r="180" spans="1:5" ht="12.75" customHeight="1" x14ac:dyDescent="0.2">
      <c r="A180" s="80" t="s">
        <v>53</v>
      </c>
      <c r="B180" s="81"/>
      <c r="C180" s="81"/>
      <c r="D180" s="81"/>
      <c r="E180" s="82"/>
    </row>
    <row r="181" spans="1:5" x14ac:dyDescent="0.2">
      <c r="A181" s="7" t="s">
        <v>54</v>
      </c>
      <c r="B181" s="10"/>
      <c r="C181" s="7">
        <v>1788000</v>
      </c>
      <c r="D181" s="7">
        <v>1788001</v>
      </c>
      <c r="E181" s="13">
        <f t="shared" ref="E181:E204" si="7">D181/C181*100</f>
        <v>100.00005592841164</v>
      </c>
    </row>
    <row r="182" spans="1:5" x14ac:dyDescent="0.2">
      <c r="A182" s="7" t="s">
        <v>55</v>
      </c>
      <c r="B182" s="7">
        <v>148699</v>
      </c>
      <c r="C182" s="7">
        <v>148699</v>
      </c>
      <c r="D182" s="7">
        <v>0</v>
      </c>
      <c r="E182" s="13">
        <f t="shared" si="7"/>
        <v>0</v>
      </c>
    </row>
    <row r="183" spans="1:5" x14ac:dyDescent="0.2">
      <c r="A183" s="7" t="s">
        <v>56</v>
      </c>
      <c r="B183" s="7">
        <v>9022</v>
      </c>
      <c r="C183" s="7">
        <v>9022</v>
      </c>
      <c r="D183" s="7">
        <v>15104</v>
      </c>
      <c r="E183" s="13">
        <f t="shared" si="7"/>
        <v>167.41299046774552</v>
      </c>
    </row>
    <row r="184" spans="1:5" x14ac:dyDescent="0.2">
      <c r="A184" s="7" t="s">
        <v>34</v>
      </c>
      <c r="B184" s="7">
        <v>25000</v>
      </c>
      <c r="C184" s="7">
        <v>25000</v>
      </c>
      <c r="D184" s="7">
        <v>0</v>
      </c>
      <c r="E184" s="13">
        <f t="shared" si="7"/>
        <v>0</v>
      </c>
    </row>
    <row r="185" spans="1:5" x14ac:dyDescent="0.2">
      <c r="A185" s="7" t="s">
        <v>57</v>
      </c>
      <c r="B185" s="7">
        <v>15104522</v>
      </c>
      <c r="C185" s="7">
        <v>15104522</v>
      </c>
      <c r="D185" s="7">
        <v>14943152</v>
      </c>
      <c r="E185" s="13">
        <f t="shared" si="7"/>
        <v>98.931644443961886</v>
      </c>
    </row>
    <row r="186" spans="1:5" x14ac:dyDescent="0.2">
      <c r="A186" s="7" t="s">
        <v>58</v>
      </c>
      <c r="B186" s="7">
        <v>816000</v>
      </c>
      <c r="C186" s="7">
        <v>816000</v>
      </c>
      <c r="D186" s="7">
        <v>774321</v>
      </c>
      <c r="E186" s="13">
        <f t="shared" si="7"/>
        <v>94.892279411764704</v>
      </c>
    </row>
    <row r="187" spans="1:5" x14ac:dyDescent="0.2">
      <c r="A187" s="21" t="s">
        <v>17</v>
      </c>
      <c r="B187" s="16">
        <f>SUM(B182:B186)</f>
        <v>16103243</v>
      </c>
      <c r="C187" s="16">
        <f>SUM(C181:C186)</f>
        <v>17891243</v>
      </c>
      <c r="D187" s="16">
        <f>SUM(D181:D186)</f>
        <v>17520578</v>
      </c>
      <c r="E187" s="17">
        <f t="shared" si="7"/>
        <v>97.92823226424234</v>
      </c>
    </row>
    <row r="188" spans="1:5" x14ac:dyDescent="0.2">
      <c r="A188" s="7"/>
      <c r="B188" s="7"/>
      <c r="C188" s="7"/>
      <c r="D188" s="7"/>
      <c r="E188" s="13"/>
    </row>
    <row r="189" spans="1:5" x14ac:dyDescent="0.2">
      <c r="A189" s="7" t="s">
        <v>18</v>
      </c>
      <c r="B189" s="7">
        <v>2997330</v>
      </c>
      <c r="C189" s="7">
        <f>2997330+348656</f>
        <v>3345986</v>
      </c>
      <c r="D189" s="7">
        <v>2940584</v>
      </c>
      <c r="E189" s="13">
        <f t="shared" si="7"/>
        <v>87.88393017783099</v>
      </c>
    </row>
    <row r="190" spans="1:5" x14ac:dyDescent="0.2">
      <c r="A190" s="7" t="s">
        <v>59</v>
      </c>
      <c r="B190" s="7">
        <v>28996</v>
      </c>
      <c r="C190" s="7">
        <v>28996</v>
      </c>
      <c r="D190" s="7">
        <v>11936</v>
      </c>
      <c r="E190" s="13">
        <f t="shared" si="7"/>
        <v>41.164298523934335</v>
      </c>
    </row>
    <row r="191" spans="1:5" x14ac:dyDescent="0.2">
      <c r="A191" s="7" t="s">
        <v>60</v>
      </c>
      <c r="B191" s="7">
        <v>22305</v>
      </c>
      <c r="C191" s="7">
        <v>22305</v>
      </c>
      <c r="D191" s="7">
        <v>22305</v>
      </c>
      <c r="E191" s="13">
        <f t="shared" si="7"/>
        <v>100</v>
      </c>
    </row>
    <row r="192" spans="1:5" x14ac:dyDescent="0.2">
      <c r="A192" s="21" t="s">
        <v>19</v>
      </c>
      <c r="B192" s="16">
        <f>SUM(B189:B191)</f>
        <v>3048631</v>
      </c>
      <c r="C192" s="16">
        <f>SUM(C189:C191)</f>
        <v>3397287</v>
      </c>
      <c r="D192" s="16">
        <f>SUM(D189:D191)</f>
        <v>2974825</v>
      </c>
      <c r="E192" s="17">
        <f t="shared" si="7"/>
        <v>87.564724440413784</v>
      </c>
    </row>
    <row r="193" spans="1:5" x14ac:dyDescent="0.2">
      <c r="A193" s="7"/>
      <c r="B193" s="7"/>
      <c r="C193" s="7"/>
      <c r="D193" s="7"/>
      <c r="E193" s="13"/>
    </row>
    <row r="194" spans="1:5" x14ac:dyDescent="0.2">
      <c r="A194" s="7" t="s">
        <v>21</v>
      </c>
      <c r="B194" s="7">
        <v>180000</v>
      </c>
      <c r="C194" s="7">
        <v>180000</v>
      </c>
      <c r="D194" s="7">
        <v>149225</v>
      </c>
      <c r="E194" s="13">
        <f t="shared" si="7"/>
        <v>82.902777777777786</v>
      </c>
    </row>
    <row r="195" spans="1:5" x14ac:dyDescent="0.2">
      <c r="A195" s="12" t="s">
        <v>45</v>
      </c>
      <c r="B195" s="7">
        <v>70000</v>
      </c>
      <c r="C195" s="7">
        <v>70000</v>
      </c>
      <c r="D195" s="7">
        <v>0</v>
      </c>
      <c r="E195" s="13">
        <f t="shared" si="7"/>
        <v>0</v>
      </c>
    </row>
    <row r="196" spans="1:5" x14ac:dyDescent="0.2">
      <c r="A196" s="12" t="s">
        <v>28</v>
      </c>
      <c r="B196" s="7">
        <v>480000</v>
      </c>
      <c r="C196" s="7">
        <v>480000</v>
      </c>
      <c r="D196" s="7">
        <v>480000</v>
      </c>
      <c r="E196" s="13">
        <f t="shared" si="7"/>
        <v>100</v>
      </c>
    </row>
    <row r="197" spans="1:5" x14ac:dyDescent="0.2">
      <c r="A197" s="12" t="s">
        <v>29</v>
      </c>
      <c r="B197" s="7">
        <f>2300000+400000</f>
        <v>2700000</v>
      </c>
      <c r="C197" s="7">
        <f>2300000+400000</f>
        <v>2700000</v>
      </c>
      <c r="D197" s="7">
        <v>3010724</v>
      </c>
      <c r="E197" s="13">
        <f t="shared" si="7"/>
        <v>111.50829629629631</v>
      </c>
    </row>
    <row r="198" spans="1:5" x14ac:dyDescent="0.2">
      <c r="A198" s="12" t="s">
        <v>11</v>
      </c>
      <c r="B198" s="7">
        <f>(B194+B195+B196+B197)*0.27</f>
        <v>926100.00000000012</v>
      </c>
      <c r="C198" s="7">
        <f>(C194+C195+C196+C197)*0.27</f>
        <v>926100.00000000012</v>
      </c>
      <c r="D198" s="7">
        <v>82575</v>
      </c>
      <c r="E198" s="13">
        <f t="shared" si="7"/>
        <v>8.9164237123420786</v>
      </c>
    </row>
    <row r="199" spans="1:5" x14ac:dyDescent="0.2">
      <c r="A199" s="12" t="s">
        <v>61</v>
      </c>
      <c r="B199" s="7">
        <f>'[1]3_melléklet'!B11+'[1]3_melléklet'!B15+'[1]3_melléklet'!B28+'[1]3_melléklet'!B47-'[1]3_melléklet'!B46*0.27-'[1]5_melléklet'!B147-'[1]5_melléklet'!B112+'[1]5_melléklet'!B109*0.27+'[1]5_melléklet'!B111*0.27+400000*0.27</f>
        <v>124759.99999999907</v>
      </c>
      <c r="C199" s="7">
        <f>124760+250240</f>
        <v>375000</v>
      </c>
      <c r="D199" s="7">
        <v>375000</v>
      </c>
      <c r="E199" s="13">
        <f t="shared" si="7"/>
        <v>100</v>
      </c>
    </row>
    <row r="200" spans="1:5" x14ac:dyDescent="0.2">
      <c r="A200" s="12" t="s">
        <v>62</v>
      </c>
      <c r="B200" s="7">
        <v>8055000</v>
      </c>
      <c r="C200" s="7">
        <v>8055000</v>
      </c>
      <c r="D200" s="7">
        <v>8206973</v>
      </c>
      <c r="E200" s="13">
        <f t="shared" si="7"/>
        <v>101.88669149596524</v>
      </c>
    </row>
    <row r="201" spans="1:5" x14ac:dyDescent="0.2">
      <c r="A201" s="12" t="s">
        <v>30</v>
      </c>
      <c r="B201" s="7">
        <f>900000</f>
        <v>900000</v>
      </c>
      <c r="C201" s="7">
        <f>900000+632887</f>
        <v>1532887</v>
      </c>
      <c r="D201" s="7">
        <v>1118545</v>
      </c>
      <c r="E201" s="13">
        <f t="shared" si="7"/>
        <v>72.969827521532892</v>
      </c>
    </row>
    <row r="202" spans="1:5" x14ac:dyDescent="0.2">
      <c r="A202" s="15" t="s">
        <v>12</v>
      </c>
      <c r="B202" s="16">
        <f>SUM(B194:B201)</f>
        <v>13435860</v>
      </c>
      <c r="C202" s="16">
        <f>SUM(C194:C201)</f>
        <v>14318987</v>
      </c>
      <c r="D202" s="16">
        <f>SUM(D194:D201)</f>
        <v>13423042</v>
      </c>
      <c r="E202" s="17">
        <f t="shared" si="7"/>
        <v>93.742958213454628</v>
      </c>
    </row>
    <row r="203" spans="1:5" x14ac:dyDescent="0.2">
      <c r="A203" s="11"/>
      <c r="B203" s="10"/>
      <c r="C203" s="10"/>
      <c r="D203" s="7"/>
      <c r="E203" s="17"/>
    </row>
    <row r="204" spans="1:5" x14ac:dyDescent="0.2">
      <c r="A204" s="18" t="s">
        <v>13</v>
      </c>
      <c r="B204" s="19">
        <f>B187+B192+B202</f>
        <v>32587734</v>
      </c>
      <c r="C204" s="19">
        <f>C187+C192+C202</f>
        <v>35607517</v>
      </c>
      <c r="D204" s="16">
        <f>D187+D192+D202</f>
        <v>33918445</v>
      </c>
      <c r="E204" s="17">
        <f t="shared" si="7"/>
        <v>95.256417345809311</v>
      </c>
    </row>
    <row r="205" spans="1:5" x14ac:dyDescent="0.2">
      <c r="A205" s="11"/>
      <c r="B205" s="10"/>
      <c r="C205" s="7"/>
      <c r="D205" s="7"/>
      <c r="E205" s="7"/>
    </row>
    <row r="206" spans="1:5" x14ac:dyDescent="0.2">
      <c r="A206" s="71" t="s">
        <v>63</v>
      </c>
      <c r="B206" s="72"/>
      <c r="C206" s="72"/>
      <c r="D206" s="72"/>
      <c r="E206" s="73"/>
    </row>
    <row r="207" spans="1:5" x14ac:dyDescent="0.2">
      <c r="A207" s="18"/>
      <c r="B207" s="31"/>
      <c r="C207" s="7"/>
      <c r="D207" s="7"/>
      <c r="E207" s="7"/>
    </row>
    <row r="208" spans="1:5" x14ac:dyDescent="0.2">
      <c r="A208" s="7" t="s">
        <v>64</v>
      </c>
      <c r="B208" s="32">
        <v>1984252</v>
      </c>
      <c r="C208" s="32">
        <v>1984252</v>
      </c>
      <c r="D208" s="7">
        <v>1937234</v>
      </c>
      <c r="E208" s="13">
        <f t="shared" ref="E208:E219" si="8">D208/C208*100</f>
        <v>97.630442101104094</v>
      </c>
    </row>
    <row r="209" spans="1:5" x14ac:dyDescent="0.2">
      <c r="A209" s="12" t="s">
        <v>11</v>
      </c>
      <c r="B209" s="32">
        <f>2520000-B208</f>
        <v>535748</v>
      </c>
      <c r="C209" s="32">
        <f>2520000-C208</f>
        <v>535748</v>
      </c>
      <c r="D209" s="7">
        <v>523053</v>
      </c>
      <c r="E209" s="13">
        <f t="shared" si="8"/>
        <v>97.630415792499463</v>
      </c>
    </row>
    <row r="210" spans="1:5" x14ac:dyDescent="0.2">
      <c r="A210" s="15" t="s">
        <v>12</v>
      </c>
      <c r="B210" s="31">
        <f>SUM(B208:B209)</f>
        <v>2520000</v>
      </c>
      <c r="C210" s="31">
        <f>SUM(C208:C209)</f>
        <v>2520000</v>
      </c>
      <c r="D210" s="16">
        <f>SUM(D208:D209)</f>
        <v>2460287</v>
      </c>
      <c r="E210" s="17">
        <f t="shared" si="8"/>
        <v>97.630436507936508</v>
      </c>
    </row>
    <row r="211" spans="1:5" x14ac:dyDescent="0.2">
      <c r="A211" s="11"/>
      <c r="B211" s="31"/>
      <c r="C211" s="31"/>
      <c r="D211" s="16"/>
      <c r="E211" s="17"/>
    </row>
    <row r="212" spans="1:5" x14ac:dyDescent="0.2">
      <c r="A212" s="18" t="s">
        <v>13</v>
      </c>
      <c r="B212" s="31">
        <f>B210</f>
        <v>2520000</v>
      </c>
      <c r="C212" s="31">
        <f>C210</f>
        <v>2520000</v>
      </c>
      <c r="D212" s="16">
        <f>D210</f>
        <v>2460287</v>
      </c>
      <c r="E212" s="17">
        <f t="shared" si="8"/>
        <v>97.630436507936508</v>
      </c>
    </row>
    <row r="213" spans="1:5" x14ac:dyDescent="0.2">
      <c r="A213" s="18"/>
      <c r="B213" s="31"/>
      <c r="C213" s="31"/>
      <c r="D213" s="7"/>
      <c r="E213" s="17"/>
    </row>
    <row r="214" spans="1:5" x14ac:dyDescent="0.2">
      <c r="A214" s="18"/>
      <c r="B214" s="31"/>
      <c r="C214" s="31"/>
      <c r="D214" s="7"/>
      <c r="E214" s="17"/>
    </row>
    <row r="215" spans="1:5" x14ac:dyDescent="0.2">
      <c r="A215" s="21" t="s">
        <v>17</v>
      </c>
      <c r="B215" s="19">
        <f>B23+B86+B155+B187+B118</f>
        <v>88416714</v>
      </c>
      <c r="C215" s="19">
        <f>C23+C64+C86+C118+C155+C187</f>
        <v>104865759</v>
      </c>
      <c r="D215" s="19">
        <f>D23+D64+D86+D118+D155+D187</f>
        <v>103819476</v>
      </c>
      <c r="E215" s="17">
        <f t="shared" si="8"/>
        <v>99.002264409300651</v>
      </c>
    </row>
    <row r="216" spans="1:5" x14ac:dyDescent="0.2">
      <c r="A216" s="21" t="s">
        <v>19</v>
      </c>
      <c r="B216" s="19">
        <f>B26+B90+B159+B192+B122</f>
        <v>14092529</v>
      </c>
      <c r="C216" s="19">
        <f>C26+C67+C90+C122+C159+C192</f>
        <v>17208841</v>
      </c>
      <c r="D216" s="19">
        <f>D26+D67+D90+D122+D159+D192</f>
        <v>16462357</v>
      </c>
      <c r="E216" s="17">
        <f t="shared" si="8"/>
        <v>95.662206420525351</v>
      </c>
    </row>
    <row r="217" spans="1:5" x14ac:dyDescent="0.2">
      <c r="A217" s="15" t="s">
        <v>65</v>
      </c>
      <c r="B217" s="19">
        <f>B15+B41+B52+B77+B96+B105+B137+B174+B202+B144+B212</f>
        <v>101074853</v>
      </c>
      <c r="C217" s="19">
        <f>C15+C41+C52+C77+C96+C105+C137+C144+C174+C202+C210</f>
        <v>125162936</v>
      </c>
      <c r="D217" s="19">
        <f>D15+D41+D52+D77+D96+D105+D137+D144+D174+D202+D210</f>
        <v>122404324</v>
      </c>
      <c r="E217" s="17">
        <f t="shared" si="8"/>
        <v>97.795983309308127</v>
      </c>
    </row>
    <row r="218" spans="1:5" x14ac:dyDescent="0.2">
      <c r="A218" s="15" t="s">
        <v>66</v>
      </c>
      <c r="B218" s="19">
        <f>'[1]4_ melléklet'!B6</f>
        <v>91286816</v>
      </c>
      <c r="C218" s="19">
        <f>[2]kiadások!C33</f>
        <v>68285207</v>
      </c>
      <c r="D218" s="16">
        <f>'[2]4_ melléklet'!I6</f>
        <v>66678411</v>
      </c>
      <c r="E218" s="17">
        <f t="shared" si="8"/>
        <v>97.646933983812929</v>
      </c>
    </row>
    <row r="219" spans="1:5" ht="45" x14ac:dyDescent="0.2">
      <c r="A219" s="33" t="s">
        <v>67</v>
      </c>
      <c r="B219" s="19">
        <f>SUM(B215:B218)</f>
        <v>294870912</v>
      </c>
      <c r="C219" s="19">
        <f>SUM(C215:C218)</f>
        <v>315522743</v>
      </c>
      <c r="D219" s="16">
        <f>D215+D216+D217+D218</f>
        <v>309364568</v>
      </c>
      <c r="E219" s="17">
        <f t="shared" si="8"/>
        <v>98.048262720636899</v>
      </c>
    </row>
    <row r="220" spans="1:5" x14ac:dyDescent="0.2">
      <c r="A220" s="33"/>
      <c r="B220" s="19"/>
      <c r="C220" s="7"/>
      <c r="D220" s="7"/>
      <c r="E220" s="7"/>
    </row>
    <row r="221" spans="1:5" ht="15" x14ac:dyDescent="0.25">
      <c r="A221" s="34"/>
      <c r="B221" s="35"/>
      <c r="C221" s="36"/>
      <c r="D221" s="36"/>
      <c r="E221" s="7"/>
    </row>
    <row r="222" spans="1:5" x14ac:dyDescent="0.2">
      <c r="A222" s="79" t="s">
        <v>68</v>
      </c>
      <c r="B222" s="79"/>
      <c r="C222" s="79"/>
      <c r="D222" s="79"/>
      <c r="E222" s="79"/>
    </row>
    <row r="223" spans="1:5" ht="15" x14ac:dyDescent="0.25">
      <c r="A223" s="37"/>
      <c r="B223" s="35"/>
      <c r="C223" s="36"/>
      <c r="D223" s="36"/>
      <c r="E223" s="7"/>
    </row>
    <row r="224" spans="1:5" x14ac:dyDescent="0.2">
      <c r="A224" s="78" t="s">
        <v>2</v>
      </c>
      <c r="B224" s="78"/>
      <c r="C224" s="78"/>
      <c r="D224" s="78"/>
      <c r="E224" s="78"/>
    </row>
    <row r="225" spans="1:5" x14ac:dyDescent="0.2">
      <c r="A225" s="18"/>
      <c r="B225" s="31"/>
      <c r="C225" s="7"/>
      <c r="D225" s="7"/>
      <c r="E225" s="7"/>
    </row>
    <row r="226" spans="1:5" x14ac:dyDescent="0.2">
      <c r="A226" s="71" t="s">
        <v>69</v>
      </c>
      <c r="B226" s="72"/>
      <c r="C226" s="72"/>
      <c r="D226" s="72"/>
      <c r="E226" s="73"/>
    </row>
    <row r="227" spans="1:5" x14ac:dyDescent="0.2">
      <c r="A227" s="11"/>
      <c r="B227" s="38"/>
      <c r="C227" s="7"/>
      <c r="D227" s="7"/>
      <c r="E227" s="7"/>
    </row>
    <row r="228" spans="1:5" x14ac:dyDescent="0.2">
      <c r="A228" s="7"/>
      <c r="B228" s="7"/>
      <c r="C228" s="7"/>
      <c r="D228" s="7"/>
      <c r="E228" s="7"/>
    </row>
    <row r="229" spans="1:5" x14ac:dyDescent="0.2">
      <c r="A229" s="7" t="s">
        <v>21</v>
      </c>
      <c r="B229" s="7">
        <v>1400000</v>
      </c>
      <c r="C229" s="7">
        <v>1400000</v>
      </c>
      <c r="D229" s="7">
        <v>977755</v>
      </c>
      <c r="E229" s="13">
        <f t="shared" ref="E229:E239" si="9">D229/C229*100</f>
        <v>69.839642857142863</v>
      </c>
    </row>
    <row r="230" spans="1:5" x14ac:dyDescent="0.2">
      <c r="A230" s="12" t="s">
        <v>9</v>
      </c>
      <c r="B230" s="7">
        <f>SUM(B231:B233)</f>
        <v>3500000</v>
      </c>
      <c r="C230" s="7">
        <f>SUM(C231:C233)</f>
        <v>3500000</v>
      </c>
      <c r="D230" s="7">
        <v>3654797</v>
      </c>
      <c r="E230" s="13">
        <f t="shared" si="9"/>
        <v>104.42277142857144</v>
      </c>
    </row>
    <row r="231" spans="1:5" x14ac:dyDescent="0.2">
      <c r="A231" s="39" t="s">
        <v>24</v>
      </c>
      <c r="B231" s="40">
        <v>2200000</v>
      </c>
      <c r="C231" s="40">
        <v>2200000</v>
      </c>
      <c r="D231" s="7">
        <v>2321830</v>
      </c>
      <c r="E231" s="13">
        <f t="shared" si="9"/>
        <v>105.53772727272728</v>
      </c>
    </row>
    <row r="232" spans="1:5" x14ac:dyDescent="0.2">
      <c r="A232" s="39" t="s">
        <v>25</v>
      </c>
      <c r="B232" s="40">
        <v>1000000</v>
      </c>
      <c r="C232" s="40">
        <v>1000000</v>
      </c>
      <c r="D232" s="7">
        <v>911235</v>
      </c>
      <c r="E232" s="13">
        <f t="shared" si="9"/>
        <v>91.123500000000007</v>
      </c>
    </row>
    <row r="233" spans="1:5" x14ac:dyDescent="0.2">
      <c r="A233" s="39" t="s">
        <v>26</v>
      </c>
      <c r="B233" s="40">
        <v>300000</v>
      </c>
      <c r="C233" s="40">
        <v>300000</v>
      </c>
      <c r="D233" s="7">
        <f>D230-D231-D232</f>
        <v>421732</v>
      </c>
      <c r="E233" s="13">
        <f t="shared" si="9"/>
        <v>140.57733333333334</v>
      </c>
    </row>
    <row r="234" spans="1:5" x14ac:dyDescent="0.2">
      <c r="A234" s="12" t="s">
        <v>27</v>
      </c>
      <c r="B234" s="7">
        <v>100000</v>
      </c>
      <c r="C234" s="7">
        <v>100000</v>
      </c>
      <c r="D234" s="7">
        <v>83095</v>
      </c>
      <c r="E234" s="13">
        <f t="shared" si="9"/>
        <v>83.094999999999999</v>
      </c>
    </row>
    <row r="235" spans="1:5" x14ac:dyDescent="0.2">
      <c r="A235" s="12" t="s">
        <v>29</v>
      </c>
      <c r="B235" s="7">
        <v>400000</v>
      </c>
      <c r="C235" s="7">
        <v>400000</v>
      </c>
      <c r="D235" s="7">
        <v>203844</v>
      </c>
      <c r="E235" s="13">
        <f t="shared" si="9"/>
        <v>50.960999999999999</v>
      </c>
    </row>
    <row r="236" spans="1:5" x14ac:dyDescent="0.2">
      <c r="A236" s="12" t="s">
        <v>11</v>
      </c>
      <c r="B236" s="7">
        <f>(B229+B230+B233+B234+B235)*0.27</f>
        <v>1539000</v>
      </c>
      <c r="C236" s="7">
        <f>(C229+C230+C233+C234+C235)*0.27</f>
        <v>1539000</v>
      </c>
      <c r="D236" s="7">
        <v>1289592</v>
      </c>
      <c r="E236" s="13">
        <f t="shared" si="9"/>
        <v>83.794152046783623</v>
      </c>
    </row>
    <row r="237" spans="1:5" x14ac:dyDescent="0.2">
      <c r="A237" s="15" t="s">
        <v>12</v>
      </c>
      <c r="B237" s="16">
        <f>SUM(B229:B236)-B231-B232-B233</f>
        <v>6939000</v>
      </c>
      <c r="C237" s="16">
        <f>SUM(C229:C236)-C231-C232-C233</f>
        <v>6939000</v>
      </c>
      <c r="D237" s="16">
        <f>SUM(D229:D236)-D230</f>
        <v>6209083</v>
      </c>
      <c r="E237" s="17">
        <f t="shared" si="9"/>
        <v>89.480948263438535</v>
      </c>
    </row>
    <row r="238" spans="1:5" x14ac:dyDescent="0.2">
      <c r="A238" s="11"/>
      <c r="B238" s="10"/>
      <c r="C238" s="10"/>
      <c r="D238" s="7"/>
      <c r="E238" s="17"/>
    </row>
    <row r="239" spans="1:5" x14ac:dyDescent="0.2">
      <c r="A239" s="18" t="s">
        <v>13</v>
      </c>
      <c r="B239" s="19">
        <f>B237</f>
        <v>6939000</v>
      </c>
      <c r="C239" s="19">
        <f>C237</f>
        <v>6939000</v>
      </c>
      <c r="D239" s="7">
        <f>D237</f>
        <v>6209083</v>
      </c>
      <c r="E239" s="17">
        <f t="shared" si="9"/>
        <v>89.480948263438535</v>
      </c>
    </row>
    <row r="240" spans="1:5" x14ac:dyDescent="0.2">
      <c r="A240" s="11"/>
      <c r="B240" s="38"/>
      <c r="C240" s="7"/>
      <c r="D240" s="7"/>
      <c r="E240" s="7"/>
    </row>
    <row r="241" spans="1:5" x14ac:dyDescent="0.2">
      <c r="A241" s="18"/>
      <c r="B241" s="19"/>
      <c r="C241" s="7"/>
      <c r="D241" s="7"/>
      <c r="E241" s="7"/>
    </row>
    <row r="242" spans="1:5" x14ac:dyDescent="0.2">
      <c r="A242" s="79" t="s">
        <v>52</v>
      </c>
      <c r="B242" s="79"/>
      <c r="C242" s="79"/>
      <c r="D242" s="79"/>
      <c r="E242" s="79"/>
    </row>
    <row r="243" spans="1:5" x14ac:dyDescent="0.2">
      <c r="A243" s="18"/>
      <c r="B243" s="19"/>
      <c r="C243" s="7"/>
      <c r="D243" s="7"/>
      <c r="E243" s="7"/>
    </row>
    <row r="244" spans="1:5" ht="12.75" customHeight="1" x14ac:dyDescent="0.2">
      <c r="A244" s="80" t="s">
        <v>53</v>
      </c>
      <c r="B244" s="81"/>
      <c r="C244" s="81"/>
      <c r="D244" s="81"/>
      <c r="E244" s="82"/>
    </row>
    <row r="245" spans="1:5" x14ac:dyDescent="0.2">
      <c r="A245" s="27"/>
      <c r="B245" s="29"/>
      <c r="C245" s="7"/>
      <c r="D245" s="7"/>
      <c r="E245" s="7"/>
    </row>
    <row r="246" spans="1:5" x14ac:dyDescent="0.2">
      <c r="A246" s="7" t="s">
        <v>70</v>
      </c>
      <c r="B246" s="7">
        <f>62172020+1965000</f>
        <v>64137020</v>
      </c>
      <c r="C246" s="7">
        <f>62172020+1965000+425532+9</f>
        <v>64562561</v>
      </c>
      <c r="D246" s="7">
        <v>59840511</v>
      </c>
      <c r="E246" s="13">
        <f t="shared" ref="E246:E280" si="10">D246/C246*100</f>
        <v>92.686086290783905</v>
      </c>
    </row>
    <row r="247" spans="1:5" x14ac:dyDescent="0.2">
      <c r="A247" s="7" t="s">
        <v>38</v>
      </c>
      <c r="B247" s="7"/>
      <c r="C247" s="7"/>
      <c r="D247" s="7">
        <v>2690442</v>
      </c>
      <c r="E247" s="13"/>
    </row>
    <row r="248" spans="1:5" x14ac:dyDescent="0.2">
      <c r="A248" s="7" t="s">
        <v>55</v>
      </c>
      <c r="B248" s="7">
        <v>2676582</v>
      </c>
      <c r="C248" s="7">
        <v>2676582</v>
      </c>
      <c r="D248" s="7">
        <v>2565057</v>
      </c>
      <c r="E248" s="13">
        <f t="shared" si="10"/>
        <v>95.833305312521716</v>
      </c>
    </row>
    <row r="249" spans="1:5" x14ac:dyDescent="0.2">
      <c r="A249" s="7" t="s">
        <v>50</v>
      </c>
      <c r="B249" s="7">
        <v>220000</v>
      </c>
      <c r="C249" s="7">
        <v>220000</v>
      </c>
      <c r="D249" s="7">
        <v>163813</v>
      </c>
      <c r="E249" s="13">
        <f t="shared" si="10"/>
        <v>74.460454545454553</v>
      </c>
    </row>
    <row r="250" spans="1:5" x14ac:dyDescent="0.2">
      <c r="A250" s="7" t="s">
        <v>56</v>
      </c>
      <c r="B250" s="7">
        <v>200000</v>
      </c>
      <c r="C250" s="7">
        <v>200000</v>
      </c>
      <c r="D250" s="7">
        <v>172172</v>
      </c>
      <c r="E250" s="13">
        <f t="shared" si="10"/>
        <v>86.085999999999999</v>
      </c>
    </row>
    <row r="251" spans="1:5" x14ac:dyDescent="0.2">
      <c r="A251" s="7" t="s">
        <v>34</v>
      </c>
      <c r="B251" s="7">
        <f>1040000+30000</f>
        <v>1070000</v>
      </c>
      <c r="C251" s="7">
        <f>1040000+30000+4400</f>
        <v>1074400</v>
      </c>
      <c r="D251" s="7">
        <v>709145</v>
      </c>
      <c r="E251" s="13">
        <f t="shared" si="10"/>
        <v>66.003816083395378</v>
      </c>
    </row>
    <row r="252" spans="1:5" x14ac:dyDescent="0.2">
      <c r="A252" s="7" t="s">
        <v>16</v>
      </c>
      <c r="B252" s="7">
        <v>500000</v>
      </c>
      <c r="C252" s="7">
        <v>500000</v>
      </c>
      <c r="D252" s="7">
        <v>46215</v>
      </c>
      <c r="E252" s="13">
        <f t="shared" si="10"/>
        <v>9.2430000000000003</v>
      </c>
    </row>
    <row r="253" spans="1:5" x14ac:dyDescent="0.2">
      <c r="A253" s="7" t="s">
        <v>71</v>
      </c>
      <c r="B253" s="7">
        <v>1500000</v>
      </c>
      <c r="C253" s="7">
        <v>1500000</v>
      </c>
      <c r="D253" s="7">
        <v>974670</v>
      </c>
      <c r="E253" s="13">
        <f t="shared" si="10"/>
        <v>64.978000000000009</v>
      </c>
    </row>
    <row r="254" spans="1:5" x14ac:dyDescent="0.2">
      <c r="A254" s="21" t="s">
        <v>17</v>
      </c>
      <c r="B254" s="16">
        <f>SUM(B246:B253)</f>
        <v>70303602</v>
      </c>
      <c r="C254" s="16">
        <f>SUM(C246:C253)</f>
        <v>70733543</v>
      </c>
      <c r="D254" s="16">
        <f>SUM(D246:D253)</f>
        <v>67162025</v>
      </c>
      <c r="E254" s="17">
        <f t="shared" si="10"/>
        <v>94.950743524893127</v>
      </c>
    </row>
    <row r="255" spans="1:5" x14ac:dyDescent="0.2">
      <c r="A255" s="7"/>
      <c r="B255" s="7"/>
      <c r="C255" s="7"/>
      <c r="D255" s="7"/>
      <c r="E255" s="13"/>
    </row>
    <row r="256" spans="1:5" x14ac:dyDescent="0.2">
      <c r="A256" s="7" t="s">
        <v>18</v>
      </c>
      <c r="B256" s="7">
        <f>12453094+389025</f>
        <v>12842119</v>
      </c>
      <c r="C256" s="7">
        <f>12453094+389025+858+3+74468-9</f>
        <v>12917439</v>
      </c>
      <c r="D256" s="7">
        <v>12237962</v>
      </c>
      <c r="E256" s="13">
        <f t="shared" si="10"/>
        <v>94.739847426413235</v>
      </c>
    </row>
    <row r="257" spans="1:5" x14ac:dyDescent="0.2">
      <c r="A257" s="7" t="s">
        <v>59</v>
      </c>
      <c r="B257" s="7">
        <v>867083</v>
      </c>
      <c r="C257" s="7">
        <v>867083</v>
      </c>
      <c r="D257" s="7">
        <v>6419</v>
      </c>
      <c r="E257" s="13">
        <f t="shared" si="10"/>
        <v>0.74029821827898834</v>
      </c>
    </row>
    <row r="258" spans="1:5" x14ac:dyDescent="0.2">
      <c r="A258" s="7" t="s">
        <v>39</v>
      </c>
      <c r="B258" s="7">
        <v>100000</v>
      </c>
      <c r="C258" s="7">
        <v>100000</v>
      </c>
      <c r="D258" s="7">
        <v>248552</v>
      </c>
      <c r="E258" s="13">
        <f t="shared" si="10"/>
        <v>248.55200000000002</v>
      </c>
    </row>
    <row r="259" spans="1:5" x14ac:dyDescent="0.2">
      <c r="A259" s="7" t="s">
        <v>60</v>
      </c>
      <c r="B259" s="7">
        <v>666987</v>
      </c>
      <c r="C259" s="7">
        <v>666987</v>
      </c>
      <c r="D259" s="7">
        <f>378736+168841</f>
        <v>547577</v>
      </c>
      <c r="E259" s="13">
        <f t="shared" si="10"/>
        <v>82.097102342324519</v>
      </c>
    </row>
    <row r="260" spans="1:5" x14ac:dyDescent="0.2">
      <c r="A260" s="21" t="s">
        <v>19</v>
      </c>
      <c r="B260" s="16">
        <f>SUM(B256:B259)</f>
        <v>14476189</v>
      </c>
      <c r="C260" s="16">
        <f>SUM(C256:C259)</f>
        <v>14551509</v>
      </c>
      <c r="D260" s="16">
        <f>SUM(D256:D259)</f>
        <v>13040510</v>
      </c>
      <c r="E260" s="17">
        <f t="shared" si="10"/>
        <v>89.616204065159152</v>
      </c>
    </row>
    <row r="261" spans="1:5" x14ac:dyDescent="0.2">
      <c r="A261" s="7"/>
      <c r="B261" s="7"/>
      <c r="C261" s="7"/>
      <c r="D261" s="7"/>
      <c r="E261" s="13"/>
    </row>
    <row r="262" spans="1:5" x14ac:dyDescent="0.2">
      <c r="A262" s="7" t="s">
        <v>20</v>
      </c>
      <c r="B262" s="7">
        <v>700000</v>
      </c>
      <c r="C262" s="7">
        <v>700000</v>
      </c>
      <c r="D262" s="7">
        <v>306113</v>
      </c>
      <c r="E262" s="13">
        <f t="shared" si="10"/>
        <v>43.730428571428568</v>
      </c>
    </row>
    <row r="263" spans="1:5" x14ac:dyDescent="0.2">
      <c r="A263" s="7" t="s">
        <v>21</v>
      </c>
      <c r="B263" s="7">
        <v>1500000</v>
      </c>
      <c r="C263" s="7">
        <v>1500000</v>
      </c>
      <c r="D263" s="7">
        <v>1887200</v>
      </c>
      <c r="E263" s="13">
        <f t="shared" si="10"/>
        <v>125.81333333333333</v>
      </c>
    </row>
    <row r="264" spans="1:5" x14ac:dyDescent="0.2">
      <c r="A264" s="7" t="s">
        <v>22</v>
      </c>
      <c r="B264" s="7">
        <v>2450000</v>
      </c>
      <c r="C264" s="7">
        <v>2450000</v>
      </c>
      <c r="D264" s="7">
        <v>2639208</v>
      </c>
      <c r="E264" s="13">
        <f t="shared" si="10"/>
        <v>107.72277551020409</v>
      </c>
    </row>
    <row r="265" spans="1:5" x14ac:dyDescent="0.2">
      <c r="A265" s="14" t="s">
        <v>23</v>
      </c>
      <c r="B265" s="7">
        <v>400000</v>
      </c>
      <c r="C265" s="7">
        <v>400000</v>
      </c>
      <c r="D265" s="7">
        <v>472749</v>
      </c>
      <c r="E265" s="13">
        <f t="shared" si="10"/>
        <v>118.18725000000001</v>
      </c>
    </row>
    <row r="266" spans="1:5" x14ac:dyDescent="0.2">
      <c r="A266" s="12" t="s">
        <v>9</v>
      </c>
      <c r="B266" s="7">
        <f>SUM(B267:B269)</f>
        <v>1526000</v>
      </c>
      <c r="C266" s="7">
        <f>SUM(C267:C269)</f>
        <v>1526000</v>
      </c>
      <c r="D266" s="7">
        <v>1401177</v>
      </c>
      <c r="E266" s="13">
        <f t="shared" si="10"/>
        <v>91.820249017038009</v>
      </c>
    </row>
    <row r="267" spans="1:5" x14ac:dyDescent="0.2">
      <c r="A267" s="41" t="s">
        <v>72</v>
      </c>
      <c r="B267" s="42">
        <v>770000</v>
      </c>
      <c r="C267" s="42">
        <v>770000</v>
      </c>
      <c r="D267" s="7">
        <v>777715</v>
      </c>
      <c r="E267" s="13">
        <f t="shared" si="10"/>
        <v>101.00194805194805</v>
      </c>
    </row>
    <row r="268" spans="1:5" x14ac:dyDescent="0.2">
      <c r="A268" s="41" t="s">
        <v>25</v>
      </c>
      <c r="B268" s="40">
        <v>616000</v>
      </c>
      <c r="C268" s="40">
        <v>616000</v>
      </c>
      <c r="D268" s="7">
        <v>503399</v>
      </c>
      <c r="E268" s="13">
        <f t="shared" si="10"/>
        <v>81.720616883116875</v>
      </c>
    </row>
    <row r="269" spans="1:5" x14ac:dyDescent="0.2">
      <c r="A269" s="41" t="s">
        <v>26</v>
      </c>
      <c r="B269" s="40">
        <v>140000</v>
      </c>
      <c r="C269" s="40">
        <v>140000</v>
      </c>
      <c r="D269" s="7">
        <f>D266-D267-D268</f>
        <v>120063</v>
      </c>
      <c r="E269" s="13">
        <f t="shared" si="10"/>
        <v>85.75928571428571</v>
      </c>
    </row>
    <row r="270" spans="1:5" x14ac:dyDescent="0.2">
      <c r="A270" s="12" t="s">
        <v>45</v>
      </c>
      <c r="B270" s="7">
        <v>420000</v>
      </c>
      <c r="C270" s="7">
        <v>420000</v>
      </c>
      <c r="D270" s="7">
        <v>659713</v>
      </c>
      <c r="E270" s="13">
        <f t="shared" si="10"/>
        <v>157.07452380952381</v>
      </c>
    </row>
    <row r="271" spans="1:5" x14ac:dyDescent="0.2">
      <c r="A271" s="12" t="s">
        <v>27</v>
      </c>
      <c r="B271" s="7">
        <v>500000</v>
      </c>
      <c r="C271" s="7">
        <v>500000</v>
      </c>
      <c r="D271" s="7">
        <v>444088</v>
      </c>
      <c r="E271" s="13">
        <f t="shared" si="10"/>
        <v>88.817599999999999</v>
      </c>
    </row>
    <row r="272" spans="1:5" x14ac:dyDescent="0.2">
      <c r="A272" s="12" t="s">
        <v>73</v>
      </c>
      <c r="B272" s="7">
        <v>2100000</v>
      </c>
      <c r="C272" s="7">
        <v>2100000</v>
      </c>
      <c r="D272" s="7">
        <v>1930455</v>
      </c>
      <c r="E272" s="13">
        <f t="shared" si="10"/>
        <v>91.926428571428573</v>
      </c>
    </row>
    <row r="273" spans="1:5" x14ac:dyDescent="0.2">
      <c r="A273" s="12" t="s">
        <v>28</v>
      </c>
      <c r="B273" s="7">
        <f>1030000+150000</f>
        <v>1180000</v>
      </c>
      <c r="C273" s="7">
        <f>1030000+150000</f>
        <v>1180000</v>
      </c>
      <c r="D273" s="7">
        <v>727658</v>
      </c>
      <c r="E273" s="13">
        <f t="shared" si="10"/>
        <v>61.665932203389829</v>
      </c>
    </row>
    <row r="274" spans="1:5" x14ac:dyDescent="0.2">
      <c r="A274" s="12" t="s">
        <v>29</v>
      </c>
      <c r="B274" s="7">
        <v>2300000</v>
      </c>
      <c r="C274" s="7">
        <v>2300000</v>
      </c>
      <c r="D274" s="7">
        <f>2627049+255069</f>
        <v>2882118</v>
      </c>
      <c r="E274" s="13">
        <f t="shared" si="10"/>
        <v>125.30947826086955</v>
      </c>
    </row>
    <row r="275" spans="1:5" x14ac:dyDescent="0.2">
      <c r="A275" s="12" t="s">
        <v>11</v>
      </c>
      <c r="B275" s="7">
        <f>(B262+B263+B264+B265+B266+B270+B271+B272+B273+B274)*0.27-250000</f>
        <v>3280520</v>
      </c>
      <c r="C275" s="7">
        <f>3280520-9000</f>
        <v>3271520</v>
      </c>
      <c r="D275" s="7">
        <v>2358774</v>
      </c>
      <c r="E275" s="13">
        <f t="shared" si="10"/>
        <v>72.100246979997067</v>
      </c>
    </row>
    <row r="276" spans="1:5" x14ac:dyDescent="0.2">
      <c r="A276" s="12" t="s">
        <v>61</v>
      </c>
      <c r="B276" s="7">
        <f>'[1]3_melléklet'!B63*0.27+'[1]3_melléklet'!B69*0.27+24001+1500</f>
        <v>444001</v>
      </c>
      <c r="C276" s="7">
        <v>444001</v>
      </c>
      <c r="D276" s="7">
        <v>0</v>
      </c>
      <c r="E276" s="13">
        <f t="shared" si="10"/>
        <v>0</v>
      </c>
    </row>
    <row r="277" spans="1:5" x14ac:dyDescent="0.2">
      <c r="A277" s="12" t="s">
        <v>30</v>
      </c>
      <c r="B277" s="7">
        <v>1300000</v>
      </c>
      <c r="C277" s="7">
        <v>1300000</v>
      </c>
      <c r="D277" s="7">
        <v>193714</v>
      </c>
      <c r="E277" s="13">
        <f t="shared" si="10"/>
        <v>14.901076923076923</v>
      </c>
    </row>
    <row r="278" spans="1:5" x14ac:dyDescent="0.2">
      <c r="A278" s="15" t="s">
        <v>12</v>
      </c>
      <c r="B278" s="16">
        <f>SUM(B262:B277)-B267-B268-B269</f>
        <v>18100521</v>
      </c>
      <c r="C278" s="16">
        <f>C262+C263+C264+C265+C266+C270+C271+C272+C273+C274+C275+C276+C277</f>
        <v>18091521</v>
      </c>
      <c r="D278" s="16">
        <f>SUM(D262:D277)-D266</f>
        <v>15902967</v>
      </c>
      <c r="E278" s="17">
        <f t="shared" si="10"/>
        <v>87.902874501264989</v>
      </c>
    </row>
    <row r="279" spans="1:5" x14ac:dyDescent="0.2">
      <c r="A279" s="14"/>
      <c r="B279" s="43"/>
      <c r="C279" s="7"/>
      <c r="D279" s="7"/>
      <c r="E279" s="17"/>
    </row>
    <row r="280" spans="1:5" x14ac:dyDescent="0.2">
      <c r="A280" s="18" t="s">
        <v>13</v>
      </c>
      <c r="B280" s="31">
        <f>B278+B260+B254</f>
        <v>102880312</v>
      </c>
      <c r="C280" s="31">
        <f>C278+C260+C254</f>
        <v>103376573</v>
      </c>
      <c r="D280" s="16">
        <f>D254+D260+D278</f>
        <v>96105502</v>
      </c>
      <c r="E280" s="17">
        <f t="shared" si="10"/>
        <v>92.966422866426427</v>
      </c>
    </row>
    <row r="281" spans="1:5" x14ac:dyDescent="0.2">
      <c r="A281" s="18"/>
      <c r="B281" s="31"/>
      <c r="C281" s="7"/>
      <c r="D281" s="7"/>
      <c r="E281" s="7"/>
    </row>
    <row r="282" spans="1:5" x14ac:dyDescent="0.2">
      <c r="A282" s="71" t="s">
        <v>74</v>
      </c>
      <c r="B282" s="72"/>
      <c r="C282" s="72"/>
      <c r="D282" s="72"/>
      <c r="E282" s="73"/>
    </row>
    <row r="283" spans="1:5" x14ac:dyDescent="0.2">
      <c r="A283" s="11"/>
      <c r="B283" s="11"/>
      <c r="C283" s="7"/>
      <c r="D283" s="7"/>
      <c r="E283" s="7"/>
    </row>
    <row r="284" spans="1:5" x14ac:dyDescent="0.2">
      <c r="A284" s="7" t="s">
        <v>16</v>
      </c>
      <c r="B284" s="7">
        <v>700000</v>
      </c>
      <c r="C284" s="7">
        <v>700000</v>
      </c>
      <c r="D284" s="7">
        <v>700000</v>
      </c>
      <c r="E284" s="13">
        <f t="shared" ref="E284:E290" si="11">D284/C284*100</f>
        <v>100</v>
      </c>
    </row>
    <row r="285" spans="1:5" x14ac:dyDescent="0.2">
      <c r="A285" s="21" t="s">
        <v>17</v>
      </c>
      <c r="B285" s="16">
        <f>SUM(B284:B284)</f>
        <v>700000</v>
      </c>
      <c r="C285" s="16">
        <f>SUM(C284:C284)</f>
        <v>700000</v>
      </c>
      <c r="D285" s="16">
        <f>SUM(D284)</f>
        <v>700000</v>
      </c>
      <c r="E285" s="17">
        <f t="shared" si="11"/>
        <v>100</v>
      </c>
    </row>
    <row r="286" spans="1:5" x14ac:dyDescent="0.2">
      <c r="A286" s="7"/>
      <c r="B286" s="7"/>
      <c r="C286" s="7"/>
      <c r="D286" s="7"/>
      <c r="E286" s="13"/>
    </row>
    <row r="287" spans="1:5" x14ac:dyDescent="0.2">
      <c r="A287" s="7" t="s">
        <v>18</v>
      </c>
      <c r="B287" s="7">
        <v>122850</v>
      </c>
      <c r="C287" s="7">
        <v>122850</v>
      </c>
      <c r="D287" s="7">
        <v>110250</v>
      </c>
      <c r="E287" s="13">
        <f t="shared" si="11"/>
        <v>89.743589743589752</v>
      </c>
    </row>
    <row r="288" spans="1:5" x14ac:dyDescent="0.2">
      <c r="A288" s="21" t="s">
        <v>19</v>
      </c>
      <c r="B288" s="16">
        <f>SUM(B287:B287)</f>
        <v>122850</v>
      </c>
      <c r="C288" s="16">
        <f>SUM(C287:C287)</f>
        <v>122850</v>
      </c>
      <c r="D288" s="16">
        <f>SUM(D287)</f>
        <v>110250</v>
      </c>
      <c r="E288" s="17">
        <f>D288/C288*100</f>
        <v>89.743589743589752</v>
      </c>
    </row>
    <row r="289" spans="1:5" x14ac:dyDescent="0.2">
      <c r="A289" s="7"/>
      <c r="B289" s="7"/>
      <c r="C289" s="7"/>
      <c r="D289" s="7"/>
      <c r="E289" s="17"/>
    </row>
    <row r="290" spans="1:5" x14ac:dyDescent="0.2">
      <c r="A290" s="18" t="s">
        <v>13</v>
      </c>
      <c r="B290" s="19">
        <f>B285+B288</f>
        <v>822850</v>
      </c>
      <c r="C290" s="19">
        <f>C285+C288</f>
        <v>822850</v>
      </c>
      <c r="D290" s="16">
        <f>D285+D288</f>
        <v>810250</v>
      </c>
      <c r="E290" s="17">
        <f t="shared" si="11"/>
        <v>98.468736707783918</v>
      </c>
    </row>
    <row r="291" spans="1:5" x14ac:dyDescent="0.2">
      <c r="A291" s="11"/>
      <c r="B291" s="11"/>
      <c r="C291" s="7"/>
      <c r="D291" s="7"/>
      <c r="E291" s="7"/>
    </row>
    <row r="292" spans="1:5" x14ac:dyDescent="0.2">
      <c r="A292" s="11"/>
      <c r="B292" s="11"/>
      <c r="C292" s="7"/>
      <c r="D292" s="7"/>
      <c r="E292" s="7"/>
    </row>
    <row r="293" spans="1:5" x14ac:dyDescent="0.2">
      <c r="A293" s="71" t="s">
        <v>75</v>
      </c>
      <c r="B293" s="72"/>
      <c r="C293" s="72"/>
      <c r="D293" s="72"/>
      <c r="E293" s="73"/>
    </row>
    <row r="294" spans="1:5" x14ac:dyDescent="0.2">
      <c r="A294" s="11"/>
      <c r="B294" s="11"/>
      <c r="C294" s="7"/>
      <c r="D294" s="7"/>
      <c r="E294" s="7"/>
    </row>
    <row r="295" spans="1:5" x14ac:dyDescent="0.2">
      <c r="A295" s="7" t="s">
        <v>15</v>
      </c>
      <c r="B295" s="7">
        <v>643680</v>
      </c>
      <c r="C295" s="7">
        <v>643680</v>
      </c>
      <c r="D295" s="7">
        <v>590040</v>
      </c>
      <c r="E295" s="13">
        <f t="shared" ref="E295:E301" si="12">D295/C295*100</f>
        <v>91.666666666666657</v>
      </c>
    </row>
    <row r="296" spans="1:5" x14ac:dyDescent="0.2">
      <c r="A296" s="21" t="s">
        <v>17</v>
      </c>
      <c r="B296" s="16">
        <f>SUM(B295:B295)</f>
        <v>643680</v>
      </c>
      <c r="C296" s="16">
        <f>SUM(C295:C295)</f>
        <v>643680</v>
      </c>
      <c r="D296" s="16">
        <f>SUM(D295)</f>
        <v>590040</v>
      </c>
      <c r="E296" s="17">
        <f t="shared" si="12"/>
        <v>91.666666666666657</v>
      </c>
    </row>
    <row r="297" spans="1:5" x14ac:dyDescent="0.2">
      <c r="A297" s="7"/>
      <c r="B297" s="7"/>
      <c r="C297" s="7"/>
      <c r="D297" s="7"/>
      <c r="E297" s="13"/>
    </row>
    <row r="298" spans="1:5" x14ac:dyDescent="0.2">
      <c r="A298" s="7" t="s">
        <v>18</v>
      </c>
      <c r="B298" s="7">
        <v>125518</v>
      </c>
      <c r="C298" s="7">
        <v>125518</v>
      </c>
      <c r="D298" s="7">
        <v>125520</v>
      </c>
      <c r="E298" s="13">
        <f t="shared" si="12"/>
        <v>100.00159339696299</v>
      </c>
    </row>
    <row r="299" spans="1:5" x14ac:dyDescent="0.2">
      <c r="A299" s="21" t="s">
        <v>19</v>
      </c>
      <c r="B299" s="16">
        <f>SUM(B298:B298)</f>
        <v>125518</v>
      </c>
      <c r="C299" s="16">
        <f>SUM(C298:C298)</f>
        <v>125518</v>
      </c>
      <c r="D299" s="16">
        <f>SUM(D298)</f>
        <v>125520</v>
      </c>
      <c r="E299" s="17">
        <f t="shared" si="12"/>
        <v>100.00159339696299</v>
      </c>
    </row>
    <row r="300" spans="1:5" x14ac:dyDescent="0.2">
      <c r="A300" s="7"/>
      <c r="B300" s="7"/>
      <c r="C300" s="7"/>
      <c r="D300" s="7"/>
      <c r="E300" s="17"/>
    </row>
    <row r="301" spans="1:5" x14ac:dyDescent="0.2">
      <c r="A301" s="18" t="s">
        <v>13</v>
      </c>
      <c r="B301" s="19">
        <f>B296+B299</f>
        <v>769198</v>
      </c>
      <c r="C301" s="19">
        <f>C296+C299</f>
        <v>769198</v>
      </c>
      <c r="D301" s="7">
        <f>D296+D299</f>
        <v>715560</v>
      </c>
      <c r="E301" s="17">
        <f t="shared" si="12"/>
        <v>93.02676294010125</v>
      </c>
    </row>
    <row r="302" spans="1:5" x14ac:dyDescent="0.2">
      <c r="A302" s="11"/>
      <c r="B302" s="11"/>
      <c r="C302" s="7"/>
      <c r="D302" s="7"/>
      <c r="E302" s="7"/>
    </row>
    <row r="303" spans="1:5" x14ac:dyDescent="0.2">
      <c r="A303" s="65" t="s">
        <v>76</v>
      </c>
      <c r="B303" s="66"/>
      <c r="C303" s="66"/>
      <c r="D303" s="66"/>
      <c r="E303" s="67"/>
    </row>
    <row r="304" spans="1:5" x14ac:dyDescent="0.2">
      <c r="A304" s="23"/>
      <c r="B304" s="23"/>
      <c r="C304" s="23"/>
      <c r="D304" s="23"/>
      <c r="E304" s="23"/>
    </row>
    <row r="305" spans="1:5" x14ac:dyDescent="0.2">
      <c r="A305" s="7" t="s">
        <v>77</v>
      </c>
      <c r="B305" s="7">
        <v>309665</v>
      </c>
      <c r="C305" s="7">
        <f>309665+958994+81530</f>
        <v>1350189</v>
      </c>
      <c r="D305" s="7">
        <v>1253635</v>
      </c>
      <c r="E305" s="13">
        <f t="shared" ref="E305:E312" si="13">D305/C305*100</f>
        <v>92.848853012430112</v>
      </c>
    </row>
    <row r="306" spans="1:5" x14ac:dyDescent="0.2">
      <c r="A306" s="7" t="s">
        <v>34</v>
      </c>
      <c r="B306" s="7">
        <v>10000</v>
      </c>
      <c r="C306" s="7">
        <v>10000</v>
      </c>
      <c r="D306" s="7">
        <v>0</v>
      </c>
      <c r="E306" s="13">
        <f t="shared" si="13"/>
        <v>0</v>
      </c>
    </row>
    <row r="307" spans="1:5" x14ac:dyDescent="0.2">
      <c r="A307" s="21" t="s">
        <v>17</v>
      </c>
      <c r="B307" s="16">
        <f>SUM(B305:B306)</f>
        <v>319665</v>
      </c>
      <c r="C307" s="16">
        <f>SUM(C305:C306)</f>
        <v>1360189</v>
      </c>
      <c r="D307" s="16">
        <f>SUM(D305:D306)</f>
        <v>1253635</v>
      </c>
      <c r="E307" s="17">
        <f t="shared" si="13"/>
        <v>92.166235721653393</v>
      </c>
    </row>
    <row r="308" spans="1:5" x14ac:dyDescent="0.2">
      <c r="A308" s="7"/>
      <c r="B308" s="7"/>
      <c r="C308" s="7"/>
      <c r="D308" s="7"/>
      <c r="E308" s="13"/>
    </row>
    <row r="309" spans="1:5" x14ac:dyDescent="0.2">
      <c r="A309" s="7" t="s">
        <v>18</v>
      </c>
      <c r="B309" s="7">
        <v>31167</v>
      </c>
      <c r="C309" s="7">
        <f>31167+93502+14268</f>
        <v>138937</v>
      </c>
      <c r="D309" s="7">
        <v>100696</v>
      </c>
      <c r="E309" s="13">
        <f t="shared" si="13"/>
        <v>72.476014308643485</v>
      </c>
    </row>
    <row r="310" spans="1:5" x14ac:dyDescent="0.2">
      <c r="A310" s="21" t="s">
        <v>19</v>
      </c>
      <c r="B310" s="16">
        <f>SUM(B309:B309)</f>
        <v>31167</v>
      </c>
      <c r="C310" s="16">
        <f>SUM(C309:C309)</f>
        <v>138937</v>
      </c>
      <c r="D310" s="16">
        <f>SUM(D309)</f>
        <v>100696</v>
      </c>
      <c r="E310" s="17">
        <f t="shared" si="13"/>
        <v>72.476014308643485</v>
      </c>
    </row>
    <row r="311" spans="1:5" x14ac:dyDescent="0.2">
      <c r="A311" s="7"/>
      <c r="B311" s="7"/>
      <c r="C311" s="7"/>
      <c r="D311" s="7"/>
      <c r="E311" s="17"/>
    </row>
    <row r="312" spans="1:5" x14ac:dyDescent="0.2">
      <c r="A312" s="18" t="s">
        <v>13</v>
      </c>
      <c r="B312" s="19">
        <f>B307+B310</f>
        <v>350832</v>
      </c>
      <c r="C312" s="19">
        <f>C307+C310</f>
        <v>1499126</v>
      </c>
      <c r="D312" s="16">
        <f>D307+D310</f>
        <v>1354331</v>
      </c>
      <c r="E312" s="17">
        <f t="shared" si="13"/>
        <v>90.341372239558254</v>
      </c>
    </row>
    <row r="313" spans="1:5" x14ac:dyDescent="0.2">
      <c r="A313" s="18"/>
      <c r="B313" s="19"/>
      <c r="C313" s="7"/>
      <c r="D313" s="7"/>
      <c r="E313" s="7"/>
    </row>
    <row r="314" spans="1:5" x14ac:dyDescent="0.2">
      <c r="A314" s="18"/>
      <c r="B314" s="19"/>
      <c r="C314" s="7"/>
      <c r="D314" s="7"/>
      <c r="E314" s="7"/>
    </row>
    <row r="315" spans="1:5" x14ac:dyDescent="0.2">
      <c r="A315" s="65" t="s">
        <v>78</v>
      </c>
      <c r="B315" s="66"/>
      <c r="C315" s="66"/>
      <c r="D315" s="66"/>
      <c r="E315" s="67"/>
    </row>
    <row r="316" spans="1:5" x14ac:dyDescent="0.2">
      <c r="A316" s="18"/>
      <c r="B316" s="43"/>
      <c r="C316" s="7"/>
      <c r="D316" s="7"/>
      <c r="E316" s="7"/>
    </row>
    <row r="317" spans="1:5" x14ac:dyDescent="0.2">
      <c r="A317" s="7" t="s">
        <v>58</v>
      </c>
      <c r="B317" s="7"/>
      <c r="C317" s="43">
        <f>420000+480000+34000</f>
        <v>934000</v>
      </c>
      <c r="D317" s="7">
        <f>974000+2871</f>
        <v>976871</v>
      </c>
      <c r="E317" s="13">
        <f t="shared" ref="E317:E331" si="14">D317/C317*100</f>
        <v>104.59004282655246</v>
      </c>
    </row>
    <row r="318" spans="1:5" x14ac:dyDescent="0.2">
      <c r="A318" s="7" t="s">
        <v>16</v>
      </c>
      <c r="B318" s="7"/>
      <c r="C318" s="43">
        <f>140000+304000+34000+420000+120000</f>
        <v>1018000</v>
      </c>
      <c r="D318" s="7">
        <f>1122422+18000</f>
        <v>1140422</v>
      </c>
      <c r="E318" s="13">
        <f t="shared" si="14"/>
        <v>112.02573673870333</v>
      </c>
    </row>
    <row r="319" spans="1:5" x14ac:dyDescent="0.2">
      <c r="A319" s="7" t="s">
        <v>71</v>
      </c>
      <c r="B319" s="7"/>
      <c r="C319" s="43">
        <f>6696+71104+16193+68427</f>
        <v>162420</v>
      </c>
      <c r="D319" s="7">
        <v>0</v>
      </c>
      <c r="E319" s="13">
        <f t="shared" si="14"/>
        <v>0</v>
      </c>
    </row>
    <row r="320" spans="1:5" x14ac:dyDescent="0.2">
      <c r="A320" s="21" t="s">
        <v>17</v>
      </c>
      <c r="B320" s="21"/>
      <c r="C320" s="19">
        <f>SUM(C317:C319)</f>
        <v>2114420</v>
      </c>
      <c r="D320" s="16">
        <f>SUM(D317:D319)</f>
        <v>2117293</v>
      </c>
      <c r="E320" s="17">
        <f t="shared" si="14"/>
        <v>100.13587650514089</v>
      </c>
    </row>
    <row r="321" spans="1:5" x14ac:dyDescent="0.2">
      <c r="A321" s="18"/>
      <c r="B321" s="18"/>
      <c r="C321" s="19"/>
      <c r="D321" s="7"/>
      <c r="E321" s="13"/>
    </row>
    <row r="322" spans="1:5" x14ac:dyDescent="0.2">
      <c r="A322" s="7" t="s">
        <v>18</v>
      </c>
      <c r="B322" s="7"/>
      <c r="C322" s="43">
        <f>159825+5969+170100+5355</f>
        <v>341249</v>
      </c>
      <c r="D322" s="7">
        <v>376633</v>
      </c>
      <c r="E322" s="13">
        <f t="shared" si="14"/>
        <v>110.36896811419228</v>
      </c>
    </row>
    <row r="323" spans="1:5" x14ac:dyDescent="0.2">
      <c r="A323" s="7" t="s">
        <v>60</v>
      </c>
      <c r="B323" s="7"/>
      <c r="C323" s="43">
        <f>31674+32452</f>
        <v>64126</v>
      </c>
      <c r="D323" s="7">
        <v>28748</v>
      </c>
      <c r="E323" s="13">
        <f t="shared" si="14"/>
        <v>44.830489972865919</v>
      </c>
    </row>
    <row r="324" spans="1:5" x14ac:dyDescent="0.2">
      <c r="A324" s="21" t="s">
        <v>19</v>
      </c>
      <c r="B324" s="21"/>
      <c r="C324" s="19">
        <f>SUM(C322:C323)</f>
        <v>405375</v>
      </c>
      <c r="D324" s="16">
        <f>SUM(D322:D323)</f>
        <v>405381</v>
      </c>
      <c r="E324" s="17">
        <f t="shared" si="14"/>
        <v>100.00148011100833</v>
      </c>
    </row>
    <row r="325" spans="1:5" x14ac:dyDescent="0.2">
      <c r="A325" s="18"/>
      <c r="B325" s="18"/>
      <c r="C325" s="19"/>
      <c r="D325" s="7"/>
      <c r="E325" s="13"/>
    </row>
    <row r="326" spans="1:5" x14ac:dyDescent="0.2">
      <c r="A326" s="7" t="s">
        <v>21</v>
      </c>
      <c r="B326" s="7"/>
      <c r="C326" s="43">
        <f>20520+35987+34042</f>
        <v>90549</v>
      </c>
      <c r="D326" s="7">
        <v>54247</v>
      </c>
      <c r="E326" s="13">
        <f t="shared" si="14"/>
        <v>59.908999547206484</v>
      </c>
    </row>
    <row r="327" spans="1:5" x14ac:dyDescent="0.2">
      <c r="A327" s="12" t="s">
        <v>11</v>
      </c>
      <c r="B327" s="12"/>
      <c r="C327" s="43">
        <f>5541+9716</f>
        <v>15257</v>
      </c>
      <c r="D327" s="7">
        <v>14647</v>
      </c>
      <c r="E327" s="13">
        <f t="shared" si="14"/>
        <v>96.001835223176244</v>
      </c>
    </row>
    <row r="328" spans="1:5" x14ac:dyDescent="0.2">
      <c r="A328" s="12" t="s">
        <v>79</v>
      </c>
      <c r="B328" s="12"/>
      <c r="C328" s="43"/>
      <c r="D328" s="7">
        <f>34042</f>
        <v>34042</v>
      </c>
      <c r="E328" s="13"/>
    </row>
    <row r="329" spans="1:5" x14ac:dyDescent="0.2">
      <c r="A329" s="15" t="s">
        <v>12</v>
      </c>
      <c r="B329" s="15"/>
      <c r="C329" s="19">
        <f>C326+C327</f>
        <v>105806</v>
      </c>
      <c r="D329" s="16">
        <f>SUM(D326:D328)</f>
        <v>102936</v>
      </c>
      <c r="E329" s="17">
        <f t="shared" si="14"/>
        <v>97.287488422206678</v>
      </c>
    </row>
    <row r="330" spans="1:5" x14ac:dyDescent="0.2">
      <c r="A330" s="11"/>
      <c r="B330" s="11"/>
      <c r="C330" s="19"/>
      <c r="D330" s="7"/>
      <c r="E330" s="17"/>
    </row>
    <row r="331" spans="1:5" x14ac:dyDescent="0.2">
      <c r="A331" s="18" t="s">
        <v>13</v>
      </c>
      <c r="B331" s="18"/>
      <c r="C331" s="19">
        <f>C320+C324+C329</f>
        <v>2625601</v>
      </c>
      <c r="D331" s="16">
        <f>D320+D324+D329</f>
        <v>2625610</v>
      </c>
      <c r="E331" s="17">
        <f t="shared" si="14"/>
        <v>100.00034277866288</v>
      </c>
    </row>
    <row r="332" spans="1:5" x14ac:dyDescent="0.2">
      <c r="A332" s="18"/>
      <c r="B332" s="19"/>
      <c r="C332" s="7"/>
      <c r="D332" s="7"/>
      <c r="E332" s="7"/>
    </row>
    <row r="333" spans="1:5" x14ac:dyDescent="0.2">
      <c r="A333" s="71" t="s">
        <v>80</v>
      </c>
      <c r="B333" s="72"/>
      <c r="C333" s="72"/>
      <c r="D333" s="72"/>
      <c r="E333" s="73"/>
    </row>
    <row r="334" spans="1:5" x14ac:dyDescent="0.2">
      <c r="A334" s="11"/>
      <c r="B334" s="11"/>
      <c r="C334" s="7"/>
      <c r="D334" s="7"/>
      <c r="E334" s="7"/>
    </row>
    <row r="335" spans="1:5" x14ac:dyDescent="0.2">
      <c r="A335" s="7" t="s">
        <v>70</v>
      </c>
      <c r="B335" s="7"/>
      <c r="C335" s="7"/>
      <c r="D335" s="7">
        <v>1489934</v>
      </c>
      <c r="E335" s="13"/>
    </row>
    <row r="336" spans="1:5" x14ac:dyDescent="0.2">
      <c r="A336" s="7" t="s">
        <v>38</v>
      </c>
      <c r="B336" s="7"/>
      <c r="C336" s="7"/>
      <c r="D336" s="7">
        <v>49624</v>
      </c>
      <c r="E336" s="13"/>
    </row>
    <row r="337" spans="1:5" x14ac:dyDescent="0.2">
      <c r="A337" s="7" t="s">
        <v>50</v>
      </c>
      <c r="B337" s="7"/>
      <c r="C337" s="7"/>
      <c r="D337" s="7">
        <v>2742</v>
      </c>
      <c r="E337" s="13"/>
    </row>
    <row r="338" spans="1:5" x14ac:dyDescent="0.2">
      <c r="A338" s="7" t="s">
        <v>34</v>
      </c>
      <c r="B338" s="7"/>
      <c r="C338" s="7"/>
      <c r="D338" s="7">
        <v>24000</v>
      </c>
      <c r="E338" s="13"/>
    </row>
    <row r="339" spans="1:5" x14ac:dyDescent="0.2">
      <c r="A339" s="21" t="s">
        <v>17</v>
      </c>
      <c r="B339" s="16">
        <f>SUM(B335:B335)</f>
        <v>0</v>
      </c>
      <c r="C339" s="16">
        <f>SUM(C335:C335)</f>
        <v>0</v>
      </c>
      <c r="D339" s="16">
        <f>SUM(D335:D338)</f>
        <v>1566300</v>
      </c>
      <c r="E339" s="13"/>
    </row>
    <row r="340" spans="1:5" x14ac:dyDescent="0.2">
      <c r="A340" s="7"/>
      <c r="B340" s="7"/>
      <c r="C340" s="7"/>
      <c r="D340" s="7"/>
      <c r="E340" s="13"/>
    </row>
    <row r="341" spans="1:5" x14ac:dyDescent="0.2">
      <c r="A341" s="7" t="s">
        <v>18</v>
      </c>
      <c r="B341" s="7">
        <v>122850</v>
      </c>
      <c r="C341" s="7">
        <v>122850</v>
      </c>
      <c r="D341" s="7">
        <v>304996</v>
      </c>
      <c r="E341" s="13">
        <f>D341/C341*100</f>
        <v>248.26699226699228</v>
      </c>
    </row>
    <row r="342" spans="1:5" x14ac:dyDescent="0.2">
      <c r="A342" s="21" t="s">
        <v>19</v>
      </c>
      <c r="B342" s="16">
        <f>SUM(B341:B341)</f>
        <v>122850</v>
      </c>
      <c r="C342" s="16">
        <f>SUM(C341:C341)</f>
        <v>122850</v>
      </c>
      <c r="D342" s="16">
        <f>SUM(D341)</f>
        <v>304996</v>
      </c>
      <c r="E342" s="17">
        <f>D342/C342*100</f>
        <v>248.26699226699228</v>
      </c>
    </row>
    <row r="343" spans="1:5" x14ac:dyDescent="0.2">
      <c r="A343" s="18" t="s">
        <v>13</v>
      </c>
      <c r="B343" s="19">
        <f>B339+B342</f>
        <v>122850</v>
      </c>
      <c r="C343" s="19">
        <f>C339+C342</f>
        <v>122850</v>
      </c>
      <c r="D343" s="16">
        <f>D339+D342</f>
        <v>1871296</v>
      </c>
      <c r="E343" s="17">
        <f>D343/C343*100</f>
        <v>1523.2364672364672</v>
      </c>
    </row>
    <row r="344" spans="1:5" x14ac:dyDescent="0.2">
      <c r="A344" s="18"/>
      <c r="B344" s="19"/>
      <c r="C344" s="7"/>
      <c r="D344" s="7"/>
      <c r="E344" s="17"/>
    </row>
    <row r="345" spans="1:5" x14ac:dyDescent="0.2">
      <c r="A345" s="18"/>
      <c r="B345" s="19"/>
      <c r="C345" s="7"/>
      <c r="D345" s="7"/>
      <c r="E345" s="17"/>
    </row>
    <row r="346" spans="1:5" x14ac:dyDescent="0.2">
      <c r="A346" s="21" t="s">
        <v>17</v>
      </c>
      <c r="B346" s="44">
        <f>B254+B285+B296+B307</f>
        <v>71966947</v>
      </c>
      <c r="C346" s="16">
        <f>C254+C296+C307+C320+C285</f>
        <v>75551832</v>
      </c>
      <c r="D346" s="16">
        <f>D254+D296+D307+D320+D285+D339</f>
        <v>73389293</v>
      </c>
      <c r="E346" s="17">
        <f>D346/C346*100</f>
        <v>97.137674967299276</v>
      </c>
    </row>
    <row r="347" spans="1:5" x14ac:dyDescent="0.2">
      <c r="A347" s="21" t="s">
        <v>19</v>
      </c>
      <c r="B347" s="19">
        <f>B260+B288+B299+B310</f>
        <v>14755724</v>
      </c>
      <c r="C347" s="16">
        <f>C260+C288+C299+C310+C324</f>
        <v>15344189</v>
      </c>
      <c r="D347" s="16">
        <f>D260+D288+D299+D310+D324+D342</f>
        <v>14087353</v>
      </c>
      <c r="E347" s="17">
        <f>D347/C347*100</f>
        <v>91.809042498107914</v>
      </c>
    </row>
    <row r="348" spans="1:5" x14ac:dyDescent="0.2">
      <c r="A348" s="15" t="s">
        <v>65</v>
      </c>
      <c r="B348" s="19">
        <f>B237+B278</f>
        <v>25039521</v>
      </c>
      <c r="C348" s="16">
        <f>C237+C278+C329</f>
        <v>25136327</v>
      </c>
      <c r="D348" s="16">
        <f>D237+D278+D329</f>
        <v>22214986</v>
      </c>
      <c r="E348" s="17">
        <f>D348/C348*100</f>
        <v>88.378011632327983</v>
      </c>
    </row>
    <row r="349" spans="1:5" ht="33.75" x14ac:dyDescent="0.2">
      <c r="A349" s="33" t="s">
        <v>81</v>
      </c>
      <c r="B349" s="19">
        <f>SUM(B346:B348)</f>
        <v>111762192</v>
      </c>
      <c r="C349" s="19">
        <f>SUM(C346:C348)</f>
        <v>116032348</v>
      </c>
      <c r="D349" s="16">
        <f>D346+D347+D348</f>
        <v>109691632</v>
      </c>
      <c r="E349" s="17">
        <f>D349/C349*100</f>
        <v>94.535389389862218</v>
      </c>
    </row>
    <row r="350" spans="1:5" x14ac:dyDescent="0.2">
      <c r="A350" s="33"/>
      <c r="B350" s="19"/>
      <c r="C350" s="7"/>
      <c r="D350" s="7"/>
      <c r="E350" s="7"/>
    </row>
    <row r="351" spans="1:5" x14ac:dyDescent="0.2">
      <c r="A351" s="77" t="s">
        <v>82</v>
      </c>
      <c r="B351" s="77"/>
      <c r="C351" s="77"/>
      <c r="D351" s="77"/>
      <c r="E351" s="77"/>
    </row>
    <row r="352" spans="1:5" x14ac:dyDescent="0.2">
      <c r="A352" s="45"/>
      <c r="B352" s="46"/>
      <c r="C352" s="7"/>
      <c r="D352" s="7"/>
      <c r="E352" s="7"/>
    </row>
    <row r="353" spans="1:5" x14ac:dyDescent="0.2">
      <c r="A353" s="78" t="s">
        <v>2</v>
      </c>
      <c r="B353" s="78"/>
      <c r="C353" s="78"/>
      <c r="D353" s="78"/>
      <c r="E353" s="78"/>
    </row>
    <row r="354" spans="1:5" x14ac:dyDescent="0.2">
      <c r="A354" s="5"/>
      <c r="B354" s="5"/>
      <c r="C354" s="7"/>
      <c r="D354" s="7"/>
      <c r="E354" s="7"/>
    </row>
    <row r="355" spans="1:5" ht="12.75" customHeight="1" x14ac:dyDescent="0.2">
      <c r="A355" s="65" t="s">
        <v>83</v>
      </c>
      <c r="B355" s="66"/>
      <c r="C355" s="66"/>
      <c r="D355" s="66"/>
      <c r="E355" s="67"/>
    </row>
    <row r="356" spans="1:5" x14ac:dyDescent="0.2">
      <c r="A356" s="23"/>
      <c r="B356" s="10"/>
      <c r="C356" s="7"/>
      <c r="D356" s="7"/>
      <c r="E356" s="7"/>
    </row>
    <row r="357" spans="1:5" x14ac:dyDescent="0.2">
      <c r="A357" s="7" t="s">
        <v>84</v>
      </c>
      <c r="B357" s="7">
        <f>1631763+351500+5250085</f>
        <v>7233348</v>
      </c>
      <c r="C357" s="7">
        <f>1631763+351500+5250085+15450923+1304483</f>
        <v>23988754</v>
      </c>
      <c r="D357" s="7">
        <v>17418176</v>
      </c>
      <c r="E357" s="13">
        <f t="shared" ref="E357:E368" si="15">D357/C357*100</f>
        <v>72.609757055326838</v>
      </c>
    </row>
    <row r="358" spans="1:5" x14ac:dyDescent="0.2">
      <c r="A358" s="7" t="s">
        <v>34</v>
      </c>
      <c r="B358" s="7">
        <f>20000+10000+30000</f>
        <v>60000</v>
      </c>
      <c r="C358" s="7">
        <f>20000+10000+30000</f>
        <v>60000</v>
      </c>
      <c r="D358" s="7">
        <v>546420</v>
      </c>
      <c r="E358" s="13">
        <f t="shared" si="15"/>
        <v>910.69999999999993</v>
      </c>
    </row>
    <row r="359" spans="1:5" x14ac:dyDescent="0.2">
      <c r="A359" s="21" t="s">
        <v>17</v>
      </c>
      <c r="B359" s="16">
        <f>SUM(B357:B358)</f>
        <v>7293348</v>
      </c>
      <c r="C359" s="16">
        <f>SUM(C357:C358)</f>
        <v>24048754</v>
      </c>
      <c r="D359" s="16">
        <f>SUM(D357:D358)</f>
        <v>17964596</v>
      </c>
      <c r="E359" s="17">
        <f t="shared" si="15"/>
        <v>74.70073501521118</v>
      </c>
    </row>
    <row r="360" spans="1:5" x14ac:dyDescent="0.2">
      <c r="A360" s="7"/>
      <c r="B360" s="7"/>
      <c r="C360" s="7"/>
      <c r="D360" s="7"/>
      <c r="E360" s="13"/>
    </row>
    <row r="361" spans="1:5" x14ac:dyDescent="0.2">
      <c r="A361" s="7" t="s">
        <v>18</v>
      </c>
      <c r="B361" s="7">
        <f>322094+58988+514808</f>
        <v>895890</v>
      </c>
      <c r="C361" s="7">
        <f>322094+58988+514808+1506465+228285</f>
        <v>2630640</v>
      </c>
      <c r="D361" s="7">
        <v>1749435</v>
      </c>
      <c r="E361" s="13">
        <f t="shared" si="15"/>
        <v>66.502258005656429</v>
      </c>
    </row>
    <row r="362" spans="1:5" x14ac:dyDescent="0.2">
      <c r="A362" s="7" t="s">
        <v>39</v>
      </c>
      <c r="B362" s="7">
        <f>5000+20000</f>
        <v>25000</v>
      </c>
      <c r="C362" s="7">
        <f>5000+20000</f>
        <v>25000</v>
      </c>
      <c r="D362" s="7">
        <v>59803</v>
      </c>
      <c r="E362" s="13">
        <f t="shared" si="15"/>
        <v>239.21199999999999</v>
      </c>
    </row>
    <row r="363" spans="1:5" x14ac:dyDescent="0.2">
      <c r="A363" s="21" t="s">
        <v>19</v>
      </c>
      <c r="B363" s="16">
        <f>SUM(B361:B362)</f>
        <v>920890</v>
      </c>
      <c r="C363" s="16">
        <f>SUM(C361:C362)</f>
        <v>2655640</v>
      </c>
      <c r="D363" s="16">
        <f>SUM(D361:D362)</f>
        <v>1809238</v>
      </c>
      <c r="E363" s="17">
        <f t="shared" si="15"/>
        <v>68.128134837553276</v>
      </c>
    </row>
    <row r="364" spans="1:5" x14ac:dyDescent="0.2">
      <c r="A364" s="21"/>
      <c r="B364" s="16"/>
      <c r="C364" s="16"/>
      <c r="D364" s="16"/>
      <c r="E364" s="17"/>
    </row>
    <row r="365" spans="1:5" x14ac:dyDescent="0.2">
      <c r="A365" s="12" t="s">
        <v>29</v>
      </c>
      <c r="B365" s="16"/>
      <c r="C365" s="16"/>
      <c r="D365" s="7">
        <v>48810</v>
      </c>
      <c r="E365" s="17"/>
    </row>
    <row r="366" spans="1:5" x14ac:dyDescent="0.2">
      <c r="A366" s="15" t="s">
        <v>12</v>
      </c>
      <c r="B366" s="16"/>
      <c r="C366" s="16"/>
      <c r="D366" s="16">
        <f>D365</f>
        <v>48810</v>
      </c>
      <c r="E366" s="17"/>
    </row>
    <row r="367" spans="1:5" x14ac:dyDescent="0.2">
      <c r="A367" s="21"/>
      <c r="B367" s="16"/>
      <c r="C367" s="16"/>
      <c r="D367" s="16"/>
      <c r="E367" s="17"/>
    </row>
    <row r="368" spans="1:5" x14ac:dyDescent="0.2">
      <c r="A368" s="18" t="s">
        <v>13</v>
      </c>
      <c r="B368" s="19">
        <f>B359+B363</f>
        <v>8214238</v>
      </c>
      <c r="C368" s="19">
        <f>C359+C363</f>
        <v>26704394</v>
      </c>
      <c r="D368" s="16">
        <f>D359+D363+D366</f>
        <v>19822644</v>
      </c>
      <c r="E368" s="17">
        <f t="shared" si="15"/>
        <v>74.229896398323064</v>
      </c>
    </row>
    <row r="369" spans="1:5" x14ac:dyDescent="0.2">
      <c r="A369" s="23"/>
      <c r="B369" s="10"/>
      <c r="C369" s="7"/>
      <c r="D369" s="7"/>
      <c r="E369" s="7"/>
    </row>
    <row r="370" spans="1:5" x14ac:dyDescent="0.2">
      <c r="A370" s="71" t="s">
        <v>85</v>
      </c>
      <c r="B370" s="72"/>
      <c r="C370" s="72"/>
      <c r="D370" s="72"/>
      <c r="E370" s="73"/>
    </row>
    <row r="371" spans="1:5" x14ac:dyDescent="0.2">
      <c r="A371" s="47"/>
      <c r="B371" s="10"/>
      <c r="C371" s="7"/>
      <c r="D371" s="7"/>
      <c r="E371" s="7"/>
    </row>
    <row r="372" spans="1:5" x14ac:dyDescent="0.2">
      <c r="A372" s="7" t="s">
        <v>86</v>
      </c>
      <c r="B372" s="7">
        <v>7241708</v>
      </c>
      <c r="C372" s="7">
        <f>7241708+1037410+213054</f>
        <v>8492172</v>
      </c>
      <c r="D372" s="7">
        <v>8354555</v>
      </c>
      <c r="E372" s="13">
        <f t="shared" ref="E372:E402" si="16">D372/C372*100</f>
        <v>98.379484070741853</v>
      </c>
    </row>
    <row r="373" spans="1:5" x14ac:dyDescent="0.2">
      <c r="A373" s="7" t="s">
        <v>87</v>
      </c>
      <c r="B373" s="7">
        <v>152922</v>
      </c>
      <c r="C373" s="7">
        <v>152922</v>
      </c>
      <c r="D373" s="7">
        <v>278196</v>
      </c>
      <c r="E373" s="13">
        <f t="shared" si="16"/>
        <v>181.92019460901636</v>
      </c>
    </row>
    <row r="374" spans="1:5" x14ac:dyDescent="0.2">
      <c r="A374" s="7" t="s">
        <v>88</v>
      </c>
      <c r="B374" s="7">
        <v>1097226</v>
      </c>
      <c r="C374" s="7">
        <f>1097226+372066</f>
        <v>1469292</v>
      </c>
      <c r="D374" s="7">
        <v>1469292</v>
      </c>
      <c r="E374" s="13">
        <f t="shared" si="16"/>
        <v>100</v>
      </c>
    </row>
    <row r="375" spans="1:5" x14ac:dyDescent="0.2">
      <c r="A375" s="7" t="s">
        <v>56</v>
      </c>
      <c r="B375" s="7">
        <v>18044</v>
      </c>
      <c r="C375" s="7">
        <v>18044</v>
      </c>
      <c r="D375" s="7">
        <v>18044</v>
      </c>
      <c r="E375" s="13">
        <f t="shared" si="16"/>
        <v>100</v>
      </c>
    </row>
    <row r="376" spans="1:5" x14ac:dyDescent="0.2">
      <c r="A376" s="7" t="s">
        <v>34</v>
      </c>
      <c r="B376" s="7">
        <v>660716</v>
      </c>
      <c r="C376" s="7">
        <f>660716+8000</f>
        <v>668716</v>
      </c>
      <c r="D376" s="7">
        <v>572259</v>
      </c>
      <c r="E376" s="13">
        <f t="shared" si="16"/>
        <v>85.575790021473992</v>
      </c>
    </row>
    <row r="377" spans="1:5" x14ac:dyDescent="0.2">
      <c r="A377" s="21" t="s">
        <v>17</v>
      </c>
      <c r="B377" s="16">
        <f>SUM(B372:B376)</f>
        <v>9170616</v>
      </c>
      <c r="C377" s="16">
        <f>SUM(C372:C376)</f>
        <v>10801146</v>
      </c>
      <c r="D377" s="16">
        <f>SUM(D372:D376)</f>
        <v>10692346</v>
      </c>
      <c r="E377" s="17">
        <f t="shared" si="16"/>
        <v>98.992699478370156</v>
      </c>
    </row>
    <row r="378" spans="1:5" x14ac:dyDescent="0.2">
      <c r="A378" s="7"/>
      <c r="B378" s="7"/>
      <c r="C378" s="7"/>
      <c r="D378" s="7"/>
      <c r="E378" s="13"/>
    </row>
    <row r="379" spans="1:5" x14ac:dyDescent="0.2">
      <c r="A379" s="7" t="s">
        <v>18</v>
      </c>
      <c r="B379" s="7">
        <v>1758450</v>
      </c>
      <c r="C379" s="7">
        <f>1758450+1560+181547+65112-96058</f>
        <v>1910611</v>
      </c>
      <c r="D379" s="7">
        <v>1963367</v>
      </c>
      <c r="E379" s="13">
        <f t="shared" si="16"/>
        <v>102.76121094246815</v>
      </c>
    </row>
    <row r="380" spans="1:5" x14ac:dyDescent="0.2">
      <c r="A380" s="7" t="s">
        <v>59</v>
      </c>
      <c r="B380" s="7">
        <v>29820</v>
      </c>
      <c r="C380" s="7">
        <v>29820</v>
      </c>
      <c r="D380" s="7">
        <v>0</v>
      </c>
      <c r="E380" s="13">
        <f t="shared" si="16"/>
        <v>0</v>
      </c>
    </row>
    <row r="381" spans="1:5" x14ac:dyDescent="0.2">
      <c r="A381" s="7" t="s">
        <v>60</v>
      </c>
      <c r="B381" s="7">
        <v>22936</v>
      </c>
      <c r="C381" s="7">
        <v>22936</v>
      </c>
      <c r="D381" s="7">
        <v>0</v>
      </c>
      <c r="E381" s="13">
        <f t="shared" si="16"/>
        <v>0</v>
      </c>
    </row>
    <row r="382" spans="1:5" x14ac:dyDescent="0.2">
      <c r="A382" s="21" t="s">
        <v>19</v>
      </c>
      <c r="B382" s="16">
        <f>SUM(B379:B381)</f>
        <v>1811206</v>
      </c>
      <c r="C382" s="16">
        <f>SUM(C379:C381)</f>
        <v>1963367</v>
      </c>
      <c r="D382" s="16">
        <f>SUM(D379:D381)</f>
        <v>1963367</v>
      </c>
      <c r="E382" s="17">
        <f t="shared" si="16"/>
        <v>100</v>
      </c>
    </row>
    <row r="383" spans="1:5" x14ac:dyDescent="0.2">
      <c r="A383" s="7"/>
      <c r="B383" s="7"/>
      <c r="C383" s="7"/>
      <c r="D383" s="7"/>
      <c r="E383" s="13"/>
    </row>
    <row r="384" spans="1:5" x14ac:dyDescent="0.2">
      <c r="A384" s="7" t="s">
        <v>20</v>
      </c>
      <c r="B384" s="7">
        <v>45000</v>
      </c>
      <c r="C384" s="7">
        <v>45000</v>
      </c>
      <c r="D384" s="7">
        <v>0</v>
      </c>
      <c r="E384" s="13">
        <f t="shared" si="16"/>
        <v>0</v>
      </c>
    </row>
    <row r="385" spans="1:5" x14ac:dyDescent="0.2">
      <c r="A385" s="7" t="s">
        <v>21</v>
      </c>
      <c r="B385" s="7">
        <v>250000</v>
      </c>
      <c r="C385" s="7">
        <v>250000</v>
      </c>
      <c r="D385" s="7">
        <v>228106</v>
      </c>
      <c r="E385" s="13">
        <f t="shared" si="16"/>
        <v>91.242400000000004</v>
      </c>
    </row>
    <row r="386" spans="1:5" x14ac:dyDescent="0.2">
      <c r="A386" s="7" t="s">
        <v>22</v>
      </c>
      <c r="B386" s="7">
        <v>250100</v>
      </c>
      <c r="C386" s="7">
        <v>250100</v>
      </c>
      <c r="D386" s="7">
        <v>184635</v>
      </c>
      <c r="E386" s="13">
        <f t="shared" si="16"/>
        <v>73.824470211915241</v>
      </c>
    </row>
    <row r="387" spans="1:5" x14ac:dyDescent="0.2">
      <c r="A387" s="14" t="s">
        <v>23</v>
      </c>
      <c r="B387" s="7">
        <v>80000</v>
      </c>
      <c r="C387" s="7">
        <v>80000</v>
      </c>
      <c r="D387" s="7">
        <v>86040</v>
      </c>
      <c r="E387" s="13">
        <f t="shared" si="16"/>
        <v>107.54999999999998</v>
      </c>
    </row>
    <row r="388" spans="1:5" x14ac:dyDescent="0.2">
      <c r="A388" s="12" t="s">
        <v>9</v>
      </c>
      <c r="B388" s="7">
        <f>SUM(B389:B392)</f>
        <v>573000</v>
      </c>
      <c r="C388" s="7">
        <f>SUM(C389:C392)</f>
        <v>573000</v>
      </c>
      <c r="D388" s="7">
        <v>547231</v>
      </c>
      <c r="E388" s="13">
        <f t="shared" si="16"/>
        <v>95.502792321116928</v>
      </c>
    </row>
    <row r="389" spans="1:5" x14ac:dyDescent="0.2">
      <c r="A389" s="14" t="s">
        <v>24</v>
      </c>
      <c r="B389" s="7">
        <v>80000</v>
      </c>
      <c r="C389" s="7">
        <v>80000</v>
      </c>
      <c r="D389" s="7">
        <v>56706</v>
      </c>
      <c r="E389" s="13">
        <f t="shared" si="16"/>
        <v>70.882500000000007</v>
      </c>
    </row>
    <row r="390" spans="1:5" x14ac:dyDescent="0.2">
      <c r="A390" s="14" t="s">
        <v>89</v>
      </c>
      <c r="B390" s="7">
        <v>380000</v>
      </c>
      <c r="C390" s="7">
        <v>380000</v>
      </c>
      <c r="D390" s="7">
        <v>362285</v>
      </c>
      <c r="E390" s="13">
        <f t="shared" si="16"/>
        <v>95.338157894736838</v>
      </c>
    </row>
    <row r="391" spans="1:5" x14ac:dyDescent="0.2">
      <c r="A391" s="14" t="s">
        <v>25</v>
      </c>
      <c r="B391" s="7">
        <v>100000</v>
      </c>
      <c r="C391" s="7">
        <v>100000</v>
      </c>
      <c r="D391" s="7">
        <v>117957</v>
      </c>
      <c r="E391" s="13">
        <f t="shared" si="16"/>
        <v>117.95699999999999</v>
      </c>
    </row>
    <row r="392" spans="1:5" x14ac:dyDescent="0.2">
      <c r="A392" s="14" t="s">
        <v>26</v>
      </c>
      <c r="B392" s="7">
        <v>13000</v>
      </c>
      <c r="C392" s="7">
        <v>13000</v>
      </c>
      <c r="D392" s="7">
        <f>D388-D389-D390-D391</f>
        <v>10283</v>
      </c>
      <c r="E392" s="13">
        <f t="shared" si="16"/>
        <v>79.100000000000009</v>
      </c>
    </row>
    <row r="393" spans="1:5" x14ac:dyDescent="0.2">
      <c r="A393" s="14" t="s">
        <v>45</v>
      </c>
      <c r="B393" s="7"/>
      <c r="C393" s="7"/>
      <c r="D393" s="7">
        <v>64005</v>
      </c>
      <c r="E393" s="13"/>
    </row>
    <row r="394" spans="1:5" x14ac:dyDescent="0.2">
      <c r="A394" s="12" t="s">
        <v>27</v>
      </c>
      <c r="B394" s="7">
        <v>50000</v>
      </c>
      <c r="C394" s="7">
        <v>50000</v>
      </c>
      <c r="D394" s="7">
        <v>16000</v>
      </c>
      <c r="E394" s="13">
        <f t="shared" si="16"/>
        <v>32</v>
      </c>
    </row>
    <row r="395" spans="1:5" x14ac:dyDescent="0.2">
      <c r="A395" s="12" t="s">
        <v>73</v>
      </c>
      <c r="B395" s="7">
        <v>2100000</v>
      </c>
      <c r="C395" s="7">
        <f>2100000-11616</f>
        <v>2088384</v>
      </c>
      <c r="D395" s="7">
        <v>1970067</v>
      </c>
      <c r="E395" s="13">
        <f t="shared" si="16"/>
        <v>94.334518939045694</v>
      </c>
    </row>
    <row r="396" spans="1:5" x14ac:dyDescent="0.2">
      <c r="A396" s="12" t="s">
        <v>28</v>
      </c>
      <c r="B396" s="7">
        <v>80000</v>
      </c>
      <c r="C396" s="7">
        <v>80000</v>
      </c>
      <c r="D396" s="7">
        <v>228000</v>
      </c>
      <c r="E396" s="13">
        <f t="shared" si="16"/>
        <v>285</v>
      </c>
    </row>
    <row r="397" spans="1:5" x14ac:dyDescent="0.2">
      <c r="A397" s="12" t="s">
        <v>29</v>
      </c>
      <c r="B397" s="7">
        <v>700000</v>
      </c>
      <c r="C397" s="7">
        <v>700000</v>
      </c>
      <c r="D397" s="7">
        <f>523121+28384</f>
        <v>551505</v>
      </c>
      <c r="E397" s="13">
        <f t="shared" si="16"/>
        <v>78.786428571428573</v>
      </c>
    </row>
    <row r="398" spans="1:5" x14ac:dyDescent="0.2">
      <c r="A398" s="12" t="s">
        <v>11</v>
      </c>
      <c r="B398" s="7">
        <f>(B384+B385+B386+B387+B388+B394+B395+B396)*0.27</f>
        <v>925587.00000000012</v>
      </c>
      <c r="C398" s="7">
        <v>925587</v>
      </c>
      <c r="D398" s="7">
        <v>762815</v>
      </c>
      <c r="E398" s="13">
        <f t="shared" si="16"/>
        <v>82.414186888968842</v>
      </c>
    </row>
    <row r="399" spans="1:5" x14ac:dyDescent="0.2">
      <c r="A399" s="12" t="s">
        <v>30</v>
      </c>
      <c r="B399" s="7">
        <v>20000</v>
      </c>
      <c r="C399" s="7">
        <v>20000</v>
      </c>
      <c r="D399" s="7">
        <v>3099</v>
      </c>
      <c r="E399" s="13">
        <f t="shared" si="16"/>
        <v>15.495000000000001</v>
      </c>
    </row>
    <row r="400" spans="1:5" x14ac:dyDescent="0.2">
      <c r="A400" s="15" t="s">
        <v>12</v>
      </c>
      <c r="B400" s="16">
        <f>SUM(B384:B399)-B388</f>
        <v>5073687</v>
      </c>
      <c r="C400" s="16">
        <f>SUM(C384:C399)-C388</f>
        <v>5062071</v>
      </c>
      <c r="D400" s="16">
        <f>SUM(D384:D399)-D388</f>
        <v>4641503</v>
      </c>
      <c r="E400" s="17">
        <f t="shared" si="16"/>
        <v>91.691779905892261</v>
      </c>
    </row>
    <row r="401" spans="1:5" x14ac:dyDescent="0.2">
      <c r="A401" s="11"/>
      <c r="B401" s="10"/>
      <c r="C401" s="10"/>
      <c r="D401" s="7"/>
      <c r="E401" s="17"/>
    </row>
    <row r="402" spans="1:5" x14ac:dyDescent="0.2">
      <c r="A402" s="18" t="s">
        <v>13</v>
      </c>
      <c r="B402" s="19">
        <f>B377+B382+B400</f>
        <v>16055509</v>
      </c>
      <c r="C402" s="19">
        <f>C377+C382+C400</f>
        <v>17826584</v>
      </c>
      <c r="D402" s="16">
        <f>D377+D382+D400</f>
        <v>17297216</v>
      </c>
      <c r="E402" s="17">
        <f t="shared" si="16"/>
        <v>97.030457433684433</v>
      </c>
    </row>
    <row r="403" spans="1:5" x14ac:dyDescent="0.2">
      <c r="A403" s="14"/>
      <c r="B403" s="43"/>
      <c r="C403" s="7"/>
      <c r="D403" s="7"/>
      <c r="E403" s="7"/>
    </row>
    <row r="404" spans="1:5" x14ac:dyDescent="0.2">
      <c r="A404" s="71" t="s">
        <v>90</v>
      </c>
      <c r="B404" s="72"/>
      <c r="C404" s="72"/>
      <c r="D404" s="72"/>
      <c r="E404" s="73"/>
    </row>
    <row r="405" spans="1:5" x14ac:dyDescent="0.2">
      <c r="A405" s="47"/>
      <c r="B405" s="47"/>
      <c r="C405" s="7"/>
      <c r="D405" s="7"/>
      <c r="E405" s="7"/>
    </row>
    <row r="406" spans="1:5" x14ac:dyDescent="0.2">
      <c r="A406" s="7" t="s">
        <v>91</v>
      </c>
      <c r="B406" s="7">
        <v>3125504</v>
      </c>
      <c r="C406" s="7">
        <f>3125504+308110</f>
        <v>3433614</v>
      </c>
      <c r="D406" s="7">
        <v>3458575</v>
      </c>
      <c r="E406" s="13">
        <f t="shared" ref="E406:E423" si="17">D406/C406*100</f>
        <v>100.72695999026099</v>
      </c>
    </row>
    <row r="407" spans="1:5" x14ac:dyDescent="0.2">
      <c r="A407" s="7" t="s">
        <v>87</v>
      </c>
      <c r="B407" s="7">
        <v>64914</v>
      </c>
      <c r="C407" s="7">
        <v>64914</v>
      </c>
      <c r="D407" s="7">
        <v>97744</v>
      </c>
      <c r="E407" s="13">
        <f t="shared" si="17"/>
        <v>150.5746064023169</v>
      </c>
    </row>
    <row r="408" spans="1:5" x14ac:dyDescent="0.2">
      <c r="A408" s="7" t="s">
        <v>50</v>
      </c>
      <c r="B408" s="7">
        <v>10000</v>
      </c>
      <c r="C408" s="7">
        <v>10000</v>
      </c>
      <c r="D408" s="7">
        <v>1845</v>
      </c>
      <c r="E408" s="13">
        <f t="shared" si="17"/>
        <v>18.45</v>
      </c>
    </row>
    <row r="409" spans="1:5" x14ac:dyDescent="0.2">
      <c r="A409" s="7" t="s">
        <v>56</v>
      </c>
      <c r="B409" s="7">
        <v>9022</v>
      </c>
      <c r="C409" s="7">
        <v>9022</v>
      </c>
      <c r="D409" s="7">
        <v>9022</v>
      </c>
      <c r="E409" s="13">
        <f t="shared" si="17"/>
        <v>100</v>
      </c>
    </row>
    <row r="410" spans="1:5" x14ac:dyDescent="0.2">
      <c r="A410" s="7" t="s">
        <v>34</v>
      </c>
      <c r="B410" s="7">
        <v>350358</v>
      </c>
      <c r="C410" s="7">
        <f>350358+9300</f>
        <v>359658</v>
      </c>
      <c r="D410" s="7">
        <v>267123</v>
      </c>
      <c r="E410" s="13">
        <f t="shared" si="17"/>
        <v>74.271391154930527</v>
      </c>
    </row>
    <row r="411" spans="1:5" x14ac:dyDescent="0.2">
      <c r="A411" s="21" t="s">
        <v>17</v>
      </c>
      <c r="B411" s="16">
        <f>SUM(B406:B410)</f>
        <v>3559798</v>
      </c>
      <c r="C411" s="16">
        <f>SUM(C406:C410)</f>
        <v>3877208</v>
      </c>
      <c r="D411" s="16">
        <f>SUM(D406:D410)</f>
        <v>3834309</v>
      </c>
      <c r="E411" s="17">
        <f t="shared" si="17"/>
        <v>98.893559489199447</v>
      </c>
    </row>
    <row r="412" spans="1:5" x14ac:dyDescent="0.2">
      <c r="A412" s="7"/>
      <c r="B412" s="7"/>
      <c r="C412" s="7"/>
      <c r="D412" s="7"/>
      <c r="E412" s="13"/>
    </row>
    <row r="413" spans="1:5" x14ac:dyDescent="0.2">
      <c r="A413" s="7" t="s">
        <v>18</v>
      </c>
      <c r="B413" s="7">
        <v>679552</v>
      </c>
      <c r="C413" s="7">
        <f>679552+1814+53919-57578</f>
        <v>677707</v>
      </c>
      <c r="D413" s="7">
        <v>710102</v>
      </c>
      <c r="E413" s="13">
        <f t="shared" si="17"/>
        <v>104.78008933063994</v>
      </c>
    </row>
    <row r="414" spans="1:5" x14ac:dyDescent="0.2">
      <c r="A414" s="7" t="s">
        <v>59</v>
      </c>
      <c r="B414" s="7">
        <v>12658</v>
      </c>
      <c r="C414" s="7">
        <v>12658</v>
      </c>
      <c r="D414" s="7">
        <v>0</v>
      </c>
      <c r="E414" s="13">
        <f t="shared" si="17"/>
        <v>0</v>
      </c>
    </row>
    <row r="415" spans="1:5" x14ac:dyDescent="0.2">
      <c r="A415" s="7" t="s">
        <v>39</v>
      </c>
      <c r="B415" s="7">
        <v>10000</v>
      </c>
      <c r="C415" s="7">
        <v>10000</v>
      </c>
      <c r="D415" s="7">
        <v>0</v>
      </c>
      <c r="E415" s="13">
        <f t="shared" si="17"/>
        <v>0</v>
      </c>
    </row>
    <row r="416" spans="1:5" x14ac:dyDescent="0.2">
      <c r="A416" s="7" t="s">
        <v>60</v>
      </c>
      <c r="B416" s="7">
        <v>9737</v>
      </c>
      <c r="C416" s="7">
        <v>9737</v>
      </c>
      <c r="D416" s="7">
        <v>0</v>
      </c>
      <c r="E416" s="13">
        <f t="shared" si="17"/>
        <v>0</v>
      </c>
    </row>
    <row r="417" spans="1:5" x14ac:dyDescent="0.2">
      <c r="A417" s="21" t="s">
        <v>19</v>
      </c>
      <c r="B417" s="16">
        <f>SUM(B413:B416)</f>
        <v>711947</v>
      </c>
      <c r="C417" s="16">
        <f>SUM(C413:C416)</f>
        <v>710102</v>
      </c>
      <c r="D417" s="16">
        <f>SUM(D413:D416)</f>
        <v>710102</v>
      </c>
      <c r="E417" s="17">
        <f t="shared" si="17"/>
        <v>100</v>
      </c>
    </row>
    <row r="418" spans="1:5" x14ac:dyDescent="0.2">
      <c r="A418" s="7"/>
      <c r="B418" s="7"/>
      <c r="C418" s="7"/>
      <c r="D418" s="7"/>
      <c r="E418" s="13"/>
    </row>
    <row r="419" spans="1:5" x14ac:dyDescent="0.2">
      <c r="A419" s="7" t="s">
        <v>21</v>
      </c>
      <c r="B419" s="7">
        <v>12000</v>
      </c>
      <c r="C419" s="7">
        <v>12000</v>
      </c>
      <c r="D419" s="7">
        <v>0</v>
      </c>
      <c r="E419" s="13">
        <f t="shared" si="17"/>
        <v>0</v>
      </c>
    </row>
    <row r="420" spans="1:5" x14ac:dyDescent="0.2">
      <c r="A420" s="12" t="s">
        <v>11</v>
      </c>
      <c r="B420" s="7">
        <f>B419*0.27</f>
        <v>3240</v>
      </c>
      <c r="C420" s="7">
        <f>C419*0.27</f>
        <v>3240</v>
      </c>
      <c r="D420" s="7">
        <v>0</v>
      </c>
      <c r="E420" s="13">
        <f t="shared" si="17"/>
        <v>0</v>
      </c>
    </row>
    <row r="421" spans="1:5" x14ac:dyDescent="0.2">
      <c r="A421" s="15" t="s">
        <v>12</v>
      </c>
      <c r="B421" s="16">
        <f>SUM(B419:B420)</f>
        <v>15240</v>
      </c>
      <c r="C421" s="16">
        <f>SUM(C419:C420)</f>
        <v>15240</v>
      </c>
      <c r="D421" s="16">
        <f>SUM(D419:D420)</f>
        <v>0</v>
      </c>
      <c r="E421" s="13">
        <f t="shared" si="17"/>
        <v>0</v>
      </c>
    </row>
    <row r="422" spans="1:5" x14ac:dyDescent="0.2">
      <c r="A422" s="11"/>
      <c r="B422" s="10"/>
      <c r="C422" s="10"/>
      <c r="D422" s="7"/>
      <c r="E422" s="13"/>
    </row>
    <row r="423" spans="1:5" x14ac:dyDescent="0.2">
      <c r="A423" s="18" t="s">
        <v>13</v>
      </c>
      <c r="B423" s="19">
        <f>B411+B417+B421</f>
        <v>4286985</v>
      </c>
      <c r="C423" s="19">
        <f>C411+C417+C421</f>
        <v>4602550</v>
      </c>
      <c r="D423" s="16">
        <f>D411+D417</f>
        <v>4544411</v>
      </c>
      <c r="E423" s="17">
        <f t="shared" si="17"/>
        <v>98.73680894286862</v>
      </c>
    </row>
    <row r="424" spans="1:5" x14ac:dyDescent="0.2">
      <c r="A424" s="21"/>
      <c r="B424" s="48"/>
      <c r="C424" s="7"/>
      <c r="D424" s="7"/>
      <c r="E424" s="7"/>
    </row>
    <row r="425" spans="1:5" x14ac:dyDescent="0.2">
      <c r="A425" s="71" t="s">
        <v>92</v>
      </c>
      <c r="B425" s="72"/>
      <c r="C425" s="72"/>
      <c r="D425" s="72"/>
      <c r="E425" s="73"/>
    </row>
    <row r="426" spans="1:5" x14ac:dyDescent="0.2">
      <c r="A426" s="47"/>
      <c r="B426" s="49"/>
      <c r="C426" s="7"/>
      <c r="D426" s="7"/>
      <c r="E426" s="7"/>
    </row>
    <row r="427" spans="1:5" x14ac:dyDescent="0.2">
      <c r="A427" s="7" t="s">
        <v>44</v>
      </c>
      <c r="B427" s="7">
        <v>16071547</v>
      </c>
      <c r="C427" s="7">
        <f>16071547+596000+816750</f>
        <v>17484297</v>
      </c>
      <c r="D427" s="7">
        <v>17198450</v>
      </c>
      <c r="E427" s="13">
        <f t="shared" ref="E427:E455" si="18">D427/C427*100</f>
        <v>98.365121571659415</v>
      </c>
    </row>
    <row r="428" spans="1:5" x14ac:dyDescent="0.2">
      <c r="A428" s="7" t="s">
        <v>87</v>
      </c>
      <c r="B428" s="7">
        <v>298647</v>
      </c>
      <c r="C428" s="7">
        <v>298647</v>
      </c>
      <c r="D428" s="7">
        <v>592480</v>
      </c>
      <c r="E428" s="13">
        <f t="shared" si="18"/>
        <v>198.38806349971705</v>
      </c>
    </row>
    <row r="429" spans="1:5" x14ac:dyDescent="0.2">
      <c r="A429" s="7" t="s">
        <v>50</v>
      </c>
      <c r="B429" s="7">
        <v>25000</v>
      </c>
      <c r="C429" s="7">
        <v>25000</v>
      </c>
      <c r="D429" s="7">
        <v>10956</v>
      </c>
      <c r="E429" s="13">
        <f t="shared" si="18"/>
        <v>43.824000000000005</v>
      </c>
    </row>
    <row r="430" spans="1:5" x14ac:dyDescent="0.2">
      <c r="A430" s="7" t="s">
        <v>56</v>
      </c>
      <c r="B430" s="7">
        <v>54132</v>
      </c>
      <c r="C430" s="7">
        <v>54132</v>
      </c>
      <c r="D430" s="7">
        <v>54132</v>
      </c>
      <c r="E430" s="13">
        <f t="shared" si="18"/>
        <v>100</v>
      </c>
    </row>
    <row r="431" spans="1:5" x14ac:dyDescent="0.2">
      <c r="A431" s="7" t="s">
        <v>34</v>
      </c>
      <c r="B431" s="7">
        <v>25000</v>
      </c>
      <c r="C431" s="7">
        <f>25000+46400</f>
        <v>71400</v>
      </c>
      <c r="D431" s="7">
        <v>155892</v>
      </c>
      <c r="E431" s="13">
        <f t="shared" si="18"/>
        <v>218.33613445378154</v>
      </c>
    </row>
    <row r="432" spans="1:5" x14ac:dyDescent="0.2">
      <c r="A432" s="7" t="s">
        <v>93</v>
      </c>
      <c r="B432" s="7">
        <v>576000</v>
      </c>
      <c r="C432" s="7">
        <v>576000</v>
      </c>
      <c r="D432" s="7">
        <v>576000</v>
      </c>
      <c r="E432" s="13">
        <f t="shared" si="18"/>
        <v>100</v>
      </c>
    </row>
    <row r="433" spans="1:5" x14ac:dyDescent="0.2">
      <c r="A433" s="21" t="s">
        <v>17</v>
      </c>
      <c r="B433" s="16">
        <f>SUM(B427:B432)</f>
        <v>17050326</v>
      </c>
      <c r="C433" s="16">
        <f>SUM(C427:C432)</f>
        <v>18509476</v>
      </c>
      <c r="D433" s="16">
        <f>SUM(D427:D432)</f>
        <v>18587910</v>
      </c>
      <c r="E433" s="17">
        <f t="shared" si="18"/>
        <v>100.4237505156818</v>
      </c>
    </row>
    <row r="434" spans="1:5" x14ac:dyDescent="0.2">
      <c r="A434" s="7"/>
      <c r="B434" s="7"/>
      <c r="C434" s="7"/>
      <c r="D434" s="7"/>
      <c r="E434" s="13"/>
    </row>
    <row r="435" spans="1:5" x14ac:dyDescent="0.2">
      <c r="A435" s="7" t="s">
        <v>18</v>
      </c>
      <c r="B435" s="7">
        <v>3144507</v>
      </c>
      <c r="C435" s="7">
        <f>3144507+116220+8942+159266-59418</f>
        <v>3369517</v>
      </c>
      <c r="D435" s="7">
        <v>3262684</v>
      </c>
      <c r="E435" s="13">
        <f t="shared" si="18"/>
        <v>96.829426888186049</v>
      </c>
    </row>
    <row r="436" spans="1:5" x14ac:dyDescent="0.2">
      <c r="A436" s="7" t="s">
        <v>59</v>
      </c>
      <c r="B436" s="7">
        <v>58236</v>
      </c>
      <c r="C436" s="7">
        <v>58236</v>
      </c>
      <c r="D436" s="7">
        <v>0</v>
      </c>
      <c r="E436" s="13">
        <f t="shared" si="18"/>
        <v>0</v>
      </c>
    </row>
    <row r="437" spans="1:5" x14ac:dyDescent="0.2">
      <c r="A437" s="7" t="s">
        <v>39</v>
      </c>
      <c r="B437" s="7">
        <v>10000</v>
      </c>
      <c r="C437" s="7">
        <v>10000</v>
      </c>
      <c r="D437" s="7">
        <v>29803</v>
      </c>
      <c r="E437" s="13">
        <f t="shared" si="18"/>
        <v>298.03000000000003</v>
      </c>
    </row>
    <row r="438" spans="1:5" x14ac:dyDescent="0.2">
      <c r="A438" s="7" t="s">
        <v>60</v>
      </c>
      <c r="B438" s="7">
        <v>44797</v>
      </c>
      <c r="C438" s="7">
        <v>44797</v>
      </c>
      <c r="D438" s="7">
        <v>0</v>
      </c>
      <c r="E438" s="13">
        <f t="shared" si="18"/>
        <v>0</v>
      </c>
    </row>
    <row r="439" spans="1:5" x14ac:dyDescent="0.2">
      <c r="A439" s="21" t="s">
        <v>19</v>
      </c>
      <c r="B439" s="16">
        <f>SUM(B435:B438)</f>
        <v>3257540</v>
      </c>
      <c r="C439" s="16">
        <f>SUM(C435:C438)</f>
        <v>3482550</v>
      </c>
      <c r="D439" s="16">
        <f>SUM(D435:D438)</f>
        <v>3292487</v>
      </c>
      <c r="E439" s="17">
        <f t="shared" si="18"/>
        <v>94.542418630026845</v>
      </c>
    </row>
    <row r="440" spans="1:5" x14ac:dyDescent="0.2">
      <c r="A440" s="7"/>
      <c r="B440" s="7"/>
      <c r="C440" s="7"/>
      <c r="D440" s="7"/>
      <c r="E440" s="13"/>
    </row>
    <row r="441" spans="1:5" x14ac:dyDescent="0.2">
      <c r="A441" s="7" t="s">
        <v>20</v>
      </c>
      <c r="B441" s="7">
        <v>50000</v>
      </c>
      <c r="C441" s="7">
        <v>50000</v>
      </c>
      <c r="D441" s="7">
        <v>36457</v>
      </c>
      <c r="E441" s="13">
        <f t="shared" si="18"/>
        <v>72.914000000000001</v>
      </c>
    </row>
    <row r="442" spans="1:5" x14ac:dyDescent="0.2">
      <c r="A442" s="7" t="s">
        <v>21</v>
      </c>
      <c r="B442" s="7">
        <v>300000</v>
      </c>
      <c r="C442" s="7">
        <f>300000-118110</f>
        <v>181890</v>
      </c>
      <c r="D442" s="7">
        <v>256665</v>
      </c>
      <c r="E442" s="13">
        <f t="shared" si="18"/>
        <v>141.11001154543956</v>
      </c>
    </row>
    <row r="443" spans="1:5" x14ac:dyDescent="0.2">
      <c r="A443" s="7" t="s">
        <v>22</v>
      </c>
      <c r="B443" s="7">
        <v>51000</v>
      </c>
      <c r="C443" s="7">
        <v>51000</v>
      </c>
      <c r="D443" s="7">
        <v>41394</v>
      </c>
      <c r="E443" s="13">
        <f t="shared" si="18"/>
        <v>81.164705882352933</v>
      </c>
    </row>
    <row r="444" spans="1:5" x14ac:dyDescent="0.2">
      <c r="A444" s="14" t="s">
        <v>23</v>
      </c>
      <c r="B444" s="7">
        <v>70000</v>
      </c>
      <c r="C444" s="7">
        <v>70000</v>
      </c>
      <c r="D444" s="7">
        <v>59663</v>
      </c>
      <c r="E444" s="13">
        <f t="shared" si="18"/>
        <v>85.232857142857142</v>
      </c>
    </row>
    <row r="445" spans="1:5" x14ac:dyDescent="0.2">
      <c r="A445" s="12" t="s">
        <v>9</v>
      </c>
      <c r="B445" s="7">
        <f>SUM(B446:B448)</f>
        <v>692000</v>
      </c>
      <c r="C445" s="7">
        <f>SUM(C446:C448)</f>
        <v>692000</v>
      </c>
      <c r="D445" s="7">
        <v>578161</v>
      </c>
      <c r="E445" s="13">
        <f t="shared" si="18"/>
        <v>83.549277456647403</v>
      </c>
    </row>
    <row r="446" spans="1:5" x14ac:dyDescent="0.2">
      <c r="A446" s="14" t="s">
        <v>24</v>
      </c>
      <c r="B446" s="7">
        <v>460000</v>
      </c>
      <c r="C446" s="7">
        <v>460000</v>
      </c>
      <c r="D446" s="7">
        <v>414817</v>
      </c>
      <c r="E446" s="13">
        <f t="shared" si="18"/>
        <v>90.177608695652182</v>
      </c>
    </row>
    <row r="447" spans="1:5" x14ac:dyDescent="0.2">
      <c r="A447" s="14" t="s">
        <v>25</v>
      </c>
      <c r="B447" s="7">
        <v>112000</v>
      </c>
      <c r="C447" s="7">
        <v>112000</v>
      </c>
      <c r="D447" s="7">
        <v>74668</v>
      </c>
      <c r="E447" s="13">
        <f t="shared" si="18"/>
        <v>66.667857142857144</v>
      </c>
    </row>
    <row r="448" spans="1:5" x14ac:dyDescent="0.2">
      <c r="A448" s="14" t="s">
        <v>26</v>
      </c>
      <c r="B448" s="7">
        <v>120000</v>
      </c>
      <c r="C448" s="7">
        <v>120000</v>
      </c>
      <c r="D448" s="7">
        <f>D445-D446-D447</f>
        <v>88676</v>
      </c>
      <c r="E448" s="13">
        <f t="shared" si="18"/>
        <v>73.896666666666661</v>
      </c>
    </row>
    <row r="449" spans="1:5" x14ac:dyDescent="0.2">
      <c r="A449" s="12" t="s">
        <v>27</v>
      </c>
      <c r="B449" s="7">
        <v>120000</v>
      </c>
      <c r="C449" s="7">
        <v>120000</v>
      </c>
      <c r="D449" s="7">
        <v>160683</v>
      </c>
      <c r="E449" s="13">
        <f t="shared" si="18"/>
        <v>133.9025</v>
      </c>
    </row>
    <row r="450" spans="1:5" x14ac:dyDescent="0.2">
      <c r="A450" s="12" t="s">
        <v>29</v>
      </c>
      <c r="B450" s="7">
        <v>150000</v>
      </c>
      <c r="C450" s="7">
        <v>150000</v>
      </c>
      <c r="D450" s="7">
        <v>115483</v>
      </c>
      <c r="E450" s="13">
        <f t="shared" si="18"/>
        <v>76.988666666666674</v>
      </c>
    </row>
    <row r="451" spans="1:5" x14ac:dyDescent="0.2">
      <c r="A451" s="12" t="s">
        <v>94</v>
      </c>
      <c r="B451" s="7"/>
      <c r="C451" s="7"/>
      <c r="D451" s="7">
        <v>244000</v>
      </c>
      <c r="E451" s="13"/>
    </row>
    <row r="452" spans="1:5" x14ac:dyDescent="0.2">
      <c r="A452" s="12" t="s">
        <v>11</v>
      </c>
      <c r="B452" s="7">
        <f>(B441+B442+B443+B444+B445+B449+B450)*0.27</f>
        <v>386910</v>
      </c>
      <c r="C452" s="7">
        <f>(C441+C443+C444+C445+C449+C450+C442)*0.27+118110*0.27-31890</f>
        <v>355020.00000000006</v>
      </c>
      <c r="D452" s="7">
        <v>296686</v>
      </c>
      <c r="E452" s="13">
        <f t="shared" si="18"/>
        <v>83.568813024618322</v>
      </c>
    </row>
    <row r="453" spans="1:5" x14ac:dyDescent="0.2">
      <c r="A453" s="15" t="s">
        <v>12</v>
      </c>
      <c r="B453" s="16">
        <f>SUM(B441:B452)-B446-B447-B448</f>
        <v>1819910</v>
      </c>
      <c r="C453" s="16">
        <f>SUM(C441:C452)-C446-C447-C448</f>
        <v>1669910</v>
      </c>
      <c r="D453" s="16">
        <f>SUM(D441:D452)-D445</f>
        <v>1789192</v>
      </c>
      <c r="E453" s="17">
        <f t="shared" si="18"/>
        <v>107.14301968369553</v>
      </c>
    </row>
    <row r="454" spans="1:5" x14ac:dyDescent="0.2">
      <c r="A454" s="11"/>
      <c r="B454" s="10"/>
      <c r="C454" s="10"/>
      <c r="D454" s="7"/>
      <c r="E454" s="17"/>
    </row>
    <row r="455" spans="1:5" x14ac:dyDescent="0.2">
      <c r="A455" s="18" t="s">
        <v>13</v>
      </c>
      <c r="B455" s="19">
        <f>B433+B439+B453</f>
        <v>22127776</v>
      </c>
      <c r="C455" s="19">
        <f>C433+C439+C453</f>
        <v>23661936</v>
      </c>
      <c r="D455" s="16">
        <f>D433+D439+D453</f>
        <v>23669589</v>
      </c>
      <c r="E455" s="17">
        <f t="shared" si="18"/>
        <v>100.03234308469095</v>
      </c>
    </row>
    <row r="456" spans="1:5" x14ac:dyDescent="0.2">
      <c r="A456" s="50"/>
      <c r="B456" s="25"/>
      <c r="C456" s="7"/>
      <c r="D456" s="7"/>
      <c r="E456" s="7"/>
    </row>
    <row r="457" spans="1:5" x14ac:dyDescent="0.2">
      <c r="A457" s="71" t="s">
        <v>75</v>
      </c>
      <c r="B457" s="72"/>
      <c r="C457" s="72"/>
      <c r="D457" s="72"/>
      <c r="E457" s="73"/>
    </row>
    <row r="458" spans="1:5" x14ac:dyDescent="0.2">
      <c r="A458" s="47"/>
      <c r="B458" s="49"/>
      <c r="C458" s="7"/>
      <c r="D458" s="7"/>
      <c r="E458" s="7"/>
    </row>
    <row r="459" spans="1:5" x14ac:dyDescent="0.2">
      <c r="A459" s="7" t="s">
        <v>95</v>
      </c>
      <c r="B459" s="7">
        <v>25908279</v>
      </c>
      <c r="C459" s="7">
        <f>25908279+782250</f>
        <v>26690529</v>
      </c>
      <c r="D459" s="7">
        <v>26441724</v>
      </c>
      <c r="E459" s="13">
        <f t="shared" ref="E459:E488" si="19">D459/C459*100</f>
        <v>99.067815403733661</v>
      </c>
    </row>
    <row r="460" spans="1:5" x14ac:dyDescent="0.2">
      <c r="A460" s="7" t="s">
        <v>87</v>
      </c>
      <c r="B460" s="7">
        <v>460166</v>
      </c>
      <c r="C460" s="7">
        <v>460166</v>
      </c>
      <c r="D460" s="7">
        <v>848116</v>
      </c>
      <c r="E460" s="13">
        <f t="shared" si="19"/>
        <v>184.306532859881</v>
      </c>
    </row>
    <row r="461" spans="1:5" x14ac:dyDescent="0.2">
      <c r="A461" s="7" t="s">
        <v>88</v>
      </c>
      <c r="B461" s="7">
        <v>780666</v>
      </c>
      <c r="C461" s="7">
        <v>780666</v>
      </c>
      <c r="D461" s="7">
        <v>780666</v>
      </c>
      <c r="E461" s="13">
        <f t="shared" si="19"/>
        <v>100</v>
      </c>
    </row>
    <row r="462" spans="1:5" x14ac:dyDescent="0.2">
      <c r="A462" s="7" t="s">
        <v>56</v>
      </c>
      <c r="B462" s="7">
        <v>90220</v>
      </c>
      <c r="C462" s="7">
        <v>90220</v>
      </c>
      <c r="D462" s="7">
        <v>83039</v>
      </c>
      <c r="E462" s="13">
        <f t="shared" si="19"/>
        <v>92.040567501662608</v>
      </c>
    </row>
    <row r="463" spans="1:5" x14ac:dyDescent="0.2">
      <c r="A463" s="7" t="s">
        <v>50</v>
      </c>
      <c r="B463" s="7"/>
      <c r="C463" s="7"/>
      <c r="D463" s="7">
        <v>67202</v>
      </c>
      <c r="E463" s="13"/>
    </row>
    <row r="464" spans="1:5" x14ac:dyDescent="0.2">
      <c r="A464" s="7" t="s">
        <v>34</v>
      </c>
      <c r="B464" s="7">
        <v>300000</v>
      </c>
      <c r="C464" s="7">
        <f>300000+210200</f>
        <v>510200</v>
      </c>
      <c r="D464" s="7">
        <f>728542+20000</f>
        <v>748542</v>
      </c>
      <c r="E464" s="13">
        <f t="shared" si="19"/>
        <v>146.71540572324579</v>
      </c>
    </row>
    <row r="465" spans="1:5" x14ac:dyDescent="0.2">
      <c r="A465" s="7" t="s">
        <v>16</v>
      </c>
      <c r="B465" s="7">
        <v>30000</v>
      </c>
      <c r="C465" s="7">
        <v>30000</v>
      </c>
      <c r="D465" s="7"/>
      <c r="E465" s="13">
        <f t="shared" si="19"/>
        <v>0</v>
      </c>
    </row>
    <row r="466" spans="1:5" x14ac:dyDescent="0.2">
      <c r="A466" s="21" t="s">
        <v>17</v>
      </c>
      <c r="B466" s="16">
        <f>SUM(B459:B465)</f>
        <v>27569331</v>
      </c>
      <c r="C466" s="16">
        <f>SUM(C459:C465)</f>
        <v>28561781</v>
      </c>
      <c r="D466" s="16">
        <f>SUM(D459:D465)</f>
        <v>28969289</v>
      </c>
      <c r="E466" s="17">
        <f t="shared" si="19"/>
        <v>101.42675976683665</v>
      </c>
    </row>
    <row r="467" spans="1:5" x14ac:dyDescent="0.2">
      <c r="A467" s="7"/>
      <c r="B467" s="7"/>
      <c r="C467" s="7"/>
      <c r="D467" s="7"/>
      <c r="E467" s="13"/>
    </row>
    <row r="468" spans="1:5" x14ac:dyDescent="0.2">
      <c r="A468" s="7" t="s">
        <v>18</v>
      </c>
      <c r="B468" s="7">
        <v>5285702</v>
      </c>
      <c r="C468" s="7">
        <f>5285702+40564+152539</f>
        <v>5478805</v>
      </c>
      <c r="D468" s="7">
        <v>5372734</v>
      </c>
      <c r="E468" s="13">
        <f t="shared" si="19"/>
        <v>98.063975629722179</v>
      </c>
    </row>
    <row r="469" spans="1:5" x14ac:dyDescent="0.2">
      <c r="A469" s="7" t="s">
        <v>59</v>
      </c>
      <c r="B469" s="7">
        <v>89732</v>
      </c>
      <c r="C469" s="7">
        <v>89732</v>
      </c>
      <c r="D469" s="7">
        <v>0</v>
      </c>
      <c r="E469" s="13">
        <f t="shared" si="19"/>
        <v>0</v>
      </c>
    </row>
    <row r="470" spans="1:5" x14ac:dyDescent="0.2">
      <c r="A470" s="7" t="s">
        <v>39</v>
      </c>
      <c r="B470" s="7">
        <v>20000</v>
      </c>
      <c r="C470" s="7">
        <v>20000</v>
      </c>
      <c r="D470" s="7">
        <v>139284</v>
      </c>
      <c r="E470" s="13">
        <f t="shared" si="19"/>
        <v>696.42</v>
      </c>
    </row>
    <row r="471" spans="1:5" x14ac:dyDescent="0.2">
      <c r="A471" s="7" t="s">
        <v>60</v>
      </c>
      <c r="B471" s="7">
        <v>69025</v>
      </c>
      <c r="C471" s="7">
        <v>69025</v>
      </c>
      <c r="D471" s="7">
        <v>0</v>
      </c>
      <c r="E471" s="13">
        <f t="shared" si="19"/>
        <v>0</v>
      </c>
    </row>
    <row r="472" spans="1:5" x14ac:dyDescent="0.2">
      <c r="A472" s="21" t="s">
        <v>19</v>
      </c>
      <c r="B472" s="16">
        <f>SUM(B468:B471)</f>
        <v>5464459</v>
      </c>
      <c r="C472" s="16">
        <f>SUM(C468:C471)</f>
        <v>5657562</v>
      </c>
      <c r="D472" s="16">
        <f>SUM(D468:D471)</f>
        <v>5512018</v>
      </c>
      <c r="E472" s="17">
        <f t="shared" si="19"/>
        <v>97.427443128329841</v>
      </c>
    </row>
    <row r="473" spans="1:5" x14ac:dyDescent="0.2">
      <c r="A473" s="7"/>
      <c r="B473" s="7"/>
      <c r="C473" s="7"/>
      <c r="D473" s="7"/>
      <c r="E473" s="13"/>
    </row>
    <row r="474" spans="1:5" x14ac:dyDescent="0.2">
      <c r="A474" s="7" t="s">
        <v>20</v>
      </c>
      <c r="B474" s="7">
        <v>50000</v>
      </c>
      <c r="C474" s="7">
        <v>50000</v>
      </c>
      <c r="D474" s="7">
        <v>0</v>
      </c>
      <c r="E474" s="13">
        <f t="shared" si="19"/>
        <v>0</v>
      </c>
    </row>
    <row r="475" spans="1:5" x14ac:dyDescent="0.2">
      <c r="A475" s="7" t="s">
        <v>21</v>
      </c>
      <c r="B475" s="7">
        <v>450000</v>
      </c>
      <c r="C475" s="7">
        <f>450000+551000</f>
        <v>1001000</v>
      </c>
      <c r="D475" s="7">
        <v>455670</v>
      </c>
      <c r="E475" s="13">
        <f t="shared" si="19"/>
        <v>45.521478521478521</v>
      </c>
    </row>
    <row r="476" spans="1:5" x14ac:dyDescent="0.2">
      <c r="A476" s="7" t="s">
        <v>22</v>
      </c>
      <c r="B476" s="7">
        <v>40000</v>
      </c>
      <c r="C476" s="7">
        <v>40000</v>
      </c>
      <c r="D476" s="7">
        <v>39620</v>
      </c>
      <c r="E476" s="13">
        <f t="shared" si="19"/>
        <v>99.050000000000011</v>
      </c>
    </row>
    <row r="477" spans="1:5" x14ac:dyDescent="0.2">
      <c r="A477" s="14" t="s">
        <v>23</v>
      </c>
      <c r="B477" s="7">
        <v>60000</v>
      </c>
      <c r="C477" s="7">
        <v>60000</v>
      </c>
      <c r="D477" s="7">
        <v>47042</v>
      </c>
      <c r="E477" s="13">
        <f t="shared" si="19"/>
        <v>78.403333333333336</v>
      </c>
    </row>
    <row r="478" spans="1:5" x14ac:dyDescent="0.2">
      <c r="A478" s="12" t="s">
        <v>9</v>
      </c>
      <c r="B478" s="7">
        <f>SUM(B479:B481)</f>
        <v>1116000</v>
      </c>
      <c r="C478" s="7">
        <f>SUM(C479:C481)</f>
        <v>1116000</v>
      </c>
      <c r="D478" s="7">
        <v>829732</v>
      </c>
      <c r="E478" s="13">
        <f t="shared" si="19"/>
        <v>74.348745519713262</v>
      </c>
    </row>
    <row r="479" spans="1:5" x14ac:dyDescent="0.2">
      <c r="A479" s="14" t="s">
        <v>24</v>
      </c>
      <c r="B479" s="7">
        <v>650000</v>
      </c>
      <c r="C479" s="7">
        <v>650000</v>
      </c>
      <c r="D479" s="7">
        <v>463980</v>
      </c>
      <c r="E479" s="13">
        <f t="shared" si="19"/>
        <v>71.381538461538469</v>
      </c>
    </row>
    <row r="480" spans="1:5" x14ac:dyDescent="0.2">
      <c r="A480" s="14" t="s">
        <v>25</v>
      </c>
      <c r="B480" s="7">
        <v>336000</v>
      </c>
      <c r="C480" s="7">
        <v>336000</v>
      </c>
      <c r="D480" s="7">
        <v>265983</v>
      </c>
      <c r="E480" s="13">
        <f t="shared" si="19"/>
        <v>79.161607142857136</v>
      </c>
    </row>
    <row r="481" spans="1:5" x14ac:dyDescent="0.2">
      <c r="A481" s="14" t="s">
        <v>26</v>
      </c>
      <c r="B481" s="7">
        <v>130000</v>
      </c>
      <c r="C481" s="7">
        <v>130000</v>
      </c>
      <c r="D481" s="7">
        <f>D478-D479-D480</f>
        <v>99769</v>
      </c>
      <c r="E481" s="13">
        <f t="shared" si="19"/>
        <v>76.745384615384609</v>
      </c>
    </row>
    <row r="482" spans="1:5" x14ac:dyDescent="0.2">
      <c r="A482" s="12" t="s">
        <v>27</v>
      </c>
      <c r="B482" s="7">
        <v>70000</v>
      </c>
      <c r="C482" s="7">
        <v>70000</v>
      </c>
      <c r="D482" s="7">
        <v>50260</v>
      </c>
      <c r="E482" s="13">
        <f t="shared" si="19"/>
        <v>71.8</v>
      </c>
    </row>
    <row r="483" spans="1:5" x14ac:dyDescent="0.2">
      <c r="A483" s="12" t="s">
        <v>28</v>
      </c>
      <c r="B483" s="7">
        <v>60000</v>
      </c>
      <c r="C483" s="7">
        <v>60000</v>
      </c>
      <c r="D483" s="7">
        <v>60000</v>
      </c>
      <c r="E483" s="13">
        <f t="shared" si="19"/>
        <v>100</v>
      </c>
    </row>
    <row r="484" spans="1:5" x14ac:dyDescent="0.2">
      <c r="A484" s="12" t="s">
        <v>29</v>
      </c>
      <c r="B484" s="7">
        <v>140000</v>
      </c>
      <c r="C484" s="7">
        <v>140000</v>
      </c>
      <c r="D484" s="7">
        <v>126924</v>
      </c>
      <c r="E484" s="13">
        <f t="shared" si="19"/>
        <v>90.66</v>
      </c>
    </row>
    <row r="485" spans="1:5" x14ac:dyDescent="0.2">
      <c r="A485" s="12" t="s">
        <v>11</v>
      </c>
      <c r="B485" s="7">
        <f>(B474+B475+B476+B477+B478+B482+B483+B484)*0.27-60000*0.27</f>
        <v>520020</v>
      </c>
      <c r="C485" s="7">
        <f>(C474+C475+C476+C477+C478+C482+C483+C484)*0.27-60000*0.27-551000*0.27+149000</f>
        <v>669020</v>
      </c>
      <c r="D485" s="7">
        <v>386207</v>
      </c>
      <c r="E485" s="13">
        <f t="shared" si="19"/>
        <v>57.727272727272727</v>
      </c>
    </row>
    <row r="486" spans="1:5" x14ac:dyDescent="0.2">
      <c r="A486" s="15" t="s">
        <v>12</v>
      </c>
      <c r="B486" s="16">
        <f>SUM(B474:B485)-B479-B480-B481</f>
        <v>2506020</v>
      </c>
      <c r="C486" s="16">
        <f>SUM(C474:C485)-C479-C480-C481</f>
        <v>3206020</v>
      </c>
      <c r="D486" s="16">
        <f>SUM(D474:D485)-D478</f>
        <v>1995455</v>
      </c>
      <c r="E486" s="17">
        <f t="shared" si="19"/>
        <v>62.240878098077992</v>
      </c>
    </row>
    <row r="487" spans="1:5" x14ac:dyDescent="0.2">
      <c r="A487" s="11"/>
      <c r="B487" s="10"/>
      <c r="C487" s="10"/>
      <c r="D487" s="7"/>
      <c r="E487" s="17"/>
    </row>
    <row r="488" spans="1:5" x14ac:dyDescent="0.2">
      <c r="A488" s="18" t="s">
        <v>13</v>
      </c>
      <c r="B488" s="19">
        <f>B466+B472+B486</f>
        <v>35539810</v>
      </c>
      <c r="C488" s="19">
        <f>C466+C472+C486</f>
        <v>37425363</v>
      </c>
      <c r="D488" s="16">
        <f>D466+D472+D486</f>
        <v>36476762</v>
      </c>
      <c r="E488" s="17">
        <f t="shared" si="19"/>
        <v>97.465352573868159</v>
      </c>
    </row>
    <row r="489" spans="1:5" x14ac:dyDescent="0.2">
      <c r="A489" s="51"/>
      <c r="B489" s="25"/>
      <c r="C489" s="7"/>
      <c r="D489" s="7"/>
      <c r="E489" s="7"/>
    </row>
    <row r="490" spans="1:5" x14ac:dyDescent="0.2">
      <c r="A490" s="71" t="s">
        <v>96</v>
      </c>
      <c r="B490" s="72"/>
      <c r="C490" s="72"/>
      <c r="D490" s="72"/>
      <c r="E490" s="73"/>
    </row>
    <row r="491" spans="1:5" x14ac:dyDescent="0.2">
      <c r="A491" s="18"/>
      <c r="B491" s="19"/>
      <c r="C491" s="7"/>
      <c r="D491" s="7"/>
      <c r="E491" s="7"/>
    </row>
    <row r="492" spans="1:5" x14ac:dyDescent="0.2">
      <c r="A492" s="52" t="s">
        <v>40</v>
      </c>
      <c r="B492" s="43">
        <v>3328000</v>
      </c>
      <c r="C492" s="43">
        <v>3328000</v>
      </c>
      <c r="D492" s="7">
        <f>2709644+1</f>
        <v>2709645</v>
      </c>
      <c r="E492" s="13">
        <f>D492/C492*100</f>
        <v>81.419621394230774</v>
      </c>
    </row>
    <row r="493" spans="1:5" x14ac:dyDescent="0.2">
      <c r="A493" s="53" t="s">
        <v>11</v>
      </c>
      <c r="B493" s="43">
        <f>(B492)*0.27</f>
        <v>898560.00000000012</v>
      </c>
      <c r="C493" s="43">
        <f>(C492)*0.27</f>
        <v>898560.00000000012</v>
      </c>
      <c r="D493" s="7">
        <v>731603</v>
      </c>
      <c r="E493" s="13">
        <f>D493/C493*100</f>
        <v>81.419493411680904</v>
      </c>
    </row>
    <row r="494" spans="1:5" x14ac:dyDescent="0.2">
      <c r="A494" s="54" t="s">
        <v>12</v>
      </c>
      <c r="B494" s="25">
        <f>B492+B493</f>
        <v>4226560</v>
      </c>
      <c r="C494" s="25">
        <f>C492+C493</f>
        <v>4226560</v>
      </c>
      <c r="D494" s="16">
        <f>SUM(D492:D493)</f>
        <v>3441248</v>
      </c>
      <c r="E494" s="17">
        <f>D494/C494*100</f>
        <v>81.41959418534222</v>
      </c>
    </row>
    <row r="495" spans="1:5" x14ac:dyDescent="0.2">
      <c r="A495" s="54"/>
      <c r="B495" s="25"/>
      <c r="C495" s="25"/>
      <c r="D495" s="7"/>
      <c r="E495" s="17"/>
    </row>
    <row r="496" spans="1:5" x14ac:dyDescent="0.2">
      <c r="A496" s="55" t="s">
        <v>13</v>
      </c>
      <c r="B496" s="25">
        <f>B494</f>
        <v>4226560</v>
      </c>
      <c r="C496" s="25">
        <f>C494</f>
        <v>4226560</v>
      </c>
      <c r="D496" s="16">
        <f>D494</f>
        <v>3441248</v>
      </c>
      <c r="E496" s="17">
        <f>D496/C496*100</f>
        <v>81.41959418534222</v>
      </c>
    </row>
    <row r="497" spans="1:5" x14ac:dyDescent="0.2">
      <c r="A497" s="18"/>
      <c r="B497" s="25"/>
      <c r="C497" s="7"/>
      <c r="D497" s="7"/>
      <c r="E497" s="7"/>
    </row>
    <row r="498" spans="1:5" x14ac:dyDescent="0.2">
      <c r="A498" s="71" t="s">
        <v>97</v>
      </c>
      <c r="B498" s="72"/>
      <c r="C498" s="72"/>
      <c r="D498" s="72"/>
      <c r="E498" s="73"/>
    </row>
    <row r="499" spans="1:5" x14ac:dyDescent="0.2">
      <c r="A499" s="47"/>
      <c r="B499" s="49"/>
      <c r="C499" s="7"/>
      <c r="D499" s="7"/>
      <c r="E499" s="7"/>
    </row>
    <row r="500" spans="1:5" x14ac:dyDescent="0.2">
      <c r="A500" s="7" t="s">
        <v>98</v>
      </c>
      <c r="B500" s="7">
        <v>8314830</v>
      </c>
      <c r="C500" s="7">
        <v>8314830</v>
      </c>
      <c r="D500" s="7">
        <v>6878260</v>
      </c>
      <c r="E500" s="13">
        <f t="shared" ref="E500:E526" si="20">D500/C500*100</f>
        <v>82.722797700013103</v>
      </c>
    </row>
    <row r="501" spans="1:5" x14ac:dyDescent="0.2">
      <c r="A501" s="7" t="s">
        <v>87</v>
      </c>
      <c r="B501" s="7">
        <v>191107</v>
      </c>
      <c r="C501" s="7">
        <v>191107</v>
      </c>
      <c r="D501" s="7">
        <v>210526</v>
      </c>
      <c r="E501" s="13">
        <f t="shared" si="20"/>
        <v>110.16132323776733</v>
      </c>
    </row>
    <row r="502" spans="1:5" x14ac:dyDescent="0.2">
      <c r="A502" s="7" t="s">
        <v>50</v>
      </c>
      <c r="B502" s="7">
        <v>8000</v>
      </c>
      <c r="C502" s="7">
        <v>8000</v>
      </c>
      <c r="D502" s="7">
        <v>3880</v>
      </c>
      <c r="E502" s="13">
        <f t="shared" si="20"/>
        <v>48.5</v>
      </c>
    </row>
    <row r="503" spans="1:5" x14ac:dyDescent="0.2">
      <c r="A503" s="7" t="s">
        <v>56</v>
      </c>
      <c r="B503" s="7">
        <v>27066</v>
      </c>
      <c r="C503" s="7">
        <v>27066</v>
      </c>
      <c r="D503" s="7">
        <v>18044</v>
      </c>
      <c r="E503" s="13">
        <f t="shared" si="20"/>
        <v>66.666666666666657</v>
      </c>
    </row>
    <row r="504" spans="1:5" x14ac:dyDescent="0.2">
      <c r="A504" s="7" t="s">
        <v>34</v>
      </c>
      <c r="B504" s="7">
        <v>30000</v>
      </c>
      <c r="C504" s="7">
        <f>30000+54800</f>
        <v>84800</v>
      </c>
      <c r="D504" s="7">
        <v>76000</v>
      </c>
      <c r="E504" s="13">
        <f t="shared" si="20"/>
        <v>89.622641509433961</v>
      </c>
    </row>
    <row r="505" spans="1:5" x14ac:dyDescent="0.2">
      <c r="A505" s="21" t="s">
        <v>17</v>
      </c>
      <c r="B505" s="16">
        <f>SUM(B500:B504)</f>
        <v>8571003</v>
      </c>
      <c r="C505" s="16">
        <f>SUM(C500:C504)</f>
        <v>8625803</v>
      </c>
      <c r="D505" s="16">
        <f>SUM(D500:D504)</f>
        <v>7186710</v>
      </c>
      <c r="E505" s="17">
        <f t="shared" si="20"/>
        <v>83.3164170338692</v>
      </c>
    </row>
    <row r="506" spans="1:5" x14ac:dyDescent="0.2">
      <c r="A506" s="7"/>
      <c r="B506" s="7"/>
      <c r="C506" s="7"/>
      <c r="D506" s="7"/>
      <c r="E506" s="13"/>
    </row>
    <row r="507" spans="1:5" x14ac:dyDescent="0.2">
      <c r="A507" s="7" t="s">
        <v>18</v>
      </c>
      <c r="B507" s="7">
        <v>1632520</v>
      </c>
      <c r="C507" s="7">
        <f>1632520+10580</f>
        <v>1643100</v>
      </c>
      <c r="D507" s="7">
        <v>1340670</v>
      </c>
      <c r="E507" s="13">
        <f t="shared" si="20"/>
        <v>81.593938287383608</v>
      </c>
    </row>
    <row r="508" spans="1:5" x14ac:dyDescent="0.2">
      <c r="A508" s="7" t="s">
        <v>59</v>
      </c>
      <c r="B508" s="7">
        <v>37266</v>
      </c>
      <c r="C508" s="7">
        <v>37266</v>
      </c>
      <c r="D508" s="7">
        <v>0</v>
      </c>
      <c r="E508" s="13">
        <f t="shared" si="20"/>
        <v>0</v>
      </c>
    </row>
    <row r="509" spans="1:5" x14ac:dyDescent="0.2">
      <c r="A509" s="7" t="s">
        <v>39</v>
      </c>
      <c r="B509" s="7">
        <v>10000</v>
      </c>
      <c r="C509" s="7">
        <v>10000</v>
      </c>
      <c r="D509" s="7">
        <v>0</v>
      </c>
      <c r="E509" s="13">
        <f t="shared" si="20"/>
        <v>0</v>
      </c>
    </row>
    <row r="510" spans="1:5" x14ac:dyDescent="0.2">
      <c r="A510" s="7" t="s">
        <v>60</v>
      </c>
      <c r="B510" s="7">
        <v>28666</v>
      </c>
      <c r="C510" s="7">
        <v>28666</v>
      </c>
      <c r="D510" s="7">
        <v>0</v>
      </c>
      <c r="E510" s="13">
        <f t="shared" si="20"/>
        <v>0</v>
      </c>
    </row>
    <row r="511" spans="1:5" x14ac:dyDescent="0.2">
      <c r="A511" s="21" t="s">
        <v>19</v>
      </c>
      <c r="B511" s="16">
        <f>SUM(B507:B510)</f>
        <v>1708452</v>
      </c>
      <c r="C511" s="16">
        <f>SUM(C507:C510)</f>
        <v>1719032</v>
      </c>
      <c r="D511" s="16">
        <f>SUM(D507:D510)</f>
        <v>1340670</v>
      </c>
      <c r="E511" s="17">
        <f t="shared" si="20"/>
        <v>77.989822178993762</v>
      </c>
    </row>
    <row r="512" spans="1:5" x14ac:dyDescent="0.2">
      <c r="A512" s="7"/>
      <c r="B512" s="7"/>
      <c r="C512" s="7"/>
      <c r="D512" s="7"/>
      <c r="E512" s="13"/>
    </row>
    <row r="513" spans="1:5" x14ac:dyDescent="0.2">
      <c r="A513" s="7" t="s">
        <v>20</v>
      </c>
      <c r="B513" s="7">
        <v>20000</v>
      </c>
      <c r="C513" s="7">
        <v>20000</v>
      </c>
      <c r="D513" s="7">
        <v>0</v>
      </c>
      <c r="E513" s="13">
        <f t="shared" si="20"/>
        <v>0</v>
      </c>
    </row>
    <row r="514" spans="1:5" x14ac:dyDescent="0.2">
      <c r="A514" s="7" t="s">
        <v>21</v>
      </c>
      <c r="B514" s="7">
        <v>180000</v>
      </c>
      <c r="C514" s="7">
        <v>180000</v>
      </c>
      <c r="D514" s="7">
        <v>403578</v>
      </c>
      <c r="E514" s="13">
        <f t="shared" si="20"/>
        <v>224.21</v>
      </c>
    </row>
    <row r="515" spans="1:5" x14ac:dyDescent="0.2">
      <c r="A515" s="7" t="s">
        <v>22</v>
      </c>
      <c r="B515" s="7">
        <v>86000</v>
      </c>
      <c r="C515" s="7">
        <v>86000</v>
      </c>
      <c r="D515" s="7">
        <v>85440</v>
      </c>
      <c r="E515" s="13">
        <f t="shared" si="20"/>
        <v>99.348837209302317</v>
      </c>
    </row>
    <row r="516" spans="1:5" x14ac:dyDescent="0.2">
      <c r="A516" s="14" t="s">
        <v>23</v>
      </c>
      <c r="B516" s="7">
        <v>60000</v>
      </c>
      <c r="C516" s="7">
        <v>60000</v>
      </c>
      <c r="D516" s="7">
        <v>47040</v>
      </c>
      <c r="E516" s="13">
        <f t="shared" si="20"/>
        <v>78.400000000000006</v>
      </c>
    </row>
    <row r="517" spans="1:5" x14ac:dyDescent="0.2">
      <c r="A517" s="12" t="s">
        <v>9</v>
      </c>
      <c r="B517" s="7">
        <f>SUM(B518:B521)</f>
        <v>316000</v>
      </c>
      <c r="C517" s="7">
        <f>SUM(C518:C521)</f>
        <v>316000</v>
      </c>
      <c r="D517" s="7">
        <v>277159</v>
      </c>
      <c r="E517" s="13">
        <f t="shared" si="20"/>
        <v>87.708544303797467</v>
      </c>
    </row>
    <row r="518" spans="1:5" x14ac:dyDescent="0.2">
      <c r="A518" s="14" t="s">
        <v>24</v>
      </c>
      <c r="B518" s="7">
        <v>40000</v>
      </c>
      <c r="C518" s="7">
        <v>40000</v>
      </c>
      <c r="D518" s="7">
        <v>28357</v>
      </c>
      <c r="E518" s="13">
        <f t="shared" si="20"/>
        <v>70.892499999999998</v>
      </c>
    </row>
    <row r="519" spans="1:5" x14ac:dyDescent="0.2">
      <c r="A519" s="14" t="s">
        <v>99</v>
      </c>
      <c r="B519" s="7">
        <v>190000</v>
      </c>
      <c r="C519" s="7">
        <v>190000</v>
      </c>
      <c r="D519" s="7">
        <v>179544</v>
      </c>
      <c r="E519" s="13">
        <f t="shared" si="20"/>
        <v>94.496842105263156</v>
      </c>
    </row>
    <row r="520" spans="1:5" x14ac:dyDescent="0.2">
      <c r="A520" s="14" t="s">
        <v>25</v>
      </c>
      <c r="B520" s="7">
        <v>73000</v>
      </c>
      <c r="C520" s="7">
        <v>73000</v>
      </c>
      <c r="D520" s="7">
        <v>58977</v>
      </c>
      <c r="E520" s="13">
        <f t="shared" si="20"/>
        <v>80.790410958904118</v>
      </c>
    </row>
    <row r="521" spans="1:5" x14ac:dyDescent="0.2">
      <c r="A521" s="14" t="s">
        <v>26</v>
      </c>
      <c r="B521" s="7">
        <v>13000</v>
      </c>
      <c r="C521" s="7">
        <v>13000</v>
      </c>
      <c r="D521" s="7">
        <f>D517-D518-D519-D520</f>
        <v>10281</v>
      </c>
      <c r="E521" s="13">
        <f t="shared" si="20"/>
        <v>79.08461538461539</v>
      </c>
    </row>
    <row r="522" spans="1:5" x14ac:dyDescent="0.2">
      <c r="A522" s="12" t="s">
        <v>27</v>
      </c>
      <c r="B522" s="7">
        <v>80000</v>
      </c>
      <c r="C522" s="7">
        <v>80000</v>
      </c>
      <c r="D522" s="7">
        <v>167395</v>
      </c>
      <c r="E522" s="13">
        <f t="shared" si="20"/>
        <v>209.24375000000001</v>
      </c>
    </row>
    <row r="523" spans="1:5" x14ac:dyDescent="0.2">
      <c r="A523" s="12" t="s">
        <v>29</v>
      </c>
      <c r="B523" s="7">
        <v>50000</v>
      </c>
      <c r="C523" s="7">
        <v>50000</v>
      </c>
      <c r="D523" s="7">
        <v>121747</v>
      </c>
      <c r="E523" s="13">
        <f t="shared" si="20"/>
        <v>243.494</v>
      </c>
    </row>
    <row r="524" spans="1:5" x14ac:dyDescent="0.2">
      <c r="A524" s="12" t="s">
        <v>11</v>
      </c>
      <c r="B524" s="7">
        <f>(B513+B514+B515+B516+B517+B522+B523)*0.27</f>
        <v>213840</v>
      </c>
      <c r="C524" s="7">
        <f>(C513+C514+C515+C516+C517+C522+C523)*0.27</f>
        <v>213840</v>
      </c>
      <c r="D524" s="7">
        <f>214266+2</f>
        <v>214268</v>
      </c>
      <c r="E524" s="13">
        <f t="shared" si="20"/>
        <v>100.20014964459409</v>
      </c>
    </row>
    <row r="525" spans="1:5" x14ac:dyDescent="0.2">
      <c r="A525" s="15" t="s">
        <v>12</v>
      </c>
      <c r="B525" s="16">
        <f>SUM(B513:B524)-B517</f>
        <v>1005840</v>
      </c>
      <c r="C525" s="16">
        <f>SUM(C513:C524)-C517</f>
        <v>1005840</v>
      </c>
      <c r="D525" s="16">
        <f>SUM(D513:D524)-D517</f>
        <v>1316627</v>
      </c>
      <c r="E525" s="17">
        <f t="shared" si="20"/>
        <v>130.89825419549831</v>
      </c>
    </row>
    <row r="526" spans="1:5" x14ac:dyDescent="0.2">
      <c r="A526" s="18" t="s">
        <v>13</v>
      </c>
      <c r="B526" s="19">
        <f>B505+B511+B525</f>
        <v>11285295</v>
      </c>
      <c r="C526" s="19">
        <f>C505+C511+C525</f>
        <v>11350675</v>
      </c>
      <c r="D526" s="16">
        <f>D505+D511+D525</f>
        <v>9844007</v>
      </c>
      <c r="E526" s="17">
        <f t="shared" si="20"/>
        <v>86.726181482599046</v>
      </c>
    </row>
    <row r="527" spans="1:5" x14ac:dyDescent="0.2">
      <c r="A527" s="14"/>
      <c r="B527" s="43"/>
      <c r="C527" s="7"/>
      <c r="D527" s="7"/>
      <c r="E527" s="7"/>
    </row>
    <row r="528" spans="1:5" x14ac:dyDescent="0.2">
      <c r="A528" s="71" t="s">
        <v>100</v>
      </c>
      <c r="B528" s="72"/>
      <c r="C528" s="72"/>
      <c r="D528" s="72"/>
      <c r="E528" s="73"/>
    </row>
    <row r="529" spans="1:5" x14ac:dyDescent="0.2">
      <c r="A529" s="11"/>
      <c r="B529" s="11"/>
      <c r="C529" s="7"/>
      <c r="D529" s="7"/>
      <c r="E529" s="7"/>
    </row>
    <row r="530" spans="1:5" x14ac:dyDescent="0.2">
      <c r="A530" s="7" t="s">
        <v>101</v>
      </c>
      <c r="B530" s="7">
        <v>3685516</v>
      </c>
      <c r="C530" s="7">
        <v>3685516</v>
      </c>
      <c r="D530" s="7">
        <v>3644330</v>
      </c>
      <c r="E530" s="13">
        <f t="shared" ref="E530:E547" si="21">D530/C530*100</f>
        <v>98.882490267305855</v>
      </c>
    </row>
    <row r="531" spans="1:5" x14ac:dyDescent="0.2">
      <c r="A531" s="7" t="s">
        <v>87</v>
      </c>
      <c r="B531" s="7">
        <v>68699</v>
      </c>
      <c r="C531" s="7">
        <v>68699</v>
      </c>
      <c r="D531" s="7">
        <v>133835</v>
      </c>
      <c r="E531" s="13">
        <f t="shared" si="21"/>
        <v>194.81360718496629</v>
      </c>
    </row>
    <row r="532" spans="1:5" x14ac:dyDescent="0.2">
      <c r="A532" s="7" t="s">
        <v>56</v>
      </c>
      <c r="B532" s="7">
        <v>18044</v>
      </c>
      <c r="C532" s="7">
        <v>18044</v>
      </c>
      <c r="D532" s="7">
        <v>18044</v>
      </c>
      <c r="E532" s="13">
        <f t="shared" si="21"/>
        <v>100</v>
      </c>
    </row>
    <row r="533" spans="1:5" x14ac:dyDescent="0.2">
      <c r="A533" s="7" t="s">
        <v>34</v>
      </c>
      <c r="B533" s="7">
        <v>50000</v>
      </c>
      <c r="C533" s="7">
        <f>50000+25700</f>
        <v>75700</v>
      </c>
      <c r="D533" s="7">
        <v>66931</v>
      </c>
      <c r="E533" s="13">
        <f t="shared" si="21"/>
        <v>88.416116248348743</v>
      </c>
    </row>
    <row r="534" spans="1:5" x14ac:dyDescent="0.2">
      <c r="A534" s="21" t="s">
        <v>17</v>
      </c>
      <c r="B534" s="16">
        <f>SUM(B530:B533)</f>
        <v>3822259</v>
      </c>
      <c r="C534" s="16">
        <f>SUM(C530:C533)</f>
        <v>3847959</v>
      </c>
      <c r="D534" s="16">
        <f>SUM(D530:D533)</f>
        <v>3863140</v>
      </c>
      <c r="E534" s="17">
        <f t="shared" si="21"/>
        <v>100.39452083559101</v>
      </c>
    </row>
    <row r="535" spans="1:5" x14ac:dyDescent="0.2">
      <c r="A535" s="7"/>
      <c r="B535" s="7"/>
      <c r="C535" s="16"/>
      <c r="D535" s="7"/>
      <c r="E535" s="13"/>
    </row>
    <row r="536" spans="1:5" x14ac:dyDescent="0.2">
      <c r="A536" s="7" t="s">
        <v>18</v>
      </c>
      <c r="B536" s="7">
        <v>731944</v>
      </c>
      <c r="C536" s="7">
        <f>731944+4950</f>
        <v>736894</v>
      </c>
      <c r="D536" s="7">
        <v>719089</v>
      </c>
      <c r="E536" s="13">
        <f t="shared" si="21"/>
        <v>97.583777313969179</v>
      </c>
    </row>
    <row r="537" spans="1:5" x14ac:dyDescent="0.2">
      <c r="A537" s="7" t="s">
        <v>59</v>
      </c>
      <c r="B537" s="7">
        <v>13396</v>
      </c>
      <c r="C537" s="7">
        <v>13396</v>
      </c>
      <c r="D537" s="7">
        <v>0</v>
      </c>
      <c r="E537" s="13">
        <f t="shared" si="21"/>
        <v>0</v>
      </c>
    </row>
    <row r="538" spans="1:5" x14ac:dyDescent="0.2">
      <c r="A538" s="7" t="s">
        <v>39</v>
      </c>
      <c r="B538" s="7">
        <v>10000</v>
      </c>
      <c r="C538" s="7">
        <v>10000</v>
      </c>
      <c r="D538" s="7">
        <v>0</v>
      </c>
      <c r="E538" s="13">
        <f t="shared" si="21"/>
        <v>0</v>
      </c>
    </row>
    <row r="539" spans="1:5" x14ac:dyDescent="0.2">
      <c r="A539" s="7" t="s">
        <v>60</v>
      </c>
      <c r="B539" s="7">
        <v>10305</v>
      </c>
      <c r="C539" s="7">
        <v>10305</v>
      </c>
      <c r="D539" s="7">
        <v>0</v>
      </c>
      <c r="E539" s="13">
        <f t="shared" si="21"/>
        <v>0</v>
      </c>
    </row>
    <row r="540" spans="1:5" x14ac:dyDescent="0.2">
      <c r="A540" s="21" t="s">
        <v>19</v>
      </c>
      <c r="B540" s="16">
        <f>SUM(B536:B539)</f>
        <v>765645</v>
      </c>
      <c r="C540" s="16">
        <f>SUM(C536:C539)</f>
        <v>770595</v>
      </c>
      <c r="D540" s="16">
        <f>SUM(D536:D539)</f>
        <v>719089</v>
      </c>
      <c r="E540" s="17">
        <f t="shared" si="21"/>
        <v>93.316073942862332</v>
      </c>
    </row>
    <row r="541" spans="1:5" x14ac:dyDescent="0.2">
      <c r="A541" s="7"/>
      <c r="B541" s="7"/>
      <c r="C541" s="7"/>
      <c r="D541" s="7"/>
      <c r="E541" s="13"/>
    </row>
    <row r="542" spans="1:5" x14ac:dyDescent="0.2">
      <c r="A542" s="7" t="s">
        <v>21</v>
      </c>
      <c r="B542" s="7">
        <v>45000</v>
      </c>
      <c r="C542" s="7">
        <v>45000</v>
      </c>
      <c r="D542" s="7">
        <f>56016</f>
        <v>56016</v>
      </c>
      <c r="E542" s="13">
        <f t="shared" si="21"/>
        <v>124.47999999999999</v>
      </c>
    </row>
    <row r="543" spans="1:5" x14ac:dyDescent="0.2">
      <c r="A543" s="12" t="s">
        <v>40</v>
      </c>
      <c r="B543" s="43">
        <v>15710000</v>
      </c>
      <c r="C543" s="43">
        <v>15710000</v>
      </c>
      <c r="D543" s="7">
        <v>16115307</v>
      </c>
      <c r="E543" s="13">
        <f t="shared" si="21"/>
        <v>102.57992998090388</v>
      </c>
    </row>
    <row r="544" spans="1:5" x14ac:dyDescent="0.2">
      <c r="A544" s="12" t="s">
        <v>11</v>
      </c>
      <c r="B544" s="7">
        <f>(B543+B542)*0.27</f>
        <v>4253850</v>
      </c>
      <c r="C544" s="7">
        <f>(C543+C542)*0.27</f>
        <v>4253850</v>
      </c>
      <c r="D544" s="7">
        <f>4366257+1700</f>
        <v>4367957</v>
      </c>
      <c r="E544" s="13">
        <f t="shared" si="21"/>
        <v>102.68244061262151</v>
      </c>
    </row>
    <row r="545" spans="1:5" x14ac:dyDescent="0.2">
      <c r="A545" s="15" t="s">
        <v>12</v>
      </c>
      <c r="B545" s="16">
        <f>SUM(B542:B544)</f>
        <v>20008850</v>
      </c>
      <c r="C545" s="16">
        <f>SUM(C542:C544)</f>
        <v>20008850</v>
      </c>
      <c r="D545" s="16">
        <f>SUM(D542:D544)</f>
        <v>20539280</v>
      </c>
      <c r="E545" s="17">
        <f t="shared" si="21"/>
        <v>102.65097694270284</v>
      </c>
    </row>
    <row r="546" spans="1:5" x14ac:dyDescent="0.2">
      <c r="A546" s="11"/>
      <c r="B546" s="10"/>
      <c r="C546" s="10"/>
      <c r="D546" s="7"/>
      <c r="E546" s="17"/>
    </row>
    <row r="547" spans="1:5" x14ac:dyDescent="0.2">
      <c r="A547" s="18" t="s">
        <v>13</v>
      </c>
      <c r="B547" s="19">
        <f>B534+B540+B545</f>
        <v>24596754</v>
      </c>
      <c r="C547" s="19">
        <f>C534+C540+C545</f>
        <v>24627404</v>
      </c>
      <c r="D547" s="16">
        <f>D534+D540+D545</f>
        <v>25121509</v>
      </c>
      <c r="E547" s="17">
        <f t="shared" si="21"/>
        <v>102.00632190059495</v>
      </c>
    </row>
    <row r="548" spans="1:5" x14ac:dyDescent="0.2">
      <c r="A548" s="11"/>
      <c r="B548" s="11"/>
      <c r="C548" s="7"/>
      <c r="D548" s="7"/>
      <c r="E548" s="7"/>
    </row>
    <row r="549" spans="1:5" x14ac:dyDescent="0.2">
      <c r="A549" s="71" t="s">
        <v>102</v>
      </c>
      <c r="B549" s="72"/>
      <c r="C549" s="72"/>
      <c r="D549" s="72"/>
      <c r="E549" s="73"/>
    </row>
    <row r="550" spans="1:5" x14ac:dyDescent="0.2">
      <c r="A550" s="47"/>
      <c r="B550" s="49"/>
      <c r="C550" s="7"/>
      <c r="D550" s="7"/>
      <c r="E550" s="7"/>
    </row>
    <row r="551" spans="1:5" x14ac:dyDescent="0.2">
      <c r="A551" s="7" t="s">
        <v>103</v>
      </c>
      <c r="B551" s="7">
        <v>30336268</v>
      </c>
      <c r="C551" s="7">
        <f>30336268+1117500+558750</f>
        <v>32012518</v>
      </c>
      <c r="D551" s="7">
        <v>31775862</v>
      </c>
      <c r="E551" s="13">
        <f t="shared" ref="E551:E577" si="22">D551/C551*100</f>
        <v>99.260739189588278</v>
      </c>
    </row>
    <row r="552" spans="1:5" x14ac:dyDescent="0.2">
      <c r="A552" s="7" t="s">
        <v>87</v>
      </c>
      <c r="B552" s="7">
        <v>583886</v>
      </c>
      <c r="C552" s="7">
        <v>583886</v>
      </c>
      <c r="D552" s="7">
        <v>1087216</v>
      </c>
      <c r="E552" s="13">
        <f t="shared" si="22"/>
        <v>186.20347122554745</v>
      </c>
    </row>
    <row r="553" spans="1:5" x14ac:dyDescent="0.2">
      <c r="A553" s="7" t="s">
        <v>104</v>
      </c>
      <c r="B553" s="7"/>
      <c r="C553" s="7"/>
      <c r="D553" s="7">
        <v>240000</v>
      </c>
      <c r="E553" s="13"/>
    </row>
    <row r="554" spans="1:5" x14ac:dyDescent="0.2">
      <c r="A554" s="7" t="s">
        <v>50</v>
      </c>
      <c r="B554" s="7">
        <v>10000</v>
      </c>
      <c r="C554" s="7">
        <v>10000</v>
      </c>
      <c r="D554" s="7"/>
      <c r="E554" s="13">
        <f t="shared" si="22"/>
        <v>0</v>
      </c>
    </row>
    <row r="555" spans="1:5" x14ac:dyDescent="0.2">
      <c r="A555" s="7" t="s">
        <v>56</v>
      </c>
      <c r="B555" s="7">
        <v>117286</v>
      </c>
      <c r="C555" s="7">
        <v>117286</v>
      </c>
      <c r="D555" s="7">
        <v>108266</v>
      </c>
      <c r="E555" s="13">
        <f t="shared" si="22"/>
        <v>92.309397541053499</v>
      </c>
    </row>
    <row r="556" spans="1:5" x14ac:dyDescent="0.2">
      <c r="A556" s="7" t="s">
        <v>34</v>
      </c>
      <c r="B556" s="7">
        <v>300000</v>
      </c>
      <c r="C556" s="7">
        <f>300000+88300</f>
        <v>388300</v>
      </c>
      <c r="D556" s="7">
        <v>621981</v>
      </c>
      <c r="E556" s="13">
        <f t="shared" si="22"/>
        <v>160.18053051764102</v>
      </c>
    </row>
    <row r="557" spans="1:5" x14ac:dyDescent="0.2">
      <c r="A557" s="21" t="s">
        <v>17</v>
      </c>
      <c r="B557" s="16">
        <f>SUM(B551:B556)</f>
        <v>31347440</v>
      </c>
      <c r="C557" s="16">
        <f>SUM(C551:C556)</f>
        <v>33111990</v>
      </c>
      <c r="D557" s="16">
        <f>SUM(D551:D556)</f>
        <v>33833325</v>
      </c>
      <c r="E557" s="17">
        <f t="shared" si="22"/>
        <v>102.17847069898245</v>
      </c>
    </row>
    <row r="558" spans="1:5" x14ac:dyDescent="0.2">
      <c r="A558" s="7"/>
      <c r="B558" s="7"/>
      <c r="C558" s="7"/>
      <c r="D558" s="7"/>
      <c r="E558" s="13"/>
    </row>
    <row r="559" spans="1:5" x14ac:dyDescent="0.2">
      <c r="A559" s="7" t="s">
        <v>18</v>
      </c>
      <c r="B559" s="7">
        <v>5996943</v>
      </c>
      <c r="C559" s="7">
        <f>5996943+17000+217913+97781</f>
        <v>6329637</v>
      </c>
      <c r="D559" s="7">
        <v>6349209</v>
      </c>
      <c r="E559" s="13">
        <f t="shared" si="22"/>
        <v>100.30921204486134</v>
      </c>
    </row>
    <row r="560" spans="1:5" x14ac:dyDescent="0.2">
      <c r="A560" s="7" t="s">
        <v>59</v>
      </c>
      <c r="B560" s="7">
        <v>113858</v>
      </c>
      <c r="C560" s="7">
        <v>113858</v>
      </c>
      <c r="D560" s="7">
        <v>0</v>
      </c>
      <c r="E560" s="13">
        <f t="shared" si="22"/>
        <v>0</v>
      </c>
    </row>
    <row r="561" spans="1:5" x14ac:dyDescent="0.2">
      <c r="A561" s="7" t="s">
        <v>39</v>
      </c>
      <c r="B561" s="7">
        <v>30000</v>
      </c>
      <c r="C561" s="7">
        <v>30000</v>
      </c>
      <c r="D561" s="7">
        <v>10507</v>
      </c>
      <c r="E561" s="13">
        <f t="shared" si="22"/>
        <v>35.023333333333333</v>
      </c>
    </row>
    <row r="562" spans="1:5" x14ac:dyDescent="0.2">
      <c r="A562" s="7" t="s">
        <v>60</v>
      </c>
      <c r="B562" s="7">
        <v>87583</v>
      </c>
      <c r="C562" s="7">
        <v>87583</v>
      </c>
      <c r="D562" s="7">
        <v>0</v>
      </c>
      <c r="E562" s="13">
        <f t="shared" si="22"/>
        <v>0</v>
      </c>
    </row>
    <row r="563" spans="1:5" x14ac:dyDescent="0.2">
      <c r="A563" s="21" t="s">
        <v>19</v>
      </c>
      <c r="B563" s="16">
        <f>SUM(B559:B562)</f>
        <v>6228384</v>
      </c>
      <c r="C563" s="16">
        <f>SUM(C559:C562)</f>
        <v>6561078</v>
      </c>
      <c r="D563" s="16">
        <f>SUM(D558:D562)</f>
        <v>6359716</v>
      </c>
      <c r="E563" s="17">
        <f t="shared" si="22"/>
        <v>96.930961649899601</v>
      </c>
    </row>
    <row r="564" spans="1:5" x14ac:dyDescent="0.2">
      <c r="A564" s="7"/>
      <c r="B564" s="7"/>
      <c r="C564" s="7"/>
      <c r="D564" s="7"/>
      <c r="E564" s="13"/>
    </row>
    <row r="565" spans="1:5" x14ac:dyDescent="0.2">
      <c r="A565" s="7" t="s">
        <v>21</v>
      </c>
      <c r="B565" s="7">
        <v>310000</v>
      </c>
      <c r="C565" s="7">
        <v>310000</v>
      </c>
      <c r="D565" s="7">
        <v>282262</v>
      </c>
      <c r="E565" s="13">
        <f t="shared" si="22"/>
        <v>91.052258064516138</v>
      </c>
    </row>
    <row r="566" spans="1:5" x14ac:dyDescent="0.2">
      <c r="A566" s="7" t="s">
        <v>22</v>
      </c>
      <c r="B566" s="7">
        <v>66000</v>
      </c>
      <c r="C566" s="7">
        <v>66000</v>
      </c>
      <c r="D566" s="7">
        <v>69200</v>
      </c>
      <c r="E566" s="13">
        <f t="shared" si="22"/>
        <v>104.84848484848486</v>
      </c>
    </row>
    <row r="567" spans="1:5" x14ac:dyDescent="0.2">
      <c r="A567" s="14" t="s">
        <v>23</v>
      </c>
      <c r="B567" s="7">
        <v>50000</v>
      </c>
      <c r="C567" s="7">
        <v>50000</v>
      </c>
      <c r="D567" s="7">
        <v>43124</v>
      </c>
      <c r="E567" s="13">
        <f t="shared" si="22"/>
        <v>86.248000000000005</v>
      </c>
    </row>
    <row r="568" spans="1:5" x14ac:dyDescent="0.2">
      <c r="A568" s="12" t="s">
        <v>9</v>
      </c>
      <c r="B568" s="7">
        <f>SUM(B569:B571)</f>
        <v>370000</v>
      </c>
      <c r="C568" s="7">
        <f>SUM(C569:C571)</f>
        <v>370000</v>
      </c>
      <c r="D568" s="7">
        <v>310843</v>
      </c>
      <c r="E568" s="13">
        <f t="shared" si="22"/>
        <v>84.011621621621629</v>
      </c>
    </row>
    <row r="569" spans="1:5" x14ac:dyDescent="0.2">
      <c r="A569" s="14" t="s">
        <v>24</v>
      </c>
      <c r="B569" s="7">
        <v>155000</v>
      </c>
      <c r="C569" s="7">
        <v>155000</v>
      </c>
      <c r="D569" s="7">
        <v>147218</v>
      </c>
      <c r="E569" s="13">
        <f t="shared" si="22"/>
        <v>94.979354838709668</v>
      </c>
    </row>
    <row r="570" spans="1:5" x14ac:dyDescent="0.2">
      <c r="A570" s="14" t="s">
        <v>25</v>
      </c>
      <c r="B570" s="7">
        <v>95000</v>
      </c>
      <c r="C570" s="7">
        <v>95000</v>
      </c>
      <c r="D570" s="7">
        <v>56336</v>
      </c>
      <c r="E570" s="13">
        <f t="shared" si="22"/>
        <v>59.301052631578941</v>
      </c>
    </row>
    <row r="571" spans="1:5" x14ac:dyDescent="0.2">
      <c r="A571" s="14" t="s">
        <v>26</v>
      </c>
      <c r="B571" s="7">
        <v>120000</v>
      </c>
      <c r="C571" s="7">
        <v>120000</v>
      </c>
      <c r="D571" s="7">
        <f>D568-D569-D570</f>
        <v>107289</v>
      </c>
      <c r="E571" s="13">
        <f t="shared" si="22"/>
        <v>89.407499999999999</v>
      </c>
    </row>
    <row r="572" spans="1:5" x14ac:dyDescent="0.2">
      <c r="A572" s="12" t="s">
        <v>27</v>
      </c>
      <c r="B572" s="7">
        <v>75000</v>
      </c>
      <c r="C572" s="7">
        <v>75000</v>
      </c>
      <c r="D572" s="7">
        <v>162141</v>
      </c>
      <c r="E572" s="13">
        <f t="shared" si="22"/>
        <v>216.18799999999999</v>
      </c>
    </row>
    <row r="573" spans="1:5" x14ac:dyDescent="0.2">
      <c r="A573" s="12" t="s">
        <v>29</v>
      </c>
      <c r="B573" s="7">
        <v>140000</v>
      </c>
      <c r="C573" s="7">
        <v>140000</v>
      </c>
      <c r="D573" s="7">
        <v>99563</v>
      </c>
      <c r="E573" s="13">
        <f t="shared" si="22"/>
        <v>71.116428571428571</v>
      </c>
    </row>
    <row r="574" spans="1:5" x14ac:dyDescent="0.2">
      <c r="A574" s="12" t="s">
        <v>11</v>
      </c>
      <c r="B574" s="7">
        <f>(B572+B573+B566+B567+B568+B565)*0.27</f>
        <v>272970</v>
      </c>
      <c r="C574" s="7">
        <f>(C572+C573+C566+C567+C568+C565)*0.27</f>
        <v>272970</v>
      </c>
      <c r="D574" s="7">
        <f>215985+4</f>
        <v>215989</v>
      </c>
      <c r="E574" s="13">
        <f t="shared" si="22"/>
        <v>79.125544931677467</v>
      </c>
    </row>
    <row r="575" spans="1:5" x14ac:dyDescent="0.2">
      <c r="A575" s="15" t="s">
        <v>12</v>
      </c>
      <c r="B575" s="16">
        <f>SUM(B565:B574)-B568</f>
        <v>1283970</v>
      </c>
      <c r="C575" s="16">
        <f>SUM(C565:C574)-C568</f>
        <v>1283970</v>
      </c>
      <c r="D575" s="16">
        <f>SUM(D565:D574)-D568</f>
        <v>1183122</v>
      </c>
      <c r="E575" s="17">
        <f t="shared" si="22"/>
        <v>92.145610878758859</v>
      </c>
    </row>
    <row r="576" spans="1:5" x14ac:dyDescent="0.2">
      <c r="A576" s="11"/>
      <c r="B576" s="10"/>
      <c r="C576" s="10"/>
      <c r="D576" s="7"/>
      <c r="E576" s="17"/>
    </row>
    <row r="577" spans="1:5" x14ac:dyDescent="0.2">
      <c r="A577" s="18" t="s">
        <v>13</v>
      </c>
      <c r="B577" s="19">
        <f>B557+B563+B575</f>
        <v>38859794</v>
      </c>
      <c r="C577" s="19">
        <f>C557+C563+C575</f>
        <v>40957038</v>
      </c>
      <c r="D577" s="16">
        <f>D557+D563+D575</f>
        <v>41376163</v>
      </c>
      <c r="E577" s="17">
        <f t="shared" si="22"/>
        <v>101.02332839596457</v>
      </c>
    </row>
    <row r="578" spans="1:5" x14ac:dyDescent="0.2">
      <c r="A578" s="51"/>
      <c r="B578" s="25"/>
      <c r="C578" s="19"/>
      <c r="D578" s="7"/>
      <c r="E578" s="7"/>
    </row>
    <row r="579" spans="1:5" x14ac:dyDescent="0.2">
      <c r="A579" s="71" t="s">
        <v>14</v>
      </c>
      <c r="B579" s="72"/>
      <c r="C579" s="72"/>
      <c r="D579" s="72"/>
      <c r="E579" s="73"/>
    </row>
    <row r="580" spans="1:5" x14ac:dyDescent="0.2">
      <c r="A580" s="11"/>
      <c r="B580" s="20"/>
      <c r="C580" s="7"/>
      <c r="D580" s="7"/>
      <c r="E580" s="7"/>
    </row>
    <row r="581" spans="1:5" x14ac:dyDescent="0.2">
      <c r="A581" s="7" t="s">
        <v>15</v>
      </c>
      <c r="B581" s="7"/>
      <c r="C581" s="7"/>
      <c r="D581" s="7">
        <v>72600</v>
      </c>
      <c r="E581" s="13"/>
    </row>
    <row r="582" spans="1:5" x14ac:dyDescent="0.2">
      <c r="A582" s="21" t="s">
        <v>17</v>
      </c>
      <c r="B582" s="16"/>
      <c r="C582" s="16"/>
      <c r="D582" s="16">
        <f>D581</f>
        <v>72600</v>
      </c>
      <c r="E582" s="13"/>
    </row>
    <row r="583" spans="1:5" x14ac:dyDescent="0.2">
      <c r="A583" s="7"/>
      <c r="B583" s="7"/>
      <c r="C583" s="7"/>
      <c r="D583" s="7"/>
      <c r="E583" s="13"/>
    </row>
    <row r="584" spans="1:5" x14ac:dyDescent="0.2">
      <c r="A584" s="7" t="s">
        <v>18</v>
      </c>
      <c r="B584" s="7"/>
      <c r="C584" s="7"/>
      <c r="D584" s="7">
        <v>14157</v>
      </c>
      <c r="E584" s="13"/>
    </row>
    <row r="585" spans="1:5" x14ac:dyDescent="0.2">
      <c r="A585" s="21" t="s">
        <v>19</v>
      </c>
      <c r="B585" s="16"/>
      <c r="C585" s="16"/>
      <c r="D585" s="16">
        <f>SUM(D584)</f>
        <v>14157</v>
      </c>
      <c r="E585" s="13"/>
    </row>
    <row r="586" spans="1:5" x14ac:dyDescent="0.2">
      <c r="A586" s="51"/>
      <c r="B586" s="25"/>
      <c r="C586" s="19"/>
      <c r="D586" s="7"/>
      <c r="E586" s="13"/>
    </row>
    <row r="587" spans="1:5" x14ac:dyDescent="0.2">
      <c r="A587" s="12" t="s">
        <v>29</v>
      </c>
      <c r="B587" s="25"/>
      <c r="C587" s="19"/>
      <c r="D587" s="7">
        <v>1700</v>
      </c>
      <c r="E587" s="13"/>
    </row>
    <row r="588" spans="1:5" x14ac:dyDescent="0.2">
      <c r="A588" s="15" t="s">
        <v>12</v>
      </c>
      <c r="B588" s="25"/>
      <c r="C588" s="19"/>
      <c r="D588" s="16">
        <f>D587</f>
        <v>1700</v>
      </c>
      <c r="E588" s="13"/>
    </row>
    <row r="589" spans="1:5" x14ac:dyDescent="0.2">
      <c r="A589" s="15"/>
      <c r="B589" s="25"/>
      <c r="C589" s="19"/>
      <c r="D589" s="7"/>
      <c r="E589" s="13"/>
    </row>
    <row r="590" spans="1:5" x14ac:dyDescent="0.2">
      <c r="A590" s="18" t="s">
        <v>13</v>
      </c>
      <c r="B590" s="25"/>
      <c r="C590" s="19"/>
      <c r="D590" s="16">
        <f>D582+D585+D588</f>
        <v>88457</v>
      </c>
      <c r="E590" s="13"/>
    </row>
    <row r="591" spans="1:5" x14ac:dyDescent="0.2">
      <c r="A591" s="74"/>
      <c r="B591" s="74"/>
      <c r="C591" s="25"/>
      <c r="D591" s="7"/>
      <c r="E591" s="13"/>
    </row>
    <row r="592" spans="1:5" x14ac:dyDescent="0.2">
      <c r="A592" s="11"/>
      <c r="B592" s="11"/>
      <c r="C592" s="25"/>
      <c r="D592" s="7"/>
      <c r="E592" s="13"/>
    </row>
    <row r="593" spans="1:5" x14ac:dyDescent="0.2">
      <c r="A593" s="11"/>
      <c r="B593" s="11"/>
      <c r="C593" s="25"/>
      <c r="D593" s="7"/>
      <c r="E593" s="13"/>
    </row>
    <row r="594" spans="1:5" x14ac:dyDescent="0.2">
      <c r="A594" s="21" t="s">
        <v>17</v>
      </c>
      <c r="B594" s="20">
        <f>B377+B411+B433+B466+B505+B534+B557+B359</f>
        <v>108384121</v>
      </c>
      <c r="C594" s="20">
        <f>C359+C377+C411+C433+C466+C505+C534+C557</f>
        <v>131384117</v>
      </c>
      <c r="D594" s="20">
        <f>D359+D377+D411+D433+D466+D505+D534+D557+D582</f>
        <v>125004225</v>
      </c>
      <c r="E594" s="17">
        <f>D594/C594*100</f>
        <v>95.144091884409434</v>
      </c>
    </row>
    <row r="595" spans="1:5" x14ac:dyDescent="0.2">
      <c r="A595" s="21" t="s">
        <v>19</v>
      </c>
      <c r="B595" s="20">
        <f>B363+B382+B417+B439+B472+B511+B540+B563</f>
        <v>20868523</v>
      </c>
      <c r="C595" s="20">
        <f>C363+C382+C417+C439+C472+C511+C540+C563</f>
        <v>23519926</v>
      </c>
      <c r="D595" s="20">
        <f>D363+D382+D417+D439+D472+D511+D540+D563+D585</f>
        <v>21720844</v>
      </c>
      <c r="E595" s="17">
        <f>D595/C595*100</f>
        <v>92.350817770430055</v>
      </c>
    </row>
    <row r="596" spans="1:5" x14ac:dyDescent="0.2">
      <c r="A596" s="15" t="s">
        <v>65</v>
      </c>
      <c r="B596" s="20">
        <f>B575+B545+B525+B494+B486+B453+B421+B400</f>
        <v>35940077</v>
      </c>
      <c r="C596" s="20">
        <f>C400+C421+C453+C486+C494+C525+C545+C575</f>
        <v>36478461</v>
      </c>
      <c r="D596" s="20">
        <f>D400+D421+D453+D486+D494+D525+D545+D575+D366+D588</f>
        <v>34956937</v>
      </c>
      <c r="E596" s="17">
        <f>D596/C596*100</f>
        <v>95.828979736837042</v>
      </c>
    </row>
    <row r="597" spans="1:5" ht="33.75" x14ac:dyDescent="0.2">
      <c r="A597" s="56" t="s">
        <v>105</v>
      </c>
      <c r="B597" s="20">
        <f>SUM(B594:B596)</f>
        <v>165192721</v>
      </c>
      <c r="C597" s="20">
        <f>SUM(C594:C596)</f>
        <v>191382504</v>
      </c>
      <c r="D597" s="16">
        <f>D594+D595+D596</f>
        <v>181682006</v>
      </c>
      <c r="E597" s="17">
        <f>D597/C597*100</f>
        <v>94.931355898656236</v>
      </c>
    </row>
    <row r="598" spans="1:5" x14ac:dyDescent="0.2">
      <c r="A598" s="15"/>
      <c r="B598" s="20"/>
      <c r="C598" s="7"/>
      <c r="D598" s="7"/>
      <c r="E598" s="7"/>
    </row>
    <row r="599" spans="1:5" x14ac:dyDescent="0.2">
      <c r="A599" s="15"/>
      <c r="B599" s="20"/>
      <c r="C599" s="7"/>
      <c r="D599" s="7"/>
      <c r="E599" s="7"/>
    </row>
    <row r="600" spans="1:5" x14ac:dyDescent="0.2">
      <c r="A600" s="75" t="s">
        <v>106</v>
      </c>
      <c r="B600" s="75"/>
      <c r="C600" s="75"/>
      <c r="D600" s="75"/>
      <c r="E600" s="75"/>
    </row>
    <row r="601" spans="1:5" x14ac:dyDescent="0.2">
      <c r="A601" s="57"/>
      <c r="B601" s="57"/>
      <c r="C601" s="58"/>
      <c r="D601" s="58"/>
      <c r="E601" s="58"/>
    </row>
    <row r="602" spans="1:5" x14ac:dyDescent="0.2">
      <c r="A602" s="76" t="s">
        <v>2</v>
      </c>
      <c r="B602" s="76"/>
      <c r="C602" s="76"/>
      <c r="D602" s="76"/>
      <c r="E602" s="76"/>
    </row>
    <row r="603" spans="1:5" x14ac:dyDescent="0.2">
      <c r="A603" s="59"/>
      <c r="B603" s="60"/>
      <c r="C603" s="7"/>
      <c r="D603" s="7"/>
      <c r="E603" s="7"/>
    </row>
    <row r="604" spans="1:5" x14ac:dyDescent="0.2">
      <c r="A604" s="65" t="s">
        <v>76</v>
      </c>
      <c r="B604" s="66"/>
      <c r="C604" s="66"/>
      <c r="D604" s="66"/>
      <c r="E604" s="67"/>
    </row>
    <row r="605" spans="1:5" x14ac:dyDescent="0.2">
      <c r="A605" s="23"/>
      <c r="B605" s="10"/>
      <c r="C605" s="7"/>
      <c r="D605" s="7"/>
      <c r="E605" s="7"/>
    </row>
    <row r="606" spans="1:5" x14ac:dyDescent="0.2">
      <c r="A606" s="7" t="s">
        <v>107</v>
      </c>
      <c r="B606" s="7">
        <v>1033435</v>
      </c>
      <c r="C606" s="7">
        <f>1033435+4119294+407651</f>
        <v>5560380</v>
      </c>
      <c r="D606" s="7">
        <v>4508026</v>
      </c>
      <c r="E606" s="13">
        <f t="shared" ref="E606:E618" si="23">D606/C606*100</f>
        <v>81.074063283444659</v>
      </c>
    </row>
    <row r="607" spans="1:5" x14ac:dyDescent="0.2">
      <c r="A607" s="7" t="s">
        <v>34</v>
      </c>
      <c r="B607" s="7">
        <v>20000</v>
      </c>
      <c r="C607" s="7">
        <v>20000</v>
      </c>
      <c r="D607" s="7">
        <v>110158</v>
      </c>
      <c r="E607" s="13">
        <f t="shared" si="23"/>
        <v>550.79000000000008</v>
      </c>
    </row>
    <row r="608" spans="1:5" x14ac:dyDescent="0.2">
      <c r="A608" s="21" t="s">
        <v>17</v>
      </c>
      <c r="B608" s="16">
        <f>SUM(B606:B607)</f>
        <v>1053435</v>
      </c>
      <c r="C608" s="16">
        <f>SUM(C606:C607)</f>
        <v>5580380</v>
      </c>
      <c r="D608" s="16">
        <f>SUM(D606:D607)</f>
        <v>4618184</v>
      </c>
      <c r="E608" s="17">
        <f t="shared" si="23"/>
        <v>82.757518305205025</v>
      </c>
    </row>
    <row r="609" spans="1:5" x14ac:dyDescent="0.2">
      <c r="A609" s="7"/>
      <c r="B609" s="7"/>
      <c r="C609" s="7"/>
      <c r="D609" s="7"/>
      <c r="E609" s="13"/>
    </row>
    <row r="610" spans="1:5" x14ac:dyDescent="0.2">
      <c r="A610" s="7" t="s">
        <v>18</v>
      </c>
      <c r="B610" s="7">
        <v>102710</v>
      </c>
      <c r="C610" s="7">
        <f>102710+401631+71339</f>
        <v>575680</v>
      </c>
      <c r="D610" s="7">
        <v>444579</v>
      </c>
      <c r="E610" s="13">
        <f t="shared" si="23"/>
        <v>77.226757921067261</v>
      </c>
    </row>
    <row r="611" spans="1:5" x14ac:dyDescent="0.2">
      <c r="A611" s="7" t="s">
        <v>39</v>
      </c>
      <c r="B611" s="7">
        <v>10000</v>
      </c>
      <c r="C611" s="7">
        <v>10000</v>
      </c>
      <c r="D611" s="7">
        <v>52865</v>
      </c>
      <c r="E611" s="13">
        <f t="shared" si="23"/>
        <v>528.65</v>
      </c>
    </row>
    <row r="612" spans="1:5" x14ac:dyDescent="0.2">
      <c r="A612" s="21" t="s">
        <v>19</v>
      </c>
      <c r="B612" s="16">
        <f>SUM(B610:B611)</f>
        <v>112710</v>
      </c>
      <c r="C612" s="16">
        <f>SUM(C610:C611)</f>
        <v>585680</v>
      </c>
      <c r="D612" s="16">
        <f>SUM(D610:D611)</f>
        <v>497444</v>
      </c>
      <c r="E612" s="17">
        <f t="shared" si="23"/>
        <v>84.934435186449946</v>
      </c>
    </row>
    <row r="613" spans="1:5" x14ac:dyDescent="0.2">
      <c r="A613" s="7"/>
      <c r="B613" s="7"/>
      <c r="C613" s="7"/>
      <c r="D613" s="7"/>
      <c r="E613" s="13"/>
    </row>
    <row r="614" spans="1:5" x14ac:dyDescent="0.2">
      <c r="A614" s="12" t="s">
        <v>29</v>
      </c>
      <c r="B614" s="7"/>
      <c r="C614" s="7"/>
      <c r="D614" s="7">
        <v>11778</v>
      </c>
      <c r="E614" s="13"/>
    </row>
    <row r="615" spans="1:5" x14ac:dyDescent="0.2">
      <c r="A615" s="15" t="s">
        <v>12</v>
      </c>
      <c r="B615" s="7"/>
      <c r="C615" s="7"/>
      <c r="D615" s="16">
        <f>D614</f>
        <v>11778</v>
      </c>
      <c r="E615" s="13"/>
    </row>
    <row r="616" spans="1:5" x14ac:dyDescent="0.2">
      <c r="A616" s="7"/>
      <c r="B616" s="7"/>
      <c r="C616" s="7"/>
      <c r="D616" s="7"/>
      <c r="E616" s="13"/>
    </row>
    <row r="617" spans="1:5" x14ac:dyDescent="0.2">
      <c r="A617" s="7"/>
      <c r="B617" s="7"/>
      <c r="C617" s="7"/>
      <c r="D617" s="7"/>
      <c r="E617" s="13"/>
    </row>
    <row r="618" spans="1:5" x14ac:dyDescent="0.2">
      <c r="A618" s="18" t="s">
        <v>13</v>
      </c>
      <c r="B618" s="19">
        <f>B608+B612</f>
        <v>1166145</v>
      </c>
      <c r="C618" s="19">
        <f>C608+C612</f>
        <v>6166060</v>
      </c>
      <c r="D618" s="16">
        <f>D608+D612+D615</f>
        <v>5127406</v>
      </c>
      <c r="E618" s="17">
        <f t="shared" si="23"/>
        <v>83.155305008384602</v>
      </c>
    </row>
    <row r="619" spans="1:5" x14ac:dyDescent="0.2">
      <c r="A619" s="18"/>
      <c r="B619" s="19"/>
      <c r="C619" s="7"/>
      <c r="D619" s="7"/>
      <c r="E619" s="7"/>
    </row>
    <row r="620" spans="1:5" x14ac:dyDescent="0.2">
      <c r="A620" s="68" t="s">
        <v>108</v>
      </c>
      <c r="B620" s="69"/>
      <c r="C620" s="69"/>
      <c r="D620" s="69"/>
      <c r="E620" s="70"/>
    </row>
    <row r="621" spans="1:5" x14ac:dyDescent="0.2">
      <c r="A621" s="61"/>
      <c r="B621" s="61"/>
      <c r="C621" s="7"/>
      <c r="D621" s="7"/>
      <c r="E621" s="7"/>
    </row>
    <row r="622" spans="1:5" x14ac:dyDescent="0.2">
      <c r="A622" s="52" t="s">
        <v>109</v>
      </c>
      <c r="B622" s="62">
        <v>19121000</v>
      </c>
      <c r="C622" s="62">
        <v>19121000</v>
      </c>
      <c r="D622" s="7">
        <f>39996851-D623</f>
        <v>16525564</v>
      </c>
      <c r="E622" s="13">
        <f t="shared" ref="E622:E628" si="24">D622/C622*100</f>
        <v>86.426253857015851</v>
      </c>
    </row>
    <row r="623" spans="1:5" x14ac:dyDescent="0.2">
      <c r="A623" s="52" t="s">
        <v>110</v>
      </c>
      <c r="B623" s="28">
        <v>25479000</v>
      </c>
      <c r="C623" s="28">
        <v>25479000</v>
      </c>
      <c r="D623" s="7">
        <v>23471287</v>
      </c>
      <c r="E623" s="13">
        <f t="shared" si="24"/>
        <v>92.120126378586292</v>
      </c>
    </row>
    <row r="624" spans="1:5" x14ac:dyDescent="0.2">
      <c r="A624" s="12" t="s">
        <v>79</v>
      </c>
      <c r="B624" s="28"/>
      <c r="C624" s="28"/>
      <c r="D624" s="7">
        <v>30961</v>
      </c>
      <c r="E624" s="13"/>
    </row>
    <row r="625" spans="1:5" x14ac:dyDescent="0.2">
      <c r="A625" s="12" t="s">
        <v>11</v>
      </c>
      <c r="B625" s="28">
        <f>0.27*(B623+B622)</f>
        <v>12042000</v>
      </c>
      <c r="C625" s="28">
        <f>0.27*(C623+C622)+20000</f>
        <v>12062000</v>
      </c>
      <c r="D625" s="7">
        <v>10807513</v>
      </c>
      <c r="E625" s="13">
        <f t="shared" si="24"/>
        <v>89.599676670535572</v>
      </c>
    </row>
    <row r="626" spans="1:5" x14ac:dyDescent="0.2">
      <c r="A626" s="15" t="s">
        <v>12</v>
      </c>
      <c r="B626" s="19">
        <f>B622+B623+B625</f>
        <v>56642000</v>
      </c>
      <c r="C626" s="19">
        <f>C622+C623+C625</f>
        <v>56662000</v>
      </c>
      <c r="D626" s="16">
        <f>SUM(D622:D625)</f>
        <v>50835325</v>
      </c>
      <c r="E626" s="17">
        <f t="shared" si="24"/>
        <v>89.71678549998235</v>
      </c>
    </row>
    <row r="627" spans="1:5" x14ac:dyDescent="0.2">
      <c r="A627" s="15"/>
      <c r="B627" s="19"/>
      <c r="C627" s="19"/>
      <c r="D627" s="7"/>
      <c r="E627" s="17"/>
    </row>
    <row r="628" spans="1:5" x14ac:dyDescent="0.2">
      <c r="A628" s="18" t="s">
        <v>13</v>
      </c>
      <c r="B628" s="19">
        <f>B626</f>
        <v>56642000</v>
      </c>
      <c r="C628" s="19">
        <f>C626</f>
        <v>56662000</v>
      </c>
      <c r="D628" s="16">
        <f>D626</f>
        <v>50835325</v>
      </c>
      <c r="E628" s="17">
        <f t="shared" si="24"/>
        <v>89.71678549998235</v>
      </c>
    </row>
    <row r="629" spans="1:5" x14ac:dyDescent="0.2">
      <c r="A629" s="59"/>
      <c r="B629" s="63"/>
      <c r="C629" s="7"/>
      <c r="D629" s="7"/>
      <c r="E629" s="7"/>
    </row>
    <row r="630" spans="1:5" x14ac:dyDescent="0.2">
      <c r="A630" s="68" t="s">
        <v>111</v>
      </c>
      <c r="B630" s="69"/>
      <c r="C630" s="69"/>
      <c r="D630" s="69"/>
      <c r="E630" s="70"/>
    </row>
    <row r="631" spans="1:5" x14ac:dyDescent="0.2">
      <c r="A631" s="61"/>
      <c r="B631" s="61"/>
      <c r="C631" s="7"/>
      <c r="D631" s="7"/>
      <c r="E631" s="7"/>
    </row>
    <row r="632" spans="1:5" x14ac:dyDescent="0.2">
      <c r="A632" s="7" t="s">
        <v>44</v>
      </c>
      <c r="B632" s="63">
        <v>15348600</v>
      </c>
      <c r="C632" s="63">
        <v>15348600</v>
      </c>
      <c r="D632" s="7">
        <v>15264980</v>
      </c>
      <c r="E632" s="13">
        <f t="shared" ref="E632:E657" si="25">D632/C632*100</f>
        <v>99.455194610583376</v>
      </c>
    </row>
    <row r="633" spans="1:5" x14ac:dyDescent="0.2">
      <c r="A633" s="7" t="s">
        <v>87</v>
      </c>
      <c r="B633" s="63"/>
      <c r="C633" s="63"/>
      <c r="D633" s="7">
        <v>390977</v>
      </c>
      <c r="E633" s="13"/>
    </row>
    <row r="634" spans="1:5" x14ac:dyDescent="0.2">
      <c r="A634" s="7" t="s">
        <v>56</v>
      </c>
      <c r="B634" s="63">
        <v>54132</v>
      </c>
      <c r="C634" s="63">
        <v>54132</v>
      </c>
      <c r="D634" s="7">
        <v>54132</v>
      </c>
      <c r="E634" s="13">
        <f t="shared" si="25"/>
        <v>100</v>
      </c>
    </row>
    <row r="635" spans="1:5" x14ac:dyDescent="0.2">
      <c r="A635" s="7" t="s">
        <v>34</v>
      </c>
      <c r="B635" s="63">
        <v>200000</v>
      </c>
      <c r="C635" s="63">
        <v>200000</v>
      </c>
      <c r="D635" s="7">
        <v>95015</v>
      </c>
      <c r="E635" s="13">
        <f t="shared" si="25"/>
        <v>47.5075</v>
      </c>
    </row>
    <row r="636" spans="1:5" x14ac:dyDescent="0.2">
      <c r="A636" s="21" t="s">
        <v>17</v>
      </c>
      <c r="B636" s="16">
        <f>SUM(B632:B635)</f>
        <v>15602732</v>
      </c>
      <c r="C636" s="16">
        <f>SUM(C632:C635)</f>
        <v>15602732</v>
      </c>
      <c r="D636" s="16">
        <f>SUM(D632:D635)</f>
        <v>15805104</v>
      </c>
      <c r="E636" s="17">
        <f t="shared" si="25"/>
        <v>101.29702926384942</v>
      </c>
    </row>
    <row r="637" spans="1:5" x14ac:dyDescent="0.2">
      <c r="A637" s="7"/>
      <c r="B637" s="63"/>
      <c r="C637" s="63"/>
      <c r="D637" s="7"/>
      <c r="E637" s="13"/>
    </row>
    <row r="638" spans="1:5" x14ac:dyDescent="0.2">
      <c r="A638" s="7" t="s">
        <v>18</v>
      </c>
      <c r="B638" s="28">
        <v>3042533</v>
      </c>
      <c r="C638" s="28">
        <v>3042533</v>
      </c>
      <c r="D638" s="7">
        <v>2942477</v>
      </c>
      <c r="E638" s="13">
        <f t="shared" si="25"/>
        <v>96.711424329662151</v>
      </c>
    </row>
    <row r="639" spans="1:5" x14ac:dyDescent="0.2">
      <c r="A639" s="7" t="s">
        <v>39</v>
      </c>
      <c r="B639" s="28">
        <v>10000</v>
      </c>
      <c r="C639" s="28">
        <v>10000</v>
      </c>
      <c r="D639" s="7">
        <v>15905</v>
      </c>
      <c r="E639" s="13">
        <f t="shared" si="25"/>
        <v>159.05000000000001</v>
      </c>
    </row>
    <row r="640" spans="1:5" x14ac:dyDescent="0.2">
      <c r="A640" s="21" t="s">
        <v>19</v>
      </c>
      <c r="B640" s="25">
        <f>SUM(B638:B639)</f>
        <v>3052533</v>
      </c>
      <c r="C640" s="25">
        <f>SUM(C638:C639)</f>
        <v>3052533</v>
      </c>
      <c r="D640" s="16">
        <f>SUM(D638:D639)</f>
        <v>2958382</v>
      </c>
      <c r="E640" s="17">
        <f t="shared" si="25"/>
        <v>96.915643500004762</v>
      </c>
    </row>
    <row r="641" spans="1:5" x14ac:dyDescent="0.2">
      <c r="A641" s="7"/>
      <c r="B641" s="28"/>
      <c r="C641" s="28"/>
      <c r="D641" s="7"/>
      <c r="E641" s="13"/>
    </row>
    <row r="642" spans="1:5" x14ac:dyDescent="0.2">
      <c r="A642" s="7"/>
      <c r="B642" s="28"/>
      <c r="C642" s="28"/>
      <c r="D642" s="7"/>
      <c r="E642" s="13"/>
    </row>
    <row r="643" spans="1:5" x14ac:dyDescent="0.2">
      <c r="A643" s="7" t="s">
        <v>21</v>
      </c>
      <c r="B643" s="43">
        <v>1180000</v>
      </c>
      <c r="C643" s="43">
        <v>1180000</v>
      </c>
      <c r="D643" s="7">
        <v>1854887</v>
      </c>
      <c r="E643" s="13">
        <f t="shared" si="25"/>
        <v>157.19381355932202</v>
      </c>
    </row>
    <row r="644" spans="1:5" x14ac:dyDescent="0.2">
      <c r="A644" s="7" t="s">
        <v>22</v>
      </c>
      <c r="B644" s="7">
        <v>152000</v>
      </c>
      <c r="C644" s="7">
        <v>152000</v>
      </c>
      <c r="D644" s="7">
        <v>161748</v>
      </c>
      <c r="E644" s="13">
        <f t="shared" si="25"/>
        <v>106.41315789473684</v>
      </c>
    </row>
    <row r="645" spans="1:5" x14ac:dyDescent="0.2">
      <c r="A645" s="14" t="s">
        <v>23</v>
      </c>
      <c r="B645" s="7">
        <v>250000</v>
      </c>
      <c r="C645" s="7">
        <v>250000</v>
      </c>
      <c r="D645" s="7">
        <v>161990</v>
      </c>
      <c r="E645" s="13">
        <f t="shared" si="25"/>
        <v>64.795999999999992</v>
      </c>
    </row>
    <row r="646" spans="1:5" x14ac:dyDescent="0.2">
      <c r="A646" s="12" t="s">
        <v>9</v>
      </c>
      <c r="B646" s="43">
        <f>SUM(B647:B650)</f>
        <v>2877000</v>
      </c>
      <c r="C646" s="43">
        <f>SUM(C647:C650)</f>
        <v>2877000</v>
      </c>
      <c r="D646" s="7">
        <v>2952407</v>
      </c>
      <c r="E646" s="13">
        <f t="shared" si="25"/>
        <v>102.621028849496</v>
      </c>
    </row>
    <row r="647" spans="1:5" x14ac:dyDescent="0.2">
      <c r="A647" s="14" t="s">
        <v>24</v>
      </c>
      <c r="B647" s="7">
        <v>700000</v>
      </c>
      <c r="C647" s="7">
        <v>700000</v>
      </c>
      <c r="D647" s="7">
        <v>860575</v>
      </c>
      <c r="E647" s="13">
        <f t="shared" si="25"/>
        <v>122.93928571428572</v>
      </c>
    </row>
    <row r="648" spans="1:5" x14ac:dyDescent="0.2">
      <c r="A648" s="14" t="s">
        <v>112</v>
      </c>
      <c r="B648" s="7">
        <v>936000</v>
      </c>
      <c r="C648" s="7">
        <v>936000</v>
      </c>
      <c r="D648" s="7">
        <v>950849</v>
      </c>
      <c r="E648" s="13">
        <f t="shared" si="25"/>
        <v>101.58643162393162</v>
      </c>
    </row>
    <row r="649" spans="1:5" x14ac:dyDescent="0.2">
      <c r="A649" s="14" t="s">
        <v>25</v>
      </c>
      <c r="B649" s="7">
        <v>716000</v>
      </c>
      <c r="C649" s="7">
        <v>716000</v>
      </c>
      <c r="D649" s="7">
        <v>730079</v>
      </c>
      <c r="E649" s="13">
        <f t="shared" si="25"/>
        <v>101.9663407821229</v>
      </c>
    </row>
    <row r="650" spans="1:5" x14ac:dyDescent="0.2">
      <c r="A650" s="14" t="s">
        <v>26</v>
      </c>
      <c r="B650" s="7">
        <v>525000</v>
      </c>
      <c r="C650" s="7">
        <v>525000</v>
      </c>
      <c r="D650" s="7">
        <f>D646-D647-D648-D649</f>
        <v>410904</v>
      </c>
      <c r="E650" s="13">
        <f t="shared" si="25"/>
        <v>78.267428571428582</v>
      </c>
    </row>
    <row r="651" spans="1:5" x14ac:dyDescent="0.2">
      <c r="A651" s="12" t="s">
        <v>27</v>
      </c>
      <c r="B651" s="43">
        <f>550000+50000</f>
        <v>600000</v>
      </c>
      <c r="C651" s="43">
        <f>550000+50000</f>
        <v>600000</v>
      </c>
      <c r="D651" s="7">
        <v>354000</v>
      </c>
      <c r="E651" s="13">
        <f t="shared" si="25"/>
        <v>59</v>
      </c>
    </row>
    <row r="652" spans="1:5" x14ac:dyDescent="0.2">
      <c r="A652" s="12" t="s">
        <v>29</v>
      </c>
      <c r="B652" s="43">
        <v>650000</v>
      </c>
      <c r="C652" s="43">
        <v>650000</v>
      </c>
      <c r="D652" s="7">
        <v>809713</v>
      </c>
      <c r="E652" s="13">
        <f t="shared" si="25"/>
        <v>124.57123076923078</v>
      </c>
    </row>
    <row r="653" spans="1:5" x14ac:dyDescent="0.2">
      <c r="A653" s="12" t="s">
        <v>11</v>
      </c>
      <c r="B653" s="43">
        <f>(B643+B644+B645+B646+B651+100000)*0.27</f>
        <v>1392930</v>
      </c>
      <c r="C653" s="43">
        <f>(C643+C644+C645+C646+C651+100000)*0.27</f>
        <v>1392930</v>
      </c>
      <c r="D653" s="7">
        <v>1185820</v>
      </c>
      <c r="E653" s="13">
        <f t="shared" si="25"/>
        <v>85.131341847759757</v>
      </c>
    </row>
    <row r="654" spans="1:5" x14ac:dyDescent="0.2">
      <c r="A654" s="12" t="s">
        <v>79</v>
      </c>
      <c r="B654" s="43"/>
      <c r="C654" s="43"/>
      <c r="D654" s="7">
        <v>20869</v>
      </c>
      <c r="E654" s="13"/>
    </row>
    <row r="655" spans="1:5" x14ac:dyDescent="0.2">
      <c r="A655" s="15" t="s">
        <v>12</v>
      </c>
      <c r="B655" s="25">
        <f>B643+B644+B645+B646+B651+B652+B653</f>
        <v>7101930</v>
      </c>
      <c r="C655" s="25">
        <f>C643+C644+C645+C646+C651+C652+C653</f>
        <v>7101930</v>
      </c>
      <c r="D655" s="16">
        <f>SUM(D643:D654)-D646</f>
        <v>7501434</v>
      </c>
      <c r="E655" s="17">
        <f t="shared" si="25"/>
        <v>105.62528777388682</v>
      </c>
    </row>
    <row r="656" spans="1:5" x14ac:dyDescent="0.2">
      <c r="A656" s="15"/>
      <c r="B656" s="63"/>
      <c r="C656" s="63"/>
      <c r="D656" s="7"/>
      <c r="E656" s="17"/>
    </row>
    <row r="657" spans="1:5" x14ac:dyDescent="0.2">
      <c r="A657" s="18" t="s">
        <v>13</v>
      </c>
      <c r="B657" s="64">
        <f>B636+B640+B655</f>
        <v>25757195</v>
      </c>
      <c r="C657" s="64">
        <f>C636+C640+C655</f>
        <v>25757195</v>
      </c>
      <c r="D657" s="16">
        <f>D636+D640+D655</f>
        <v>26264920</v>
      </c>
      <c r="E657" s="17">
        <f t="shared" si="25"/>
        <v>101.97119678598543</v>
      </c>
    </row>
    <row r="658" spans="1:5" x14ac:dyDescent="0.2">
      <c r="A658" s="18"/>
      <c r="B658" s="63"/>
      <c r="C658" s="7"/>
      <c r="D658" s="7"/>
      <c r="E658" s="7"/>
    </row>
    <row r="659" spans="1:5" x14ac:dyDescent="0.2">
      <c r="A659" s="68" t="s">
        <v>113</v>
      </c>
      <c r="B659" s="69"/>
      <c r="C659" s="69"/>
      <c r="D659" s="69"/>
      <c r="E659" s="70"/>
    </row>
    <row r="660" spans="1:5" x14ac:dyDescent="0.2">
      <c r="A660" s="59"/>
      <c r="B660" s="60"/>
      <c r="C660" s="7"/>
      <c r="D660" s="7"/>
      <c r="E660" s="7"/>
    </row>
    <row r="661" spans="1:5" x14ac:dyDescent="0.2">
      <c r="A661" s="7" t="s">
        <v>114</v>
      </c>
      <c r="B661" s="7">
        <v>47723676</v>
      </c>
      <c r="C661" s="7">
        <v>47723676</v>
      </c>
      <c r="D661" s="7">
        <v>44870280</v>
      </c>
      <c r="E661" s="13">
        <f t="shared" ref="E661:E679" si="26">D661/C661*100</f>
        <v>94.02100542296867</v>
      </c>
    </row>
    <row r="662" spans="1:5" x14ac:dyDescent="0.2">
      <c r="A662" s="7" t="s">
        <v>87</v>
      </c>
      <c r="B662" s="7"/>
      <c r="C662" s="7"/>
      <c r="D662" s="7">
        <v>1330828</v>
      </c>
      <c r="E662" s="13"/>
    </row>
    <row r="663" spans="1:5" x14ac:dyDescent="0.2">
      <c r="A663" s="7" t="s">
        <v>50</v>
      </c>
      <c r="B663" s="7">
        <v>25000</v>
      </c>
      <c r="C663" s="7">
        <v>25000</v>
      </c>
      <c r="D663" s="7">
        <v>73850</v>
      </c>
      <c r="E663" s="13">
        <f t="shared" si="26"/>
        <v>295.40000000000003</v>
      </c>
    </row>
    <row r="664" spans="1:5" x14ac:dyDescent="0.2">
      <c r="A664" s="7" t="s">
        <v>56</v>
      </c>
      <c r="B664" s="7">
        <v>117286</v>
      </c>
      <c r="C664" s="7">
        <v>117286</v>
      </c>
      <c r="D664" s="7">
        <v>117286</v>
      </c>
      <c r="E664" s="13">
        <f t="shared" si="26"/>
        <v>100</v>
      </c>
    </row>
    <row r="665" spans="1:5" x14ac:dyDescent="0.2">
      <c r="A665" s="7" t="s">
        <v>34</v>
      </c>
      <c r="B665" s="7">
        <v>400000</v>
      </c>
      <c r="C665" s="7">
        <v>400000</v>
      </c>
      <c r="D665" s="7">
        <v>743021</v>
      </c>
      <c r="E665" s="13">
        <f t="shared" si="26"/>
        <v>185.75524999999999</v>
      </c>
    </row>
    <row r="666" spans="1:5" x14ac:dyDescent="0.2">
      <c r="A666" s="7" t="s">
        <v>16</v>
      </c>
      <c r="B666" s="7">
        <v>700000</v>
      </c>
      <c r="C666" s="7">
        <v>700000</v>
      </c>
      <c r="D666" s="7">
        <v>737761</v>
      </c>
      <c r="E666" s="13">
        <f t="shared" si="26"/>
        <v>105.39442857142858</v>
      </c>
    </row>
    <row r="667" spans="1:5" x14ac:dyDescent="0.2">
      <c r="A667" s="7" t="s">
        <v>88</v>
      </c>
      <c r="B667" s="7"/>
      <c r="C667" s="7">
        <v>584640</v>
      </c>
      <c r="D667" s="7">
        <v>584640</v>
      </c>
      <c r="E667" s="13">
        <f t="shared" si="26"/>
        <v>100</v>
      </c>
    </row>
    <row r="668" spans="1:5" x14ac:dyDescent="0.2">
      <c r="A668" s="21" t="s">
        <v>17</v>
      </c>
      <c r="B668" s="16">
        <f>SUM(B661:B666)</f>
        <v>48965962</v>
      </c>
      <c r="C668" s="16">
        <f>SUM(C661:C667)</f>
        <v>49550602</v>
      </c>
      <c r="D668" s="16">
        <f>SUM(D661:D667)</f>
        <v>48457666</v>
      </c>
      <c r="E668" s="17">
        <f t="shared" si="26"/>
        <v>97.79430328616391</v>
      </c>
    </row>
    <row r="669" spans="1:5" x14ac:dyDescent="0.2">
      <c r="A669" s="7"/>
      <c r="B669" s="7"/>
      <c r="C669" s="7"/>
      <c r="D669" s="7"/>
      <c r="E669" s="13"/>
    </row>
    <row r="670" spans="1:5" x14ac:dyDescent="0.2">
      <c r="A670" s="7" t="s">
        <v>18</v>
      </c>
      <c r="B670" s="7">
        <v>9529838</v>
      </c>
      <c r="C670" s="7">
        <f>9529838+102312</f>
        <v>9632150</v>
      </c>
      <c r="D670" s="7">
        <v>8874729</v>
      </c>
      <c r="E670" s="13">
        <f t="shared" si="26"/>
        <v>92.136532342208127</v>
      </c>
    </row>
    <row r="671" spans="1:5" x14ac:dyDescent="0.2">
      <c r="A671" s="7" t="s">
        <v>115</v>
      </c>
      <c r="B671" s="7"/>
      <c r="C671" s="7"/>
      <c r="D671" s="7">
        <v>305374</v>
      </c>
      <c r="E671" s="13"/>
    </row>
    <row r="672" spans="1:5" x14ac:dyDescent="0.2">
      <c r="A672" s="21" t="s">
        <v>19</v>
      </c>
      <c r="B672" s="16">
        <f>SUM(B670:B670)</f>
        <v>9529838</v>
      </c>
      <c r="C672" s="16">
        <f>SUM(C670:C670)</f>
        <v>9632150</v>
      </c>
      <c r="D672" s="16">
        <f>SUM(D670:D671)</f>
        <v>9180103</v>
      </c>
      <c r="E672" s="17">
        <f t="shared" si="26"/>
        <v>95.306894099448201</v>
      </c>
    </row>
    <row r="673" spans="1:5" x14ac:dyDescent="0.2">
      <c r="A673" s="7"/>
      <c r="B673" s="7"/>
      <c r="C673" s="7"/>
      <c r="D673" s="7"/>
      <c r="E673" s="13"/>
    </row>
    <row r="674" spans="1:5" x14ac:dyDescent="0.2">
      <c r="A674" s="7" t="s">
        <v>20</v>
      </c>
      <c r="B674" s="7">
        <v>390000</v>
      </c>
      <c r="C674" s="7">
        <v>390000</v>
      </c>
      <c r="D674" s="7">
        <v>308406</v>
      </c>
      <c r="E674" s="13">
        <f t="shared" si="26"/>
        <v>79.078461538461539</v>
      </c>
    </row>
    <row r="675" spans="1:5" x14ac:dyDescent="0.2">
      <c r="A675" s="12" t="s">
        <v>28</v>
      </c>
      <c r="B675" s="7">
        <v>2456000</v>
      </c>
      <c r="C675" s="7">
        <v>2456000</v>
      </c>
      <c r="D675" s="7">
        <v>853675</v>
      </c>
      <c r="E675" s="13">
        <f t="shared" si="26"/>
        <v>34.758754071661237</v>
      </c>
    </row>
    <row r="676" spans="1:5" x14ac:dyDescent="0.2">
      <c r="A676" s="12" t="s">
        <v>11</v>
      </c>
      <c r="B676" s="7">
        <f>(B674)*0.27</f>
        <v>105300</v>
      </c>
      <c r="C676" s="7">
        <f>(C674)*0.27</f>
        <v>105300</v>
      </c>
      <c r="D676" s="7">
        <v>62386</v>
      </c>
      <c r="E676" s="13">
        <f t="shared" si="26"/>
        <v>59.245963912630586</v>
      </c>
    </row>
    <row r="677" spans="1:5" x14ac:dyDescent="0.2">
      <c r="A677" s="15" t="s">
        <v>12</v>
      </c>
      <c r="B677" s="16">
        <f>SUM(B674:B676)</f>
        <v>2951300</v>
      </c>
      <c r="C677" s="16">
        <f>SUM(C674:C676)</f>
        <v>2951300</v>
      </c>
      <c r="D677" s="16">
        <f>SUM(D674:D676)</f>
        <v>1224467</v>
      </c>
      <c r="E677" s="17">
        <f t="shared" si="26"/>
        <v>41.489072612069258</v>
      </c>
    </row>
    <row r="678" spans="1:5" x14ac:dyDescent="0.2">
      <c r="A678" s="11"/>
      <c r="B678" s="10"/>
      <c r="C678" s="10"/>
      <c r="D678" s="7"/>
      <c r="E678" s="17"/>
    </row>
    <row r="679" spans="1:5" x14ac:dyDescent="0.2">
      <c r="A679" s="18" t="s">
        <v>13</v>
      </c>
      <c r="B679" s="19">
        <f>B668+B672+B677</f>
        <v>61447100</v>
      </c>
      <c r="C679" s="19">
        <f>C668+C672+C677</f>
        <v>62134052</v>
      </c>
      <c r="D679" s="16">
        <f>D668+D672+D677</f>
        <v>58862236</v>
      </c>
      <c r="E679" s="17">
        <f t="shared" si="26"/>
        <v>94.734262623013862</v>
      </c>
    </row>
    <row r="680" spans="1:5" x14ac:dyDescent="0.2">
      <c r="A680" s="18"/>
      <c r="B680" s="19"/>
      <c r="C680" s="7"/>
      <c r="D680" s="7"/>
      <c r="E680" s="7"/>
    </row>
    <row r="681" spans="1:5" x14ac:dyDescent="0.2">
      <c r="A681" s="68" t="s">
        <v>116</v>
      </c>
      <c r="B681" s="69"/>
      <c r="C681" s="69"/>
      <c r="D681" s="69"/>
      <c r="E681" s="70"/>
    </row>
    <row r="682" spans="1:5" x14ac:dyDescent="0.2">
      <c r="A682" s="61"/>
      <c r="B682" s="61"/>
      <c r="C682" s="7"/>
      <c r="D682" s="7"/>
      <c r="E682" s="7"/>
    </row>
    <row r="683" spans="1:5" x14ac:dyDescent="0.2">
      <c r="A683" s="7" t="s">
        <v>101</v>
      </c>
      <c r="B683" s="7">
        <v>3666600</v>
      </c>
      <c r="C683" s="7">
        <v>3666600</v>
      </c>
      <c r="D683" s="7">
        <v>3380454</v>
      </c>
      <c r="E683" s="13">
        <f t="shared" ref="E683:E712" si="27">D683/C683*100</f>
        <v>92.19587628865979</v>
      </c>
    </row>
    <row r="684" spans="1:5" x14ac:dyDescent="0.2">
      <c r="A684" s="7" t="s">
        <v>87</v>
      </c>
      <c r="B684" s="7"/>
      <c r="C684" s="7"/>
      <c r="D684" s="7">
        <v>142858</v>
      </c>
      <c r="E684" s="13"/>
    </row>
    <row r="685" spans="1:5" x14ac:dyDescent="0.2">
      <c r="A685" s="7" t="s">
        <v>56</v>
      </c>
      <c r="B685" s="7">
        <v>18044</v>
      </c>
      <c r="C685" s="7">
        <v>18044</v>
      </c>
      <c r="D685" s="7">
        <v>18044</v>
      </c>
      <c r="E685" s="13">
        <f t="shared" si="27"/>
        <v>100</v>
      </c>
    </row>
    <row r="686" spans="1:5" x14ac:dyDescent="0.2">
      <c r="A686" s="7" t="s">
        <v>34</v>
      </c>
      <c r="B686" s="7">
        <v>50000</v>
      </c>
      <c r="C686" s="7">
        <f>50000+126700</f>
        <v>176700</v>
      </c>
      <c r="D686" s="7">
        <v>247225</v>
      </c>
      <c r="E686" s="13">
        <f t="shared" si="27"/>
        <v>139.91228070175438</v>
      </c>
    </row>
    <row r="687" spans="1:5" x14ac:dyDescent="0.2">
      <c r="A687" s="21" t="s">
        <v>17</v>
      </c>
      <c r="B687" s="16">
        <f>SUM(B683:B686)</f>
        <v>3734644</v>
      </c>
      <c r="C687" s="16">
        <f>SUM(C683:C686)</f>
        <v>3861344</v>
      </c>
      <c r="D687" s="16">
        <f>SUM(D683:D686)</f>
        <v>3788581</v>
      </c>
      <c r="E687" s="17">
        <f t="shared" si="27"/>
        <v>98.115604307722904</v>
      </c>
    </row>
    <row r="688" spans="1:5" x14ac:dyDescent="0.2">
      <c r="A688" s="7"/>
      <c r="B688" s="7"/>
      <c r="C688" s="7"/>
      <c r="D688" s="7"/>
      <c r="E688" s="13"/>
    </row>
    <row r="689" spans="1:5" x14ac:dyDescent="0.2">
      <c r="A689" s="7" t="s">
        <v>18</v>
      </c>
      <c r="B689" s="7">
        <v>728256</v>
      </c>
      <c r="C689" s="7">
        <f>728256+24340</f>
        <v>752596</v>
      </c>
      <c r="D689" s="7">
        <v>705145</v>
      </c>
      <c r="E689" s="13">
        <f t="shared" si="27"/>
        <v>93.695023624893039</v>
      </c>
    </row>
    <row r="690" spans="1:5" x14ac:dyDescent="0.2">
      <c r="A690" s="7" t="s">
        <v>39</v>
      </c>
      <c r="B690" s="7">
        <v>5000</v>
      </c>
      <c r="C690" s="7">
        <v>5000</v>
      </c>
      <c r="D690" s="7">
        <v>0</v>
      </c>
      <c r="E690" s="13">
        <f t="shared" si="27"/>
        <v>0</v>
      </c>
    </row>
    <row r="691" spans="1:5" x14ac:dyDescent="0.2">
      <c r="A691" s="21" t="s">
        <v>19</v>
      </c>
      <c r="B691" s="16">
        <f>SUM(B689:B690)</f>
        <v>733256</v>
      </c>
      <c r="C691" s="16">
        <f>SUM(C689:C690)</f>
        <v>757596</v>
      </c>
      <c r="D691" s="16">
        <f>SUM(D689:D690)</f>
        <v>705145</v>
      </c>
      <c r="E691" s="17">
        <f t="shared" si="27"/>
        <v>93.076652991832049</v>
      </c>
    </row>
    <row r="692" spans="1:5" x14ac:dyDescent="0.2">
      <c r="A692" s="7"/>
      <c r="B692" s="7"/>
      <c r="C692" s="7"/>
      <c r="D692" s="7"/>
      <c r="E692" s="13"/>
    </row>
    <row r="693" spans="1:5" x14ac:dyDescent="0.2">
      <c r="A693" s="7" t="s">
        <v>20</v>
      </c>
      <c r="B693" s="7">
        <v>850000</v>
      </c>
      <c r="C693" s="7">
        <f>850000+103000</f>
        <v>953000</v>
      </c>
      <c r="D693" s="7">
        <v>824690</v>
      </c>
      <c r="E693" s="13">
        <f t="shared" si="27"/>
        <v>86.53620146904511</v>
      </c>
    </row>
    <row r="694" spans="1:5" x14ac:dyDescent="0.2">
      <c r="A694" s="7" t="s">
        <v>21</v>
      </c>
      <c r="B694" s="7">
        <v>80000</v>
      </c>
      <c r="C694" s="7">
        <v>80000</v>
      </c>
      <c r="D694" s="7">
        <v>123979</v>
      </c>
      <c r="E694" s="13">
        <f t="shared" si="27"/>
        <v>154.97375</v>
      </c>
    </row>
    <row r="695" spans="1:5" x14ac:dyDescent="0.2">
      <c r="A695" s="14" t="s">
        <v>23</v>
      </c>
      <c r="B695" s="7">
        <v>50000</v>
      </c>
      <c r="C695" s="7">
        <v>50000</v>
      </c>
      <c r="D695" s="7">
        <v>64296</v>
      </c>
      <c r="E695" s="13">
        <f t="shared" si="27"/>
        <v>128.59199999999998</v>
      </c>
    </row>
    <row r="696" spans="1:5" x14ac:dyDescent="0.2">
      <c r="A696" s="12" t="s">
        <v>9</v>
      </c>
      <c r="B696" s="7">
        <f>SUM(B697:B699)</f>
        <v>423000</v>
      </c>
      <c r="C696" s="7">
        <f>SUM(C697:C699)</f>
        <v>423000</v>
      </c>
      <c r="D696" s="7">
        <v>436362</v>
      </c>
      <c r="E696" s="13">
        <f t="shared" si="27"/>
        <v>103.15886524822695</v>
      </c>
    </row>
    <row r="697" spans="1:5" x14ac:dyDescent="0.2">
      <c r="A697" s="39" t="s">
        <v>24</v>
      </c>
      <c r="B697" s="40">
        <v>293000</v>
      </c>
      <c r="C697" s="40">
        <v>293000</v>
      </c>
      <c r="D697" s="7">
        <v>331040</v>
      </c>
      <c r="E697" s="13">
        <f t="shared" si="27"/>
        <v>112.98293515358363</v>
      </c>
    </row>
    <row r="698" spans="1:5" x14ac:dyDescent="0.2">
      <c r="A698" s="39" t="s">
        <v>25</v>
      </c>
      <c r="B698" s="40">
        <v>118000</v>
      </c>
      <c r="C698" s="40">
        <v>118000</v>
      </c>
      <c r="D698" s="7">
        <v>94201</v>
      </c>
      <c r="E698" s="13">
        <f t="shared" si="27"/>
        <v>79.83135593220338</v>
      </c>
    </row>
    <row r="699" spans="1:5" x14ac:dyDescent="0.2">
      <c r="A699" s="39" t="s">
        <v>26</v>
      </c>
      <c r="B699" s="40">
        <v>12000</v>
      </c>
      <c r="C699" s="40">
        <v>12000</v>
      </c>
      <c r="D699" s="7">
        <f>D696-D697-D698</f>
        <v>11121</v>
      </c>
      <c r="E699" s="13">
        <f t="shared" si="27"/>
        <v>92.674999999999997</v>
      </c>
    </row>
    <row r="700" spans="1:5" x14ac:dyDescent="0.2">
      <c r="A700" s="12" t="s">
        <v>27</v>
      </c>
      <c r="B700" s="7">
        <v>50000</v>
      </c>
      <c r="C700" s="7">
        <v>50000</v>
      </c>
      <c r="D700" s="7">
        <v>50000</v>
      </c>
      <c r="E700" s="13">
        <f t="shared" si="27"/>
        <v>100</v>
      </c>
    </row>
    <row r="701" spans="1:5" x14ac:dyDescent="0.2">
      <c r="A701" s="12" t="s">
        <v>28</v>
      </c>
      <c r="B701" s="7">
        <v>100000</v>
      </c>
      <c r="C701" s="7">
        <v>100000</v>
      </c>
      <c r="D701" s="7">
        <v>74306</v>
      </c>
      <c r="E701" s="13">
        <f t="shared" si="27"/>
        <v>74.306000000000012</v>
      </c>
    </row>
    <row r="702" spans="1:5" x14ac:dyDescent="0.2">
      <c r="A702" s="12" t="s">
        <v>29</v>
      </c>
      <c r="B702" s="7">
        <v>45000</v>
      </c>
      <c r="C702" s="7">
        <v>45000</v>
      </c>
      <c r="D702" s="7">
        <v>72116</v>
      </c>
      <c r="E702" s="13">
        <f t="shared" si="27"/>
        <v>160.25777777777779</v>
      </c>
    </row>
    <row r="703" spans="1:5" x14ac:dyDescent="0.2">
      <c r="A703" s="12" t="s">
        <v>11</v>
      </c>
      <c r="B703" s="7">
        <f>(B693+B694+B695+B696+B700+B701+B702)*0.27</f>
        <v>431460</v>
      </c>
      <c r="C703" s="7">
        <f>(C693+C694+C695+C696+C700+C701+C702)*0.27-103000*0.27</f>
        <v>431460.00000000006</v>
      </c>
      <c r="D703" s="7">
        <v>269636</v>
      </c>
      <c r="E703" s="13">
        <f t="shared" si="27"/>
        <v>62.493858063319884</v>
      </c>
    </row>
    <row r="704" spans="1:5" x14ac:dyDescent="0.2">
      <c r="A704" s="15" t="s">
        <v>12</v>
      </c>
      <c r="B704" s="16">
        <f>SUM(B693:B703)-B697-B698-B699</f>
        <v>2029460</v>
      </c>
      <c r="C704" s="16">
        <f>SUM(C693:C703)-C697-C698-C699</f>
        <v>2132460</v>
      </c>
      <c r="D704" s="16">
        <f>SUM(D693:D703)-D696</f>
        <v>1915385</v>
      </c>
      <c r="E704" s="17">
        <f t="shared" si="27"/>
        <v>89.820442118492267</v>
      </c>
    </row>
    <row r="705" spans="1:5" x14ac:dyDescent="0.2">
      <c r="A705" s="7"/>
      <c r="B705" s="7"/>
      <c r="C705" s="7"/>
      <c r="D705" s="7"/>
      <c r="E705" s="17"/>
    </row>
    <row r="706" spans="1:5" x14ac:dyDescent="0.2">
      <c r="A706" s="18" t="s">
        <v>13</v>
      </c>
      <c r="B706" s="16">
        <f>B687+B691+B704</f>
        <v>6497360</v>
      </c>
      <c r="C706" s="16">
        <f>C687+C691+C704</f>
        <v>6751400</v>
      </c>
      <c r="D706" s="16">
        <f>D704</f>
        <v>1915385</v>
      </c>
      <c r="E706" s="17">
        <f t="shared" si="27"/>
        <v>28.37018988654205</v>
      </c>
    </row>
    <row r="707" spans="1:5" x14ac:dyDescent="0.2">
      <c r="A707" s="7"/>
      <c r="B707" s="7"/>
      <c r="C707" s="7"/>
      <c r="D707" s="7"/>
      <c r="E707" s="17"/>
    </row>
    <row r="708" spans="1:5" x14ac:dyDescent="0.2">
      <c r="A708" s="7"/>
      <c r="B708" s="7"/>
      <c r="C708" s="7"/>
      <c r="D708" s="7"/>
      <c r="E708" s="17"/>
    </row>
    <row r="709" spans="1:5" x14ac:dyDescent="0.2">
      <c r="A709" s="21" t="s">
        <v>17</v>
      </c>
      <c r="B709" s="16">
        <f>B687+B668+B636+B608</f>
        <v>69356773</v>
      </c>
      <c r="C709" s="16">
        <f>C608+C636+C668+C687</f>
        <v>74595058</v>
      </c>
      <c r="D709" s="16">
        <f>D608+D636+D668+D687</f>
        <v>72669535</v>
      </c>
      <c r="E709" s="17">
        <f t="shared" si="27"/>
        <v>97.418698970647625</v>
      </c>
    </row>
    <row r="710" spans="1:5" x14ac:dyDescent="0.2">
      <c r="A710" s="21" t="s">
        <v>19</v>
      </c>
      <c r="B710" s="16">
        <f>B691+B672+B640+B612</f>
        <v>13428337</v>
      </c>
      <c r="C710" s="16">
        <f>C612+C640+C672+C691</f>
        <v>14027959</v>
      </c>
      <c r="D710" s="16">
        <f>D612+D640+D672+D691</f>
        <v>13341074</v>
      </c>
      <c r="E710" s="17">
        <f t="shared" si="27"/>
        <v>95.10345731691973</v>
      </c>
    </row>
    <row r="711" spans="1:5" x14ac:dyDescent="0.2">
      <c r="A711" s="15" t="s">
        <v>65</v>
      </c>
      <c r="B711" s="16">
        <f>B704+B677+B655+B626</f>
        <v>68724690</v>
      </c>
      <c r="C711" s="16">
        <f>C704+C677+C655+C626</f>
        <v>68847690</v>
      </c>
      <c r="D711" s="16">
        <f>D704+D677+D655+D626+D615</f>
        <v>61488389</v>
      </c>
      <c r="E711" s="17">
        <f t="shared" si="27"/>
        <v>89.310751021566588</v>
      </c>
    </row>
    <row r="712" spans="1:5" ht="33.75" x14ac:dyDescent="0.2">
      <c r="A712" s="56" t="s">
        <v>117</v>
      </c>
      <c r="B712" s="16">
        <f>B709+B710+B711</f>
        <v>151509800</v>
      </c>
      <c r="C712" s="16">
        <f>C709+C710+C711</f>
        <v>157470707</v>
      </c>
      <c r="D712" s="16">
        <f>D709+D710+D711</f>
        <v>147498998</v>
      </c>
      <c r="E712" s="17">
        <f t="shared" si="27"/>
        <v>93.667578440477811</v>
      </c>
    </row>
    <row r="713" spans="1:5" x14ac:dyDescent="0.2">
      <c r="A713" s="7"/>
      <c r="B713" s="7"/>
      <c r="C713" s="7"/>
      <c r="D713" s="7"/>
      <c r="E713" s="7"/>
    </row>
    <row r="714" spans="1:5" x14ac:dyDescent="0.2">
      <c r="A714" s="7"/>
      <c r="B714" s="7"/>
      <c r="C714" s="7"/>
      <c r="D714" s="7"/>
      <c r="E714" s="7"/>
    </row>
    <row r="715" spans="1:5" x14ac:dyDescent="0.2">
      <c r="A715" s="7"/>
      <c r="B715" s="7"/>
      <c r="C715" s="7"/>
      <c r="D715" s="7"/>
      <c r="E715" s="7"/>
    </row>
    <row r="716" spans="1:5" x14ac:dyDescent="0.2">
      <c r="A716" s="7"/>
      <c r="B716" s="7"/>
      <c r="C716" s="7"/>
      <c r="D716" s="7"/>
      <c r="E716" s="7"/>
    </row>
    <row r="717" spans="1:5" x14ac:dyDescent="0.2">
      <c r="A717" s="7"/>
      <c r="B717" s="7"/>
      <c r="C717" s="7"/>
      <c r="D717" s="7"/>
      <c r="E717" s="7"/>
    </row>
    <row r="718" spans="1:5" x14ac:dyDescent="0.2">
      <c r="A718" s="7"/>
      <c r="B718" s="7"/>
      <c r="C718" s="7"/>
      <c r="D718" s="7"/>
      <c r="E718" s="7"/>
    </row>
    <row r="719" spans="1:5" x14ac:dyDescent="0.2">
      <c r="A719" s="7"/>
      <c r="B719" s="7"/>
      <c r="C719" s="7"/>
      <c r="D719" s="7"/>
      <c r="E719" s="7"/>
    </row>
    <row r="720" spans="1:5" x14ac:dyDescent="0.2">
      <c r="A720" s="7"/>
      <c r="B720" s="7"/>
      <c r="C720" s="7"/>
      <c r="D720" s="7"/>
      <c r="E720" s="7"/>
    </row>
    <row r="721" spans="1:5" x14ac:dyDescent="0.2">
      <c r="A721" s="7"/>
      <c r="B721" s="7"/>
      <c r="C721" s="7"/>
      <c r="D721" s="7"/>
      <c r="E721" s="7"/>
    </row>
    <row r="722" spans="1:5" x14ac:dyDescent="0.2">
      <c r="A722" s="7"/>
      <c r="B722" s="7"/>
      <c r="C722" s="7"/>
      <c r="D722" s="7"/>
      <c r="E722" s="7"/>
    </row>
    <row r="723" spans="1:5" x14ac:dyDescent="0.2">
      <c r="A723" s="7"/>
      <c r="B723" s="7"/>
      <c r="C723" s="7"/>
      <c r="D723" s="7"/>
      <c r="E723" s="7"/>
    </row>
    <row r="724" spans="1:5" x14ac:dyDescent="0.2">
      <c r="A724" s="7"/>
      <c r="B724" s="7"/>
      <c r="C724" s="7"/>
      <c r="D724" s="7"/>
      <c r="E724" s="7"/>
    </row>
    <row r="725" spans="1:5" x14ac:dyDescent="0.2">
      <c r="A725" s="7"/>
      <c r="B725" s="7"/>
      <c r="C725" s="7"/>
      <c r="D725" s="7"/>
      <c r="E725" s="7"/>
    </row>
    <row r="726" spans="1:5" x14ac:dyDescent="0.2">
      <c r="A726" s="7"/>
      <c r="B726" s="7"/>
      <c r="C726" s="7"/>
      <c r="D726" s="7"/>
      <c r="E726" s="7"/>
    </row>
    <row r="727" spans="1:5" x14ac:dyDescent="0.2">
      <c r="A727" s="7"/>
      <c r="B727" s="7"/>
      <c r="C727" s="7"/>
      <c r="D727" s="7"/>
      <c r="E727" s="7"/>
    </row>
    <row r="728" spans="1:5" x14ac:dyDescent="0.2">
      <c r="A728" s="7"/>
      <c r="B728" s="7"/>
      <c r="C728" s="7"/>
      <c r="D728" s="7"/>
      <c r="E728" s="7"/>
    </row>
    <row r="729" spans="1:5" x14ac:dyDescent="0.2">
      <c r="A729" s="7"/>
      <c r="B729" s="7"/>
      <c r="C729" s="7"/>
      <c r="D729" s="7"/>
      <c r="E729" s="7"/>
    </row>
    <row r="730" spans="1:5" x14ac:dyDescent="0.2">
      <c r="A730" s="7"/>
      <c r="B730" s="7"/>
      <c r="C730" s="7"/>
      <c r="D730" s="7"/>
      <c r="E730" s="7"/>
    </row>
    <row r="731" spans="1:5" x14ac:dyDescent="0.2">
      <c r="A731" s="7"/>
      <c r="B731" s="7"/>
      <c r="C731" s="7"/>
      <c r="D731" s="7"/>
      <c r="E731" s="7"/>
    </row>
    <row r="732" spans="1:5" x14ac:dyDescent="0.2">
      <c r="A732" s="7"/>
      <c r="B732" s="7"/>
      <c r="C732" s="7"/>
      <c r="D732" s="7"/>
      <c r="E732" s="7"/>
    </row>
    <row r="733" spans="1:5" x14ac:dyDescent="0.2">
      <c r="A733" s="7"/>
      <c r="B733" s="7"/>
      <c r="C733" s="7"/>
      <c r="D733" s="7"/>
      <c r="E733" s="7"/>
    </row>
    <row r="734" spans="1:5" x14ac:dyDescent="0.2">
      <c r="A734" s="7"/>
      <c r="B734" s="7"/>
      <c r="C734" s="7"/>
      <c r="D734" s="7"/>
      <c r="E734" s="7"/>
    </row>
    <row r="735" spans="1:5" x14ac:dyDescent="0.2">
      <c r="A735" s="7"/>
      <c r="B735" s="7"/>
      <c r="C735" s="7"/>
      <c r="D735" s="7"/>
      <c r="E735" s="7"/>
    </row>
    <row r="736" spans="1:5" x14ac:dyDescent="0.2">
      <c r="A736" s="7"/>
      <c r="B736" s="7"/>
      <c r="C736" s="7"/>
      <c r="D736" s="7"/>
      <c r="E736" s="7"/>
    </row>
    <row r="737" spans="1:5" x14ac:dyDescent="0.2">
      <c r="A737" s="7"/>
      <c r="B737" s="7"/>
      <c r="C737" s="7"/>
      <c r="D737" s="7"/>
      <c r="E737" s="7"/>
    </row>
    <row r="738" spans="1:5" x14ac:dyDescent="0.2">
      <c r="A738" s="7"/>
      <c r="B738" s="7"/>
      <c r="C738" s="7"/>
      <c r="D738" s="7"/>
      <c r="E738" s="7"/>
    </row>
    <row r="739" spans="1:5" x14ac:dyDescent="0.2">
      <c r="A739" s="7"/>
      <c r="B739" s="7"/>
      <c r="C739" s="7"/>
      <c r="D739" s="7"/>
      <c r="E739" s="7"/>
    </row>
    <row r="740" spans="1:5" x14ac:dyDescent="0.2">
      <c r="A740" s="7"/>
      <c r="B740" s="7"/>
      <c r="C740" s="7"/>
      <c r="D740" s="7"/>
      <c r="E740" s="7"/>
    </row>
    <row r="741" spans="1:5" x14ac:dyDescent="0.2">
      <c r="A741" s="7"/>
      <c r="B741" s="7"/>
      <c r="C741" s="7"/>
      <c r="D741" s="7"/>
      <c r="E741" s="7"/>
    </row>
    <row r="742" spans="1:5" x14ac:dyDescent="0.2">
      <c r="A742" s="7"/>
      <c r="B742" s="7"/>
      <c r="C742" s="7"/>
      <c r="D742" s="7"/>
      <c r="E742" s="7"/>
    </row>
    <row r="743" spans="1:5" x14ac:dyDescent="0.2">
      <c r="A743" s="7"/>
      <c r="B743" s="7"/>
      <c r="C743" s="7"/>
      <c r="D743" s="7"/>
      <c r="E743" s="7"/>
    </row>
    <row r="744" spans="1:5" x14ac:dyDescent="0.2">
      <c r="A744" s="7"/>
      <c r="B744" s="7"/>
      <c r="C744" s="7"/>
      <c r="D744" s="7"/>
      <c r="E744" s="7"/>
    </row>
    <row r="745" spans="1:5" x14ac:dyDescent="0.2">
      <c r="A745" s="7"/>
      <c r="B745" s="7"/>
      <c r="C745" s="7"/>
      <c r="D745" s="7"/>
      <c r="E745" s="7"/>
    </row>
    <row r="746" spans="1:5" x14ac:dyDescent="0.2">
      <c r="A746" s="7"/>
      <c r="B746" s="7"/>
      <c r="C746" s="7"/>
      <c r="D746" s="7"/>
      <c r="E746" s="7"/>
    </row>
    <row r="747" spans="1:5" x14ac:dyDescent="0.2">
      <c r="A747" s="7"/>
      <c r="B747" s="7"/>
      <c r="C747" s="7"/>
      <c r="D747" s="7"/>
      <c r="E747" s="7"/>
    </row>
    <row r="748" spans="1:5" x14ac:dyDescent="0.2">
      <c r="A748" s="7"/>
      <c r="B748" s="7"/>
      <c r="C748" s="7"/>
      <c r="D748" s="7"/>
      <c r="E748" s="7"/>
    </row>
    <row r="749" spans="1:5" x14ac:dyDescent="0.2">
      <c r="A749" s="7"/>
      <c r="B749" s="7"/>
      <c r="C749" s="7"/>
      <c r="D749" s="7"/>
      <c r="E749" s="7"/>
    </row>
    <row r="750" spans="1:5" x14ac:dyDescent="0.2">
      <c r="A750" s="7"/>
      <c r="B750" s="7"/>
      <c r="C750" s="7"/>
      <c r="D750" s="7"/>
      <c r="E750" s="7"/>
    </row>
    <row r="751" spans="1:5" x14ac:dyDescent="0.2">
      <c r="A751" s="7"/>
      <c r="B751" s="7"/>
      <c r="C751" s="7"/>
      <c r="D751" s="7"/>
      <c r="E751" s="7"/>
    </row>
    <row r="752" spans="1:5" x14ac:dyDescent="0.2">
      <c r="A752" s="7"/>
      <c r="B752" s="7"/>
      <c r="C752" s="7"/>
      <c r="D752" s="7"/>
      <c r="E752" s="7"/>
    </row>
    <row r="753" spans="1:5" x14ac:dyDescent="0.2">
      <c r="A753" s="7"/>
      <c r="B753" s="7"/>
      <c r="C753" s="7"/>
      <c r="D753" s="7"/>
      <c r="E753" s="7"/>
    </row>
    <row r="754" spans="1:5" x14ac:dyDescent="0.2">
      <c r="A754" s="7"/>
      <c r="B754" s="7"/>
      <c r="C754" s="7"/>
      <c r="D754" s="7"/>
      <c r="E754" s="7"/>
    </row>
    <row r="755" spans="1:5" x14ac:dyDescent="0.2">
      <c r="A755" s="7"/>
      <c r="B755" s="7"/>
      <c r="C755" s="7"/>
      <c r="D755" s="7"/>
      <c r="E755" s="7"/>
    </row>
    <row r="756" spans="1:5" x14ac:dyDescent="0.2">
      <c r="A756" s="7"/>
      <c r="B756" s="7"/>
      <c r="C756" s="7"/>
      <c r="D756" s="7"/>
      <c r="E756" s="7"/>
    </row>
    <row r="757" spans="1:5" x14ac:dyDescent="0.2">
      <c r="A757" s="7"/>
      <c r="B757" s="7"/>
      <c r="C757" s="7"/>
      <c r="D757" s="7"/>
      <c r="E757" s="7"/>
    </row>
    <row r="758" spans="1:5" x14ac:dyDescent="0.2">
      <c r="A758" s="7"/>
      <c r="B758" s="7"/>
      <c r="C758" s="7"/>
      <c r="D758" s="7"/>
      <c r="E758" s="7"/>
    </row>
    <row r="759" spans="1:5" x14ac:dyDescent="0.2">
      <c r="A759" s="7"/>
      <c r="B759" s="7"/>
      <c r="C759" s="7"/>
      <c r="D759" s="7"/>
      <c r="E759" s="7"/>
    </row>
    <row r="760" spans="1:5" x14ac:dyDescent="0.2">
      <c r="A760" s="7"/>
      <c r="B760" s="7"/>
      <c r="C760" s="7"/>
      <c r="D760" s="7"/>
      <c r="E760" s="7"/>
    </row>
    <row r="761" spans="1:5" x14ac:dyDescent="0.2">
      <c r="A761" s="7"/>
      <c r="B761" s="7"/>
      <c r="C761" s="7"/>
      <c r="D761" s="7"/>
      <c r="E761" s="7"/>
    </row>
    <row r="762" spans="1:5" x14ac:dyDescent="0.2">
      <c r="A762" s="7"/>
      <c r="B762" s="7"/>
      <c r="C762" s="7"/>
      <c r="D762" s="7"/>
      <c r="E762" s="7"/>
    </row>
    <row r="763" spans="1:5" x14ac:dyDescent="0.2">
      <c r="A763" s="7"/>
      <c r="B763" s="7"/>
      <c r="C763" s="7"/>
      <c r="D763" s="7"/>
      <c r="E763" s="7"/>
    </row>
    <row r="764" spans="1:5" x14ac:dyDescent="0.2">
      <c r="A764" s="7"/>
      <c r="B764" s="7"/>
      <c r="C764" s="7"/>
      <c r="D764" s="7"/>
      <c r="E764" s="7"/>
    </row>
    <row r="765" spans="1:5" x14ac:dyDescent="0.2">
      <c r="A765" s="7"/>
      <c r="B765" s="7"/>
      <c r="C765" s="7"/>
      <c r="D765" s="7"/>
      <c r="E765" s="7"/>
    </row>
    <row r="766" spans="1:5" x14ac:dyDescent="0.2">
      <c r="A766" s="7"/>
      <c r="B766" s="7"/>
      <c r="C766" s="7"/>
      <c r="D766" s="7"/>
      <c r="E766" s="7"/>
    </row>
    <row r="767" spans="1:5" x14ac:dyDescent="0.2">
      <c r="A767" s="7"/>
      <c r="B767" s="7"/>
      <c r="C767" s="7"/>
      <c r="D767" s="7"/>
      <c r="E767" s="7"/>
    </row>
    <row r="768" spans="1:5" x14ac:dyDescent="0.2">
      <c r="A768" s="7"/>
      <c r="B768" s="7"/>
      <c r="C768" s="7"/>
      <c r="D768" s="7"/>
      <c r="E768" s="7"/>
    </row>
    <row r="769" spans="1:5" x14ac:dyDescent="0.2">
      <c r="A769" s="7"/>
      <c r="B769" s="7"/>
      <c r="C769" s="7"/>
      <c r="D769" s="7"/>
      <c r="E769" s="7"/>
    </row>
    <row r="770" spans="1:5" x14ac:dyDescent="0.2">
      <c r="A770" s="7"/>
      <c r="B770" s="7"/>
      <c r="C770" s="7"/>
      <c r="D770" s="7"/>
      <c r="E770" s="7"/>
    </row>
    <row r="771" spans="1:5" x14ac:dyDescent="0.2">
      <c r="A771" s="7"/>
      <c r="B771" s="7"/>
      <c r="C771" s="7"/>
      <c r="D771" s="7"/>
      <c r="E771" s="7"/>
    </row>
    <row r="772" spans="1:5" x14ac:dyDescent="0.2">
      <c r="A772" s="7"/>
      <c r="B772" s="7"/>
      <c r="C772" s="7"/>
      <c r="D772" s="7"/>
      <c r="E772" s="7"/>
    </row>
    <row r="773" spans="1:5" x14ac:dyDescent="0.2">
      <c r="A773" s="7"/>
      <c r="B773" s="7"/>
      <c r="C773" s="7"/>
      <c r="D773" s="7"/>
      <c r="E773" s="7"/>
    </row>
    <row r="774" spans="1:5" x14ac:dyDescent="0.2">
      <c r="A774" s="7"/>
      <c r="B774" s="7"/>
      <c r="C774" s="7"/>
      <c r="D774" s="7"/>
      <c r="E774" s="7"/>
    </row>
    <row r="775" spans="1:5" x14ac:dyDescent="0.2">
      <c r="A775" s="7"/>
      <c r="B775" s="7"/>
      <c r="C775" s="7"/>
      <c r="D775" s="7"/>
      <c r="E775" s="7"/>
    </row>
    <row r="776" spans="1:5" x14ac:dyDescent="0.2">
      <c r="A776" s="7"/>
      <c r="B776" s="7"/>
      <c r="C776" s="7"/>
      <c r="D776" s="7"/>
      <c r="E776" s="7"/>
    </row>
    <row r="777" spans="1:5" x14ac:dyDescent="0.2">
      <c r="A777" s="7"/>
      <c r="B777" s="7"/>
      <c r="C777" s="7"/>
      <c r="D777" s="7"/>
      <c r="E777" s="7"/>
    </row>
    <row r="778" spans="1:5" x14ac:dyDescent="0.2">
      <c r="A778" s="7"/>
      <c r="B778" s="7"/>
      <c r="C778" s="7"/>
      <c r="D778" s="7"/>
      <c r="E778" s="7"/>
    </row>
    <row r="779" spans="1:5" x14ac:dyDescent="0.2">
      <c r="A779" s="7"/>
      <c r="B779" s="7"/>
      <c r="C779" s="7"/>
      <c r="D779" s="7"/>
      <c r="E779" s="7"/>
    </row>
    <row r="780" spans="1:5" x14ac:dyDescent="0.2">
      <c r="A780" s="7"/>
      <c r="B780" s="7"/>
      <c r="C780" s="7"/>
      <c r="D780" s="7"/>
      <c r="E780" s="7"/>
    </row>
    <row r="781" spans="1:5" x14ac:dyDescent="0.2">
      <c r="A781" s="7"/>
      <c r="B781" s="7"/>
      <c r="C781" s="7"/>
      <c r="D781" s="7"/>
      <c r="E781" s="7"/>
    </row>
    <row r="782" spans="1:5" x14ac:dyDescent="0.2">
      <c r="A782" s="7"/>
      <c r="B782" s="7"/>
      <c r="C782" s="7"/>
      <c r="D782" s="7"/>
      <c r="E782" s="7"/>
    </row>
    <row r="783" spans="1:5" x14ac:dyDescent="0.2">
      <c r="A783" s="7"/>
      <c r="B783" s="7"/>
      <c r="C783" s="7"/>
      <c r="D783" s="7"/>
      <c r="E783" s="7"/>
    </row>
    <row r="784" spans="1:5" x14ac:dyDescent="0.2">
      <c r="A784" s="7"/>
      <c r="B784" s="7"/>
      <c r="C784" s="7"/>
      <c r="D784" s="7"/>
      <c r="E784" s="7"/>
    </row>
    <row r="785" spans="1:5" x14ac:dyDescent="0.2">
      <c r="A785" s="7"/>
      <c r="B785" s="7"/>
      <c r="C785" s="7"/>
      <c r="D785" s="7"/>
      <c r="E785" s="7"/>
    </row>
    <row r="786" spans="1:5" x14ac:dyDescent="0.2">
      <c r="A786" s="7"/>
      <c r="B786" s="7"/>
      <c r="C786" s="7"/>
      <c r="D786" s="7"/>
      <c r="E786" s="7"/>
    </row>
    <row r="787" spans="1:5" x14ac:dyDescent="0.2">
      <c r="A787" s="7"/>
      <c r="B787" s="7"/>
      <c r="C787" s="7"/>
      <c r="D787" s="7"/>
      <c r="E787" s="7"/>
    </row>
    <row r="788" spans="1:5" x14ac:dyDescent="0.2">
      <c r="A788" s="7"/>
      <c r="B788" s="7"/>
      <c r="C788" s="7"/>
      <c r="D788" s="7"/>
      <c r="E788" s="7"/>
    </row>
    <row r="789" spans="1:5" x14ac:dyDescent="0.2">
      <c r="A789" s="7"/>
      <c r="B789" s="7"/>
      <c r="C789" s="7"/>
      <c r="D789" s="7"/>
      <c r="E789" s="7"/>
    </row>
    <row r="790" spans="1:5" x14ac:dyDescent="0.2">
      <c r="A790" s="7"/>
      <c r="B790" s="7"/>
      <c r="C790" s="7"/>
      <c r="D790" s="7"/>
      <c r="E790" s="7"/>
    </row>
    <row r="791" spans="1:5" x14ac:dyDescent="0.2">
      <c r="A791" s="7"/>
      <c r="B791" s="7"/>
      <c r="C791" s="7"/>
      <c r="D791" s="7"/>
      <c r="E791" s="7"/>
    </row>
    <row r="792" spans="1:5" x14ac:dyDescent="0.2">
      <c r="A792" s="7"/>
      <c r="B792" s="7"/>
      <c r="C792" s="7"/>
      <c r="D792" s="7"/>
      <c r="E792" s="7"/>
    </row>
    <row r="793" spans="1:5" x14ac:dyDescent="0.2">
      <c r="A793" s="7"/>
      <c r="B793" s="7"/>
      <c r="C793" s="7"/>
      <c r="D793" s="7"/>
      <c r="E793" s="7"/>
    </row>
    <row r="794" spans="1:5" x14ac:dyDescent="0.2">
      <c r="A794" s="7"/>
      <c r="B794" s="7"/>
      <c r="C794" s="7"/>
      <c r="D794" s="7"/>
      <c r="E794" s="7"/>
    </row>
    <row r="795" spans="1:5" x14ac:dyDescent="0.2">
      <c r="A795" s="7"/>
      <c r="B795" s="7"/>
      <c r="C795" s="7"/>
      <c r="D795" s="7"/>
      <c r="E795" s="7"/>
    </row>
    <row r="796" spans="1:5" x14ac:dyDescent="0.2">
      <c r="A796" s="7"/>
      <c r="B796" s="7"/>
      <c r="C796" s="7"/>
      <c r="D796" s="7"/>
      <c r="E796" s="7"/>
    </row>
    <row r="797" spans="1:5" x14ac:dyDescent="0.2">
      <c r="A797" s="7"/>
      <c r="B797" s="7"/>
      <c r="C797" s="7"/>
      <c r="D797" s="7"/>
      <c r="E797" s="7"/>
    </row>
    <row r="798" spans="1:5" x14ac:dyDescent="0.2">
      <c r="A798" s="7"/>
      <c r="B798" s="7"/>
      <c r="C798" s="7"/>
      <c r="D798" s="7"/>
      <c r="E798" s="7"/>
    </row>
    <row r="799" spans="1:5" x14ac:dyDescent="0.2">
      <c r="A799" s="7"/>
      <c r="B799" s="7"/>
      <c r="C799" s="7"/>
      <c r="D799" s="7"/>
      <c r="E799" s="7"/>
    </row>
    <row r="800" spans="1:5" x14ac:dyDescent="0.2">
      <c r="A800" s="7"/>
      <c r="B800" s="7"/>
      <c r="C800" s="7"/>
      <c r="D800" s="7"/>
      <c r="E800" s="7"/>
    </row>
    <row r="801" spans="1:5" x14ac:dyDescent="0.2">
      <c r="A801" s="7"/>
      <c r="B801" s="7"/>
      <c r="C801" s="7"/>
      <c r="D801" s="7"/>
      <c r="E801" s="7"/>
    </row>
    <row r="802" spans="1:5" x14ac:dyDescent="0.2">
      <c r="A802" s="7"/>
      <c r="B802" s="7"/>
      <c r="C802" s="7"/>
      <c r="D802" s="7"/>
      <c r="E802" s="7"/>
    </row>
    <row r="803" spans="1:5" x14ac:dyDescent="0.2">
      <c r="A803" s="7"/>
      <c r="B803" s="7"/>
      <c r="C803" s="7"/>
      <c r="D803" s="7"/>
      <c r="E803" s="7"/>
    </row>
    <row r="804" spans="1:5" x14ac:dyDescent="0.2">
      <c r="A804" s="7"/>
      <c r="B804" s="7"/>
      <c r="C804" s="7"/>
      <c r="D804" s="7"/>
      <c r="E804" s="7"/>
    </row>
    <row r="805" spans="1:5" x14ac:dyDescent="0.2">
      <c r="A805" s="7"/>
      <c r="B805" s="7"/>
      <c r="C805" s="7"/>
      <c r="D805" s="7"/>
      <c r="E805" s="7"/>
    </row>
    <row r="806" spans="1:5" x14ac:dyDescent="0.2">
      <c r="A806" s="7"/>
      <c r="B806" s="7"/>
      <c r="C806" s="7"/>
      <c r="D806" s="7"/>
      <c r="E806" s="7"/>
    </row>
    <row r="807" spans="1:5" x14ac:dyDescent="0.2">
      <c r="A807" s="7"/>
      <c r="B807" s="7"/>
      <c r="C807" s="7"/>
      <c r="D807" s="7"/>
      <c r="E807" s="7"/>
    </row>
    <row r="808" spans="1:5" x14ac:dyDescent="0.2">
      <c r="A808" s="7"/>
      <c r="B808" s="7"/>
      <c r="C808" s="7"/>
      <c r="D808" s="7"/>
      <c r="E808" s="7"/>
    </row>
    <row r="809" spans="1:5" x14ac:dyDescent="0.2">
      <c r="A809" s="7"/>
      <c r="B809" s="7"/>
      <c r="C809" s="7"/>
      <c r="D809" s="7"/>
      <c r="E809" s="7"/>
    </row>
    <row r="810" spans="1:5" x14ac:dyDescent="0.2">
      <c r="A810" s="7"/>
      <c r="B810" s="7"/>
      <c r="C810" s="7"/>
      <c r="D810" s="7"/>
      <c r="E810" s="7"/>
    </row>
    <row r="811" spans="1:5" x14ac:dyDescent="0.2">
      <c r="A811" s="7"/>
      <c r="B811" s="7"/>
      <c r="C811" s="7"/>
      <c r="D811" s="7"/>
      <c r="E811" s="7"/>
    </row>
    <row r="812" spans="1:5" x14ac:dyDescent="0.2">
      <c r="A812" s="7"/>
      <c r="B812" s="7"/>
      <c r="C812" s="7"/>
      <c r="D812" s="7"/>
      <c r="E812" s="7"/>
    </row>
    <row r="813" spans="1:5" x14ac:dyDescent="0.2">
      <c r="A813" s="7"/>
      <c r="B813" s="7"/>
      <c r="C813" s="7"/>
      <c r="D813" s="7"/>
      <c r="E813" s="7"/>
    </row>
    <row r="814" spans="1:5" x14ac:dyDescent="0.2">
      <c r="A814" s="7"/>
      <c r="B814" s="7"/>
      <c r="C814" s="7"/>
      <c r="D814" s="7"/>
      <c r="E814" s="7"/>
    </row>
    <row r="815" spans="1:5" x14ac:dyDescent="0.2">
      <c r="A815" s="7"/>
      <c r="B815" s="7"/>
      <c r="C815" s="7"/>
      <c r="D815" s="7"/>
      <c r="E815" s="7"/>
    </row>
    <row r="816" spans="1:5" x14ac:dyDescent="0.2">
      <c r="A816" s="7"/>
      <c r="B816" s="7"/>
      <c r="C816" s="7"/>
      <c r="D816" s="7"/>
      <c r="E816" s="7"/>
    </row>
    <row r="817" spans="1:5" x14ac:dyDescent="0.2">
      <c r="A817" s="7"/>
      <c r="B817" s="7"/>
      <c r="C817" s="7"/>
      <c r="D817" s="7"/>
      <c r="E817" s="7"/>
    </row>
    <row r="818" spans="1:5" x14ac:dyDescent="0.2">
      <c r="A818" s="7"/>
      <c r="B818" s="7"/>
      <c r="C818" s="7"/>
      <c r="D818" s="7"/>
      <c r="E818" s="7"/>
    </row>
    <row r="819" spans="1:5" x14ac:dyDescent="0.2">
      <c r="A819" s="7"/>
      <c r="B819" s="7"/>
      <c r="C819" s="7"/>
      <c r="D819" s="7"/>
      <c r="E819" s="7"/>
    </row>
    <row r="820" spans="1:5" x14ac:dyDescent="0.2">
      <c r="A820" s="7"/>
      <c r="B820" s="7"/>
      <c r="C820" s="7"/>
      <c r="D820" s="7"/>
      <c r="E820" s="7"/>
    </row>
    <row r="821" spans="1:5" x14ac:dyDescent="0.2">
      <c r="A821" s="7"/>
      <c r="B821" s="7"/>
      <c r="C821" s="7"/>
      <c r="D821" s="7"/>
      <c r="E821" s="7"/>
    </row>
    <row r="822" spans="1:5" x14ac:dyDescent="0.2">
      <c r="A822" s="7"/>
      <c r="B822" s="7"/>
      <c r="C822" s="7"/>
      <c r="D822" s="7"/>
      <c r="E822" s="7"/>
    </row>
    <row r="823" spans="1:5" x14ac:dyDescent="0.2">
      <c r="A823" s="7"/>
      <c r="B823" s="7"/>
      <c r="C823" s="7"/>
      <c r="D823" s="7"/>
      <c r="E823" s="7"/>
    </row>
    <row r="824" spans="1:5" x14ac:dyDescent="0.2">
      <c r="A824" s="7"/>
      <c r="B824" s="7"/>
      <c r="C824" s="7"/>
      <c r="D824" s="7"/>
      <c r="E824" s="7"/>
    </row>
    <row r="825" spans="1:5" x14ac:dyDescent="0.2">
      <c r="A825" s="7"/>
      <c r="B825" s="7"/>
      <c r="C825" s="7"/>
      <c r="D825" s="7"/>
      <c r="E825" s="7"/>
    </row>
    <row r="826" spans="1:5" x14ac:dyDescent="0.2">
      <c r="A826" s="7"/>
      <c r="B826" s="7"/>
      <c r="C826" s="7"/>
      <c r="D826" s="7"/>
      <c r="E826" s="7"/>
    </row>
    <row r="827" spans="1:5" x14ac:dyDescent="0.2">
      <c r="A827" s="7"/>
      <c r="B827" s="7"/>
      <c r="C827" s="7"/>
      <c r="D827" s="7"/>
      <c r="E827" s="7"/>
    </row>
    <row r="828" spans="1:5" x14ac:dyDescent="0.2">
      <c r="A828" s="7"/>
      <c r="B828" s="7"/>
      <c r="C828" s="7"/>
      <c r="D828" s="7"/>
      <c r="E828" s="7"/>
    </row>
    <row r="829" spans="1:5" x14ac:dyDescent="0.2">
      <c r="A829" s="7"/>
      <c r="B829" s="7"/>
      <c r="C829" s="7"/>
      <c r="D829" s="7"/>
      <c r="E829" s="7"/>
    </row>
    <row r="830" spans="1:5" x14ac:dyDescent="0.2">
      <c r="A830" s="7"/>
      <c r="B830" s="7"/>
      <c r="C830" s="7"/>
      <c r="D830" s="7"/>
      <c r="E830" s="7"/>
    </row>
  </sheetData>
  <mergeCells count="47">
    <mergeCell ref="A19:E19"/>
    <mergeCell ref="A1:E1"/>
    <mergeCell ref="A3:E3"/>
    <mergeCell ref="A5:E5"/>
    <mergeCell ref="A7:E7"/>
    <mergeCell ref="A10:E10"/>
    <mergeCell ref="A222:E222"/>
    <mergeCell ref="A45:E45"/>
    <mergeCell ref="A60:E60"/>
    <mergeCell ref="A81:E81"/>
    <mergeCell ref="A100:E100"/>
    <mergeCell ref="A110:E110"/>
    <mergeCell ref="A112:E112"/>
    <mergeCell ref="A141:E141"/>
    <mergeCell ref="A148:E148"/>
    <mergeCell ref="A178:E178"/>
    <mergeCell ref="A180:E180"/>
    <mergeCell ref="A206:E206"/>
    <mergeCell ref="A355:E355"/>
    <mergeCell ref="A224:E224"/>
    <mergeCell ref="A226:E226"/>
    <mergeCell ref="A242:E242"/>
    <mergeCell ref="A244:E244"/>
    <mergeCell ref="A282:E282"/>
    <mergeCell ref="A293:E293"/>
    <mergeCell ref="A303:E303"/>
    <mergeCell ref="A315:E315"/>
    <mergeCell ref="A333:E333"/>
    <mergeCell ref="A351:E351"/>
    <mergeCell ref="A353:E353"/>
    <mergeCell ref="A602:E602"/>
    <mergeCell ref="A370:E370"/>
    <mergeCell ref="A404:E404"/>
    <mergeCell ref="A425:E425"/>
    <mergeCell ref="A457:E457"/>
    <mergeCell ref="A490:E490"/>
    <mergeCell ref="A498:E498"/>
    <mergeCell ref="A528:E528"/>
    <mergeCell ref="A549:E549"/>
    <mergeCell ref="A579:E579"/>
    <mergeCell ref="A591:B591"/>
    <mergeCell ref="A600:E600"/>
    <mergeCell ref="A604:E604"/>
    <mergeCell ref="A620:E620"/>
    <mergeCell ref="A630:E630"/>
    <mergeCell ref="A659:E659"/>
    <mergeCell ref="A681:E68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5_melléklet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2020-04-22T11:48:11Z</dcterms:created>
  <dcterms:modified xsi:type="dcterms:W3CDTF">2020-06-23T11:57:34Z</dcterms:modified>
</cp:coreProperties>
</file>