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25" windowHeight="8820" tabRatio="903" activeTab="3"/>
  </bookViews>
  <sheets>
    <sheet name="Címrend" sheetId="1" r:id="rId1"/>
    <sheet name="1. melléklet" sheetId="2" r:id="rId2"/>
    <sheet name="2. melléklet" sheetId="3" r:id="rId3"/>
    <sheet name="3. melléklet  " sheetId="4" r:id="rId4"/>
    <sheet name="4.melléklet" sheetId="5" r:id="rId5"/>
    <sheet name="5.melléklet" sheetId="6" r:id="rId6"/>
  </sheets>
  <definedNames>
    <definedName name="_xlnm.Print_Titles" localSheetId="2">'2. melléklet'!$2:$5</definedName>
    <definedName name="_xlnm.Print_Titles" localSheetId="3">'3. melléklet  '!$A:$A</definedName>
    <definedName name="_xlnm.Print_Area" localSheetId="3">'3. melléklet  '!$A$1:$BT$58</definedName>
  </definedNames>
  <calcPr fullCalcOnLoad="1"/>
</workbook>
</file>

<file path=xl/sharedStrings.xml><?xml version="1.0" encoding="utf-8"?>
<sst xmlns="http://schemas.openxmlformats.org/spreadsheetml/2006/main" count="561" uniqueCount="300">
  <si>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</si>
  <si>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</si>
  <si>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</si>
  <si>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</si>
  <si>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</si>
  <si>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</si>
  <si>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</si>
  <si>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</si>
  <si>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</si>
  <si>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</si>
  <si>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</si>
  <si>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</si>
  <si>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</si>
  <si>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</si>
  <si>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</si>
  <si>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</si>
  <si>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</si>
  <si>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</si>
  <si>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</si>
  <si>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</si>
  <si>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</si>
  <si>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</si>
  <si>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</si>
  <si>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</si>
  <si>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</si>
  <si>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</si>
  <si>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</si>
  <si>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</si>
  <si>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</si>
  <si>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</si>
  <si>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</si>
  <si>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</si>
  <si>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</si>
  <si>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</si>
  <si>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</si>
  <si>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</si>
  <si>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</si>
  <si>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</si>
  <si>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</si>
  <si>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</si>
  <si>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</si>
  <si>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</si>
  <si>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</si>
  <si>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</si>
  <si>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</si>
  <si>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</si>
  <si>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</si>
  <si>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</si>
  <si>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</si>
  <si>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</si>
  <si>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</si>
  <si>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</si>
  <si>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</si>
  <si>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</si>
  <si>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</si>
  <si>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</si>
  <si>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</si>
  <si>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</si>
  <si>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</si>
  <si>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</si>
  <si>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</si>
  <si>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</si>
  <si>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</si>
  <si>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</si>
  <si>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</si>
  <si>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</si>
  <si>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</si>
  <si>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</si>
  <si>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</si>
  <si>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</si>
  <si>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</si>
  <si>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</si>
  <si>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</si>
  <si>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</si>
  <si>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</si>
  <si>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</si>
  <si>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</si>
  <si>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</si>
  <si>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</si>
  <si>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</si>
  <si>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</si>
  <si>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</si>
  <si>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</si>
  <si>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</si>
  <si>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</si>
  <si>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</si>
  <si>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</si>
  <si>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</si>
  <si>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</si>
  <si>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</si>
  <si>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</si>
  <si>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</si>
  <si>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</si>
  <si>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</si>
  <si>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</si>
  <si>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</si>
  <si>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</si>
  <si>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</si>
  <si>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</si>
  <si>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</si>
  <si>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</si>
  <si>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</si>
  <si>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</si>
  <si>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</si>
  <si>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</si>
  <si>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</si>
  <si>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</si>
  <si>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</si>
  <si>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</si>
  <si>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</si>
  <si>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</si>
  <si>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</si>
  <si>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</si>
  <si>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</si>
  <si>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</si>
  <si>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</si>
  <si>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</si>
  <si>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</si>
  <si>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</si>
  <si>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</si>
  <si>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</si>
  <si>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</si>
  <si>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</si>
  <si>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</si>
  <si>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</si>
  <si>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</si>
  <si>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</si>
  <si>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</si>
  <si>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</si>
  <si>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</si>
  <si>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</si>
  <si>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</si>
  <si>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</si>
  <si>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</si>
  <si>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</si>
  <si>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</si>
  <si>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</si>
  <si>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</si>
  <si>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</si>
  <si>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Jurisics-vár Művelődési Központ és Várszínház érdekeltségnövelő pályázat saját erő</t>
  </si>
  <si>
    <t>Kőszegi Közös Önkormányzati Hivatal kisértékű tárgyi eszköz beszerzés</t>
  </si>
  <si>
    <t>Alpannónia pályázat keretén belül- Koronaőrző emlékhely fejlesztése</t>
  </si>
  <si>
    <t>Alpannónia pályázat keretén belül- Fejlesztés a Csónakázó-tónál: aqua-alpannonia® bemutatóhely és szabadtéri sportcentrum kialakítása</t>
  </si>
  <si>
    <t>Bérlakás értékesítési bevétele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</si>
  <si>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</si>
  <si>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</si>
  <si>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</si>
  <si>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</si>
  <si>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</si>
  <si>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</si>
  <si>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</si>
  <si>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</si>
  <si>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</si>
  <si>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</si>
  <si>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</si>
  <si>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</si>
  <si>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</si>
  <si>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 xml:space="preserve">          ( Ft)</t>
  </si>
  <si>
    <t>TOP-2.1.2-15 Városmajor</t>
  </si>
  <si>
    <t>TOP-2.1.3-15 Csapadékvíz</t>
  </si>
  <si>
    <t>TOP-3.1.1-15 Déli Városrész</t>
  </si>
  <si>
    <t>TOP-3.2.1-16 Önkormányzati épület energetikai</t>
  </si>
  <si>
    <t>TOP-1.2.1-16 Turisztika</t>
  </si>
  <si>
    <t>Lakástámogatás visszatérítés</t>
  </si>
  <si>
    <t>Hulladékgazdálkodási társulási beruházásokhoz átadás (2017.évi hátralék)</t>
  </si>
  <si>
    <t>VASIVÍZ Zrt. Kompenzációs számlák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</si>
  <si>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</si>
  <si>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</si>
  <si>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</si>
  <si>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</si>
  <si>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</si>
  <si>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</si>
  <si>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</si>
  <si>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</si>
  <si>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 keretében beszerzendő eszközök</t>
  </si>
  <si>
    <t>I.) Települési önkrományzatok működésének támogatása</t>
  </si>
  <si>
    <t>Eredeti előirányzat</t>
  </si>
  <si>
    <t>Változás összege</t>
  </si>
  <si>
    <t>Változás</t>
  </si>
  <si>
    <t>"</t>
  </si>
  <si>
    <t>Változás  összege ( Ft)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</si>
  <si>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</si>
  <si>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</si>
  <si>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</si>
  <si>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</si>
  <si>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</si>
  <si>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Óvoda-Velemi tagóvoda</t>
  </si>
  <si>
    <t>eredeti előirányzat</t>
  </si>
  <si>
    <t>módosított ei. 2017.09.30.</t>
  </si>
  <si>
    <t>változás</t>
  </si>
  <si>
    <t>módosított ei. 2017.06.30.</t>
  </si>
  <si>
    <t>KÖZFOGLALKOZTATOTTAK létszáma</t>
  </si>
  <si>
    <t>5.  Nemzetiségi óvodapedagógusok kiegészítő támogatása</t>
  </si>
  <si>
    <t>Kulturális pótlék</t>
  </si>
  <si>
    <t>I.) Működési célú  támogatások</t>
  </si>
  <si>
    <t xml:space="preserve">I.) Felhalmozási célú támogatások </t>
  </si>
  <si>
    <t xml:space="preserve">                - ebből felhalmozási célú EU támogatás </t>
  </si>
  <si>
    <t>1. i) Települési önkormányzatok könyvtári érdekeltségnövelő támogatása</t>
  </si>
  <si>
    <t>Hitel-, kölcsönfelvétel pénzügyi vállalkozástól</t>
  </si>
  <si>
    <t>1. Pénzbeli szociális ellátások kiegészítése</t>
  </si>
  <si>
    <t>Intézmények</t>
  </si>
  <si>
    <t>Önkormányzat</t>
  </si>
  <si>
    <t>Összesen</t>
  </si>
  <si>
    <t>Velem községi Önkormányzat Óvodához</t>
  </si>
  <si>
    <t>Peresznye községi Önkormányzat Óvodához</t>
  </si>
  <si>
    <t>Horvátzsidány községi Önkormányzat Óvodához</t>
  </si>
  <si>
    <t>Horvátzsidány községi Önkormányzat Szocihoz</t>
  </si>
  <si>
    <t>Zártkerti mintaprogram pályázati maradványa</t>
  </si>
  <si>
    <t>Birkózó terem pályázat támogatása (fejlesztési rész)</t>
  </si>
  <si>
    <t>Felhalmozási célú átvett pénzeszközök áht-n kívülről</t>
  </si>
  <si>
    <t xml:space="preserve">Jurisics Vár TOP projekt </t>
  </si>
  <si>
    <t>Városkörnyéki közösségi közlekedés fejlesztése (SUMP)</t>
  </si>
  <si>
    <t>VELOREGIO</t>
  </si>
  <si>
    <t>Alpannónia maradvány</t>
  </si>
  <si>
    <t>V.</t>
  </si>
  <si>
    <t>Hosszú lejáratú hitel (4-6 év futamidőre)</t>
  </si>
  <si>
    <t>Fejlesztési hitel</t>
  </si>
  <si>
    <t>Bírkózó terem kialakítása (pályázatból 50 000 000 + pályázati bíztosíték 3 500 000)</t>
  </si>
  <si>
    <t>Zártkerti mintaprogram pályázati pénzből</t>
  </si>
  <si>
    <t>Zártkerti mintaprogram többlet kiadásokra</t>
  </si>
  <si>
    <t>Jurisics-vár Művelődési Központ és Várszínház kisértékű tárgyi eszközök</t>
  </si>
  <si>
    <t>Chernel Kálmán Városi Könyvtár kisértékű tárgyi eszközök</t>
  </si>
  <si>
    <t>Kőszegi Szociális Gondozási Központ Horvátzsidányi IK kisértékű tárgyi eszköz beszerzés</t>
  </si>
  <si>
    <t>Központi Óvoda Felsővárosi Óvoda kisértékű tárgyi eszköz beszerzés</t>
  </si>
  <si>
    <t>Központi Óvoda Peresznyei Tagóvodája kisértékű tárgyi eszköz beszerzés</t>
  </si>
  <si>
    <t>Központi Óvoda Horvátzsidányi Tagóvodája kisértékű tárgyi eszköz beszerzés</t>
  </si>
  <si>
    <t>Kőszegi Közös Önkormányzati Hivatal (kisebb javítások)</t>
  </si>
  <si>
    <t>Jurisics-vár Művelődési Központ és Várszínház (kisebb javítások)</t>
  </si>
  <si>
    <t>Chernel Kálmán Városi Könyvtár (kisebb javítások)</t>
  </si>
  <si>
    <t>Kőszegi Városi Múzeum (kisebb javítások)</t>
  </si>
  <si>
    <t>Központi Óvoda Bölcsőde Intézményegysége  (kisebb javítások)</t>
  </si>
  <si>
    <t>Központi Óvoda Horvátzsidányi Tagóvodája (kisebb javítások)</t>
  </si>
  <si>
    <t>Újvárosi Óvoda Székhely Intézmény (kisebb javítások)</t>
  </si>
  <si>
    <t>Újvárosi Óvoda Kőszegfalvi tagóvodája  (kisebb javítások)</t>
  </si>
  <si>
    <t>Hulladékgazdálkodási társulási beruházásokhoz átadás (2018.évi hátralék)</t>
  </si>
  <si>
    <t>Kőszegfalvi SE raktárépítéshez</t>
  </si>
  <si>
    <t>Fejlesztési tartalék</t>
  </si>
  <si>
    <t>Fejlesztési hitelből</t>
  </si>
  <si>
    <t>Szociális ágazati pótlék</t>
  </si>
  <si>
    <t xml:space="preserve">               -ebből állami támogatás</t>
  </si>
  <si>
    <t xml:space="preserve">               -ebből államin felüli működési támogatás</t>
  </si>
  <si>
    <t xml:space="preserve">               -ebből államin felüli felhalmozási támogatás</t>
  </si>
  <si>
    <t>2020. évben</t>
  </si>
  <si>
    <t>2020. évi eredeti előirányzat</t>
  </si>
  <si>
    <t>2020. I. félévi módosított előirányzat</t>
  </si>
  <si>
    <t>Kőszeg Város Önkormányzatának központilag szabályozott bevételei 2020. évben</t>
  </si>
  <si>
    <t>Támogatás összege 2020. 01. 01.             ( Ft)</t>
  </si>
  <si>
    <t>Támogatás összege 2020. 06. 30.             ( Ft)</t>
  </si>
  <si>
    <t xml:space="preserve">A helyi önkormányzatok általános müködésének és ágazati feladatainak támogatása (2019. évi LXXI. törvény 2. melléklete szerint)  </t>
  </si>
  <si>
    <t>Bérkompenzáció</t>
  </si>
  <si>
    <t xml:space="preserve">A helyi önkormányzatok kiegészítő támogatásai  (2019. évi LXXI. törvény 3. melléklete szerint)  </t>
  </si>
  <si>
    <t>Működési célú  önkormányzati támogatások összesen (2019. évi LXXI. törvény 2. és 3. melléklete szerint):</t>
  </si>
  <si>
    <t>Felhalmozási célú  önkormányzati támogatások összesen (2019. évi LXXI. törvény 2. és 3. melléklete szerint):</t>
  </si>
  <si>
    <t xml:space="preserve">1. e)  Üdülőhelyi feladatok  támogatása </t>
  </si>
  <si>
    <t>Kőszeg Város Önkormányzata és intézményei bevételei és kiadásai 2020. évben</t>
  </si>
  <si>
    <t>módosított ei. 2020.06.30.</t>
  </si>
  <si>
    <t xml:space="preserve">          2020. évi felhalmozási célú bevételek </t>
  </si>
  <si>
    <t>Módosított előirányzat 2020.06.30.</t>
  </si>
  <si>
    <t>Vagyonhasznosító bevétele (ÁFA nélküli összeg) Kőszgfalvi telkek</t>
  </si>
  <si>
    <t>Városmajor KRAFT forrás</t>
  </si>
  <si>
    <t>Csapadékvíz KRAFT forrás</t>
  </si>
  <si>
    <t>Déli Városrész KRAFT forrás</t>
  </si>
  <si>
    <t>Városháza KRAFT forrás</t>
  </si>
  <si>
    <t>Bölcsőde pályázathoz biztosított önerő 2019. évi maradványa</t>
  </si>
  <si>
    <t>Hulladékgazdálkodási társulási beruházásokhoz átadás (2017-2018-2019.évi hátralék)</t>
  </si>
  <si>
    <t xml:space="preserve">TOP-2.1.2-15 Városmajor (217/2019.(XII.09.) projekthez </t>
  </si>
  <si>
    <t>Ipari Park fejlesztése</t>
  </si>
  <si>
    <t>Árpád tértől Pék utcáig tartó szakasz felújítása</t>
  </si>
  <si>
    <t>Kőszegi Városi Múzeum 2018.évi pénzmaradvány Hősök tornya pályázatra</t>
  </si>
  <si>
    <t>Könyvtár 2018.évi pénzmaradvány pályázatokra</t>
  </si>
  <si>
    <t>Bírkózó terem pályázati önrész    215/2019.(XI.28.)</t>
  </si>
  <si>
    <t>Vár 2019.évi pénzmaradvány pályázatokra</t>
  </si>
  <si>
    <t>2020. évi felhalmozási  kiadások ( Ft)</t>
  </si>
  <si>
    <t xml:space="preserve">Bölcsőde pályázat </t>
  </si>
  <si>
    <t>TOP-2.1.2-15 Városmajor (217/2019.(XII.09.)</t>
  </si>
  <si>
    <t xml:space="preserve">TOP projektek 2020.évi előkészítési költségei </t>
  </si>
  <si>
    <t>Chernel Kálmán Városi Könyvtár TOP projekt</t>
  </si>
  <si>
    <t>Kőszegi Városi Múzeum  kisértékű tárgyi eszközök</t>
  </si>
  <si>
    <t>Alpannónia pályázat keretén belül- Koronaőrző emlékhely fejlesztése önrész</t>
  </si>
  <si>
    <t>Központi Óvoda Felsővárosi Óvoda kazánjavítás</t>
  </si>
  <si>
    <t>Hulladékgazdálkodási társulási beruházásokhoz átadás (2019.évi hátralék)</t>
  </si>
  <si>
    <t>Munkaszolgálatos emlékhelyhez együttműködési megállapodás alapján 231/2019.(XII.19.)</t>
  </si>
  <si>
    <t>Renault Tarfic 1.9 DCI értékesítése  25/2020.(IV.8.) polgármesteri döntés</t>
  </si>
  <si>
    <t>"4. melléklet a 1/2020. (II.14.) önkormányzati rendelethez</t>
  </si>
  <si>
    <t xml:space="preserve"> "1. melléklet a 1/2020. (II.14.) önkormányzati rendelethez</t>
  </si>
  <si>
    <t xml:space="preserve"> "2. melléklet a 1/2020. (II.14.) önkormányzati rendelethez</t>
  </si>
  <si>
    <t xml:space="preserve"> "3. melléklet az 1/2020. (II.14) önkormányzati rendelethez</t>
  </si>
  <si>
    <t>"5. melléklet a    1/2020. (II.14.) önkormányzati rendelethez</t>
  </si>
  <si>
    <t>Bölcsőde pályázat támogatás</t>
  </si>
  <si>
    <t>Chernel Kálmán Városi Könyvtár érdekeltségnövelő támogatásból</t>
  </si>
  <si>
    <t>Gyógyító Klíma Kőszegen KEHOP</t>
  </si>
  <si>
    <t>Újvárosi Óvoda Velemi Tagóvodája kisértéká tárgyi eszköz beszerzés</t>
  </si>
  <si>
    <t>Árpád tér Pék utcáig tartó szakasz (Bajcsy utca) felújítása</t>
  </si>
  <si>
    <t>Jurisics-vár Művelődési Központ és Várszínház ITM projekt</t>
  </si>
  <si>
    <t>VELOREGIO támogatási  maradvány visszautalása</t>
  </si>
  <si>
    <t xml:space="preserve"> 1. melléklet a 23/2020. (IX. 4.) önkormányzati rendelethez</t>
  </si>
  <si>
    <t xml:space="preserve"> 2. melléklet a 24/2020. (IX. 4.) önkormányzati rendelethez</t>
  </si>
  <si>
    <t>3. melléklet a 24/2020. (IX. 4.) önkormányzati rendelethez</t>
  </si>
  <si>
    <t>4. melléklet a 24/2020. (IX. 4.) önkormányzati rendelethez</t>
  </si>
  <si>
    <t>5. melléklet a 24/2020. (IX. 4.)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</si>
</sst>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sz val="8"/>
      <name val="Times New Roman CE"/>
      <family val="0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0" fillId="5" borderId="0" applyNumberFormat="0" applyBorder="0" applyAlignment="0" applyProtection="0"/>
    <xf numFmtId="0" fontId="18" fillId="9" borderId="1" applyNumberFormat="0" applyAlignment="0" applyProtection="0"/>
    <xf numFmtId="0" fontId="32" fillId="20" borderId="1" applyNumberFormat="0" applyAlignment="0" applyProtection="0"/>
    <xf numFmtId="0" fontId="23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8" fillId="9" borderId="1" applyNumberFormat="0" applyAlignment="0" applyProtection="0"/>
    <xf numFmtId="0" fontId="0" fillId="22" borderId="7" applyNumberFormat="0" applyFont="0" applyAlignment="0" applyProtection="0"/>
    <xf numFmtId="0" fontId="26" fillId="6" borderId="0" applyNumberFormat="0" applyBorder="0" applyAlignment="0" applyProtection="0"/>
    <xf numFmtId="0" fontId="27" fillId="20" borderId="8" applyNumberFormat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2" borderId="7" applyNumberFormat="0" applyFont="0" applyAlignment="0" applyProtection="0"/>
    <xf numFmtId="0" fontId="27" fillId="20" borderId="8" applyNumberFormat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3" fontId="13" fillId="0" borderId="0" xfId="0" applyNumberFormat="1" applyFont="1" applyFill="1" applyAlignment="1">
      <alignment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5" fillId="0" borderId="0" xfId="99" applyNumberFormat="1" applyFont="1" applyFill="1" applyAlignment="1">
      <alignment horizont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1" fillId="0" borderId="0" xfId="99" applyFont="1" applyFill="1" applyBorder="1" applyAlignment="1">
      <alignment wrapText="1"/>
      <protection/>
    </xf>
    <xf numFmtId="0" fontId="11" fillId="0" borderId="0" xfId="99" applyFont="1" applyFill="1">
      <alignment/>
      <protection/>
    </xf>
    <xf numFmtId="0" fontId="33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1" fillId="23" borderId="0" xfId="99" applyFont="1" applyFill="1" applyBorder="1">
      <alignment/>
      <protection/>
    </xf>
    <xf numFmtId="3" fontId="11" fillId="23" borderId="0" xfId="99" applyNumberFormat="1" applyFont="1" applyFill="1">
      <alignment/>
      <protection/>
    </xf>
    <xf numFmtId="0" fontId="10" fillId="6" borderId="0" xfId="99" applyFont="1" applyFill="1">
      <alignment/>
      <protection/>
    </xf>
    <xf numFmtId="3" fontId="10" fillId="6" borderId="0" xfId="99" applyNumberFormat="1" applyFont="1" applyFill="1">
      <alignment/>
      <protection/>
    </xf>
    <xf numFmtId="0" fontId="13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3" fontId="13" fillId="0" borderId="18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15" xfId="0" applyFont="1" applyFill="1" applyBorder="1" applyAlignment="1">
      <alignment wrapText="1"/>
    </xf>
    <xf numFmtId="0" fontId="13" fillId="0" borderId="29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34" fillId="0" borderId="18" xfId="0" applyNumberFormat="1" applyFont="1" applyFill="1" applyBorder="1" applyAlignment="1">
      <alignment/>
    </xf>
    <xf numFmtId="3" fontId="34" fillId="0" borderId="30" xfId="0" applyNumberFormat="1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4" fillId="0" borderId="27" xfId="0" applyFont="1" applyFill="1" applyBorder="1" applyAlignment="1">
      <alignment wrapText="1"/>
    </xf>
    <xf numFmtId="0" fontId="3" fillId="0" borderId="0" xfId="102" applyFont="1" applyFill="1" applyBorder="1" applyAlignment="1">
      <alignment horizontal="left"/>
      <protection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top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34" fillId="0" borderId="32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34" fillId="0" borderId="34" xfId="0" applyNumberFormat="1" applyFont="1" applyFill="1" applyBorder="1" applyAlignment="1">
      <alignment/>
    </xf>
    <xf numFmtId="3" fontId="34" fillId="0" borderId="35" xfId="0" applyNumberFormat="1" applyFont="1" applyFill="1" applyBorder="1" applyAlignment="1">
      <alignment/>
    </xf>
    <xf numFmtId="3" fontId="34" fillId="0" borderId="33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34" fillId="0" borderId="36" xfId="0" applyNumberFormat="1" applyFont="1" applyFill="1" applyBorder="1" applyAlignment="1">
      <alignment/>
    </xf>
    <xf numFmtId="0" fontId="14" fillId="0" borderId="37" xfId="0" applyFont="1" applyFill="1" applyBorder="1" applyAlignment="1">
      <alignment/>
    </xf>
    <xf numFmtId="3" fontId="13" fillId="0" borderId="38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37" fillId="0" borderId="22" xfId="0" applyFont="1" applyFill="1" applyBorder="1" applyAlignment="1">
      <alignment/>
    </xf>
    <xf numFmtId="0" fontId="37" fillId="0" borderId="22" xfId="0" applyFont="1" applyFill="1" applyBorder="1" applyAlignment="1">
      <alignment horizontal="left" wrapText="1" indent="2"/>
    </xf>
    <xf numFmtId="0" fontId="37" fillId="0" borderId="22" xfId="0" applyFont="1" applyFill="1" applyBorder="1" applyAlignment="1">
      <alignment horizontal="left" indent="2"/>
    </xf>
    <xf numFmtId="4" fontId="14" fillId="0" borderId="15" xfId="0" applyNumberFormat="1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0" fontId="14" fillId="0" borderId="27" xfId="0" applyFont="1" applyFill="1" applyBorder="1" applyAlignment="1">
      <alignment horizontal="center" wrapText="1"/>
    </xf>
    <xf numFmtId="0" fontId="5" fillId="0" borderId="0" xfId="99" applyFont="1" applyFill="1" applyAlignment="1">
      <alignment horizontal="center"/>
      <protection/>
    </xf>
    <xf numFmtId="3" fontId="15" fillId="0" borderId="0" xfId="99" applyNumberFormat="1" applyFont="1" applyFill="1" applyAlignment="1">
      <alignment horizontal="center" vertical="center" wrapText="1"/>
      <protection/>
    </xf>
    <xf numFmtId="0" fontId="3" fillId="0" borderId="0" xfId="103" applyFont="1" applyFill="1" applyBorder="1" applyAlignment="1">
      <alignment horizontal="left"/>
      <protection/>
    </xf>
    <xf numFmtId="0" fontId="8" fillId="24" borderId="0" xfId="0" applyFont="1" applyFill="1" applyAlignment="1">
      <alignment/>
    </xf>
    <xf numFmtId="0" fontId="13" fillId="24" borderId="0" xfId="0" applyFont="1" applyFill="1" applyBorder="1" applyAlignment="1">
      <alignment horizontal="center" wrapText="1"/>
    </xf>
    <xf numFmtId="0" fontId="13" fillId="24" borderId="0" xfId="0" applyFont="1" applyFill="1" applyAlignment="1">
      <alignment wrapText="1"/>
    </xf>
    <xf numFmtId="0" fontId="13" fillId="0" borderId="3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3" fillId="0" borderId="36" xfId="0" applyFont="1" applyFill="1" applyBorder="1" applyAlignment="1">
      <alignment horizontal="left" wrapText="1"/>
    </xf>
    <xf numFmtId="0" fontId="13" fillId="24" borderId="30" xfId="0" applyFont="1" applyFill="1" applyBorder="1" applyAlignment="1">
      <alignment horizontal="center" wrapText="1"/>
    </xf>
    <xf numFmtId="0" fontId="13" fillId="24" borderId="12" xfId="0" applyFont="1" applyFill="1" applyBorder="1" applyAlignment="1">
      <alignment horizontal="center" wrapText="1"/>
    </xf>
    <xf numFmtId="0" fontId="13" fillId="25" borderId="36" xfId="0" applyFont="1" applyFill="1" applyBorder="1" applyAlignment="1">
      <alignment horizontal="left" wrapText="1"/>
    </xf>
    <xf numFmtId="0" fontId="13" fillId="25" borderId="30" xfId="0" applyFont="1" applyFill="1" applyBorder="1" applyAlignment="1">
      <alignment horizontal="center" wrapText="1"/>
    </xf>
    <xf numFmtId="0" fontId="13" fillId="25" borderId="12" xfId="0" applyFont="1" applyFill="1" applyBorder="1" applyAlignment="1">
      <alignment horizontal="center" wrapText="1"/>
    </xf>
    <xf numFmtId="0" fontId="13" fillId="26" borderId="36" xfId="0" applyFont="1" applyFill="1" applyBorder="1" applyAlignment="1">
      <alignment horizontal="left" wrapText="1"/>
    </xf>
    <xf numFmtId="0" fontId="13" fillId="26" borderId="30" xfId="0" applyFont="1" applyFill="1" applyBorder="1" applyAlignment="1">
      <alignment horizontal="center" wrapText="1"/>
    </xf>
    <xf numFmtId="0" fontId="13" fillId="26" borderId="12" xfId="0" applyFont="1" applyFill="1" applyBorder="1" applyAlignment="1">
      <alignment horizontal="center" wrapText="1"/>
    </xf>
    <xf numFmtId="0" fontId="13" fillId="8" borderId="36" xfId="0" applyFont="1" applyFill="1" applyBorder="1" applyAlignment="1">
      <alignment wrapText="1"/>
    </xf>
    <xf numFmtId="0" fontId="13" fillId="8" borderId="30" xfId="0" applyFont="1" applyFill="1" applyBorder="1" applyAlignment="1">
      <alignment horizontal="center" wrapText="1"/>
    </xf>
    <xf numFmtId="0" fontId="13" fillId="8" borderId="12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left" wrapText="1"/>
    </xf>
    <xf numFmtId="0" fontId="13" fillId="8" borderId="36" xfId="0" applyFont="1" applyFill="1" applyBorder="1" applyAlignment="1">
      <alignment horizontal="left" wrapText="1"/>
    </xf>
    <xf numFmtId="0" fontId="13" fillId="24" borderId="36" xfId="0" applyFont="1" applyFill="1" applyBorder="1" applyAlignment="1">
      <alignment horizontal="center" wrapText="1"/>
    </xf>
    <xf numFmtId="0" fontId="13" fillId="24" borderId="36" xfId="0" applyFont="1" applyFill="1" applyBorder="1" applyAlignment="1">
      <alignment wrapText="1"/>
    </xf>
    <xf numFmtId="0" fontId="13" fillId="24" borderId="0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/>
    </xf>
    <xf numFmtId="3" fontId="13" fillId="25" borderId="34" xfId="0" applyNumberFormat="1" applyFont="1" applyFill="1" applyBorder="1" applyAlignment="1">
      <alignment/>
    </xf>
    <xf numFmtId="3" fontId="13" fillId="25" borderId="35" xfId="0" applyNumberFormat="1" applyFont="1" applyFill="1" applyBorder="1" applyAlignment="1">
      <alignment/>
    </xf>
    <xf numFmtId="3" fontId="13" fillId="25" borderId="10" xfId="0" applyNumberFormat="1" applyFont="1" applyFill="1" applyBorder="1" applyAlignment="1">
      <alignment/>
    </xf>
    <xf numFmtId="3" fontId="13" fillId="26" borderId="34" xfId="0" applyNumberFormat="1" applyFont="1" applyFill="1" applyBorder="1" applyAlignment="1">
      <alignment/>
    </xf>
    <xf numFmtId="3" fontId="13" fillId="26" borderId="35" xfId="0" applyNumberFormat="1" applyFont="1" applyFill="1" applyBorder="1" applyAlignment="1">
      <alignment/>
    </xf>
    <xf numFmtId="3" fontId="13" fillId="26" borderId="10" xfId="0" applyNumberFormat="1" applyFont="1" applyFill="1" applyBorder="1" applyAlignment="1">
      <alignment/>
    </xf>
    <xf numFmtId="3" fontId="12" fillId="8" borderId="34" xfId="0" applyNumberFormat="1" applyFont="1" applyFill="1" applyBorder="1" applyAlignment="1">
      <alignment/>
    </xf>
    <xf numFmtId="3" fontId="12" fillId="8" borderId="41" xfId="0" applyNumberFormat="1" applyFont="1" applyFill="1" applyBorder="1" applyAlignment="1">
      <alignment/>
    </xf>
    <xf numFmtId="3" fontId="12" fillId="8" borderId="10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8" borderId="34" xfId="0" applyNumberFormat="1" applyFont="1" applyFill="1" applyBorder="1" applyAlignment="1">
      <alignment/>
    </xf>
    <xf numFmtId="3" fontId="14" fillId="8" borderId="35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24" borderId="34" xfId="0" applyNumberFormat="1" applyFont="1" applyFill="1" applyBorder="1" applyAlignment="1">
      <alignment/>
    </xf>
    <xf numFmtId="3" fontId="13" fillId="24" borderId="35" xfId="0" applyNumberFormat="1" applyFont="1" applyFill="1" applyBorder="1" applyAlignment="1">
      <alignment/>
    </xf>
    <xf numFmtId="3" fontId="13" fillId="24" borderId="10" xfId="0" applyNumberFormat="1" applyFont="1" applyFill="1" applyBorder="1" applyAlignment="1">
      <alignment/>
    </xf>
    <xf numFmtId="3" fontId="13" fillId="24" borderId="41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3" fillId="24" borderId="0" xfId="0" applyNumberFormat="1" applyFont="1" applyFill="1" applyAlignment="1">
      <alignment/>
    </xf>
    <xf numFmtId="0" fontId="34" fillId="0" borderId="38" xfId="0" applyFont="1" applyFill="1" applyBorder="1" applyAlignment="1">
      <alignment horizontal="left" indent="2"/>
    </xf>
    <xf numFmtId="3" fontId="34" fillId="0" borderId="43" xfId="0" applyNumberFormat="1" applyFont="1" applyFill="1" applyBorder="1" applyAlignment="1">
      <alignment/>
    </xf>
    <xf numFmtId="3" fontId="34" fillId="25" borderId="32" xfId="0" applyNumberFormat="1" applyFont="1" applyFill="1" applyBorder="1" applyAlignment="1">
      <alignment/>
    </xf>
    <xf numFmtId="3" fontId="34" fillId="25" borderId="43" xfId="0" applyNumberFormat="1" applyFont="1" applyFill="1" applyBorder="1" applyAlignment="1">
      <alignment/>
    </xf>
    <xf numFmtId="3" fontId="34" fillId="25" borderId="11" xfId="0" applyNumberFormat="1" applyFont="1" applyFill="1" applyBorder="1" applyAlignment="1">
      <alignment/>
    </xf>
    <xf numFmtId="3" fontId="34" fillId="26" borderId="32" xfId="0" applyNumberFormat="1" applyFont="1" applyFill="1" applyBorder="1" applyAlignment="1">
      <alignment/>
    </xf>
    <xf numFmtId="3" fontId="34" fillId="26" borderId="43" xfId="0" applyNumberFormat="1" applyFont="1" applyFill="1" applyBorder="1" applyAlignment="1">
      <alignment/>
    </xf>
    <xf numFmtId="3" fontId="34" fillId="26" borderId="11" xfId="0" applyNumberFormat="1" applyFont="1" applyFill="1" applyBorder="1" applyAlignment="1">
      <alignment/>
    </xf>
    <xf numFmtId="3" fontId="12" fillId="8" borderId="32" xfId="0" applyNumberFormat="1" applyFont="1" applyFill="1" applyBorder="1" applyAlignment="1">
      <alignment/>
    </xf>
    <xf numFmtId="3" fontId="12" fillId="8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4" fillId="8" borderId="32" xfId="0" applyNumberFormat="1" applyFont="1" applyFill="1" applyBorder="1" applyAlignment="1">
      <alignment/>
    </xf>
    <xf numFmtId="3" fontId="14" fillId="8" borderId="18" xfId="0" applyNumberFormat="1" applyFont="1" applyFill="1" applyBorder="1" applyAlignment="1">
      <alignment/>
    </xf>
    <xf numFmtId="3" fontId="34" fillId="0" borderId="44" xfId="0" applyNumberFormat="1" applyFont="1" applyFill="1" applyBorder="1" applyAlignment="1">
      <alignment/>
    </xf>
    <xf numFmtId="3" fontId="34" fillId="24" borderId="32" xfId="0" applyNumberFormat="1" applyFont="1" applyFill="1" applyBorder="1" applyAlignment="1">
      <alignment/>
    </xf>
    <xf numFmtId="3" fontId="34" fillId="24" borderId="43" xfId="0" applyNumberFormat="1" applyFont="1" applyFill="1" applyBorder="1" applyAlignment="1">
      <alignment/>
    </xf>
    <xf numFmtId="3" fontId="34" fillId="24" borderId="11" xfId="0" applyNumberFormat="1" applyFont="1" applyFill="1" applyBorder="1" applyAlignment="1">
      <alignment/>
    </xf>
    <xf numFmtId="3" fontId="34" fillId="24" borderId="18" xfId="0" applyNumberFormat="1" applyFont="1" applyFill="1" applyBorder="1" applyAlignment="1">
      <alignment/>
    </xf>
    <xf numFmtId="3" fontId="34" fillId="24" borderId="0" xfId="0" applyNumberFormat="1" applyFont="1" applyFill="1" applyBorder="1" applyAlignment="1">
      <alignment/>
    </xf>
    <xf numFmtId="3" fontId="12" fillId="8" borderId="43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25" borderId="32" xfId="0" applyNumberFormat="1" applyFont="1" applyFill="1" applyBorder="1" applyAlignment="1">
      <alignment/>
    </xf>
    <xf numFmtId="3" fontId="13" fillId="25" borderId="43" xfId="0" applyNumberFormat="1" applyFont="1" applyFill="1" applyBorder="1" applyAlignment="1">
      <alignment/>
    </xf>
    <xf numFmtId="3" fontId="13" fillId="25" borderId="11" xfId="0" applyNumberFormat="1" applyFont="1" applyFill="1" applyBorder="1" applyAlignment="1">
      <alignment/>
    </xf>
    <xf numFmtId="3" fontId="13" fillId="26" borderId="32" xfId="0" applyNumberFormat="1" applyFont="1" applyFill="1" applyBorder="1" applyAlignment="1">
      <alignment/>
    </xf>
    <xf numFmtId="3" fontId="13" fillId="26" borderId="43" xfId="0" applyNumberFormat="1" applyFont="1" applyFill="1" applyBorder="1" applyAlignment="1">
      <alignment/>
    </xf>
    <xf numFmtId="3" fontId="13" fillId="26" borderId="11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24" borderId="32" xfId="0" applyNumberFormat="1" applyFont="1" applyFill="1" applyBorder="1" applyAlignment="1">
      <alignment/>
    </xf>
    <xf numFmtId="3" fontId="13" fillId="24" borderId="43" xfId="0" applyNumberFormat="1" applyFont="1" applyFill="1" applyBorder="1" applyAlignment="1">
      <alignment/>
    </xf>
    <xf numFmtId="3" fontId="13" fillId="24" borderId="11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13" fillId="0" borderId="45" xfId="0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3" fillId="25" borderId="33" xfId="0" applyNumberFormat="1" applyFont="1" applyFill="1" applyBorder="1" applyAlignment="1">
      <alignment/>
    </xf>
    <xf numFmtId="3" fontId="13" fillId="25" borderId="46" xfId="0" applyNumberFormat="1" applyFont="1" applyFill="1" applyBorder="1" applyAlignment="1">
      <alignment/>
    </xf>
    <xf numFmtId="3" fontId="13" fillId="25" borderId="24" xfId="0" applyNumberFormat="1" applyFont="1" applyFill="1" applyBorder="1" applyAlignment="1">
      <alignment/>
    </xf>
    <xf numFmtId="3" fontId="13" fillId="26" borderId="33" xfId="0" applyNumberFormat="1" applyFont="1" applyFill="1" applyBorder="1" applyAlignment="1">
      <alignment/>
    </xf>
    <xf numFmtId="3" fontId="13" fillId="26" borderId="46" xfId="0" applyNumberFormat="1" applyFont="1" applyFill="1" applyBorder="1" applyAlignment="1">
      <alignment/>
    </xf>
    <xf numFmtId="3" fontId="13" fillId="26" borderId="24" xfId="0" applyNumberFormat="1" applyFont="1" applyFill="1" applyBorder="1" applyAlignment="1">
      <alignment/>
    </xf>
    <xf numFmtId="3" fontId="12" fillId="8" borderId="46" xfId="0" applyNumberFormat="1" applyFont="1" applyFill="1" applyBorder="1" applyAlignment="1">
      <alignment/>
    </xf>
    <xf numFmtId="3" fontId="12" fillId="8" borderId="24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4" fillId="8" borderId="33" xfId="0" applyNumberFormat="1" applyFont="1" applyFill="1" applyBorder="1" applyAlignment="1">
      <alignment/>
    </xf>
    <xf numFmtId="3" fontId="14" fillId="8" borderId="26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3" fillId="24" borderId="33" xfId="0" applyNumberFormat="1" applyFont="1" applyFill="1" applyBorder="1" applyAlignment="1">
      <alignment/>
    </xf>
    <xf numFmtId="3" fontId="13" fillId="24" borderId="46" xfId="0" applyNumberFormat="1" applyFont="1" applyFill="1" applyBorder="1" applyAlignment="1">
      <alignment/>
    </xf>
    <xf numFmtId="3" fontId="13" fillId="24" borderId="24" xfId="0" applyNumberFormat="1" applyFont="1" applyFill="1" applyBorder="1" applyAlignment="1">
      <alignment/>
    </xf>
    <xf numFmtId="3" fontId="13" fillId="24" borderId="26" xfId="0" applyNumberFormat="1" applyFont="1" applyFill="1" applyBorder="1" applyAlignment="1">
      <alignment/>
    </xf>
    <xf numFmtId="0" fontId="14" fillId="8" borderId="48" xfId="0" applyFont="1" applyFill="1" applyBorder="1" applyAlignment="1">
      <alignment/>
    </xf>
    <xf numFmtId="3" fontId="14" fillId="8" borderId="49" xfId="0" applyNumberFormat="1" applyFont="1" applyFill="1" applyBorder="1" applyAlignment="1">
      <alignment/>
    </xf>
    <xf numFmtId="3" fontId="14" fillId="8" borderId="13" xfId="0" applyNumberFormat="1" applyFont="1" applyFill="1" applyBorder="1" applyAlignment="1">
      <alignment/>
    </xf>
    <xf numFmtId="3" fontId="14" fillId="8" borderId="50" xfId="0" applyNumberFormat="1" applyFont="1" applyFill="1" applyBorder="1" applyAlignment="1">
      <alignment/>
    </xf>
    <xf numFmtId="3" fontId="14" fillId="8" borderId="51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2" fillId="8" borderId="49" xfId="0" applyNumberFormat="1" applyFont="1" applyFill="1" applyBorder="1" applyAlignment="1">
      <alignment/>
    </xf>
    <xf numFmtId="3" fontId="12" fillId="8" borderId="50" xfId="0" applyNumberFormat="1" applyFont="1" applyFill="1" applyBorder="1" applyAlignment="1">
      <alignment/>
    </xf>
    <xf numFmtId="3" fontId="12" fillId="8" borderId="13" xfId="0" applyNumberFormat="1" applyFont="1" applyFill="1" applyBorder="1" applyAlignment="1">
      <alignment/>
    </xf>
    <xf numFmtId="3" fontId="14" fillId="8" borderId="51" xfId="0" applyNumberFormat="1" applyFont="1" applyFill="1" applyBorder="1" applyAlignment="1">
      <alignment/>
    </xf>
    <xf numFmtId="3" fontId="14" fillId="8" borderId="13" xfId="0" applyNumberFormat="1" applyFont="1" applyFill="1" applyBorder="1" applyAlignment="1">
      <alignment/>
    </xf>
    <xf numFmtId="3" fontId="14" fillId="8" borderId="49" xfId="0" applyNumberFormat="1" applyFont="1" applyFill="1" applyBorder="1" applyAlignment="1">
      <alignment/>
    </xf>
    <xf numFmtId="3" fontId="14" fillId="8" borderId="52" xfId="0" applyNumberFormat="1" applyFont="1" applyFill="1" applyBorder="1" applyAlignment="1">
      <alignment/>
    </xf>
    <xf numFmtId="3" fontId="14" fillId="24" borderId="49" xfId="0" applyNumberFormat="1" applyFont="1" applyFill="1" applyBorder="1" applyAlignment="1">
      <alignment/>
    </xf>
    <xf numFmtId="3" fontId="14" fillId="24" borderId="50" xfId="0" applyNumberFormat="1" applyFont="1" applyFill="1" applyBorder="1" applyAlignment="1">
      <alignment/>
    </xf>
    <xf numFmtId="3" fontId="14" fillId="24" borderId="13" xfId="0" applyNumberFormat="1" applyFont="1" applyFill="1" applyBorder="1" applyAlignment="1">
      <alignment/>
    </xf>
    <xf numFmtId="3" fontId="14" fillId="24" borderId="51" xfId="0" applyNumberFormat="1" applyFont="1" applyFill="1" applyBorder="1" applyAlignment="1">
      <alignment/>
    </xf>
    <xf numFmtId="3" fontId="14" fillId="24" borderId="0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3" fillId="25" borderId="41" xfId="0" applyNumberFormat="1" applyFont="1" applyFill="1" applyBorder="1" applyAlignment="1">
      <alignment/>
    </xf>
    <xf numFmtId="3" fontId="13" fillId="26" borderId="41" xfId="0" applyNumberFormat="1" applyFont="1" applyFill="1" applyBorder="1" applyAlignment="1">
      <alignment/>
    </xf>
    <xf numFmtId="0" fontId="34" fillId="0" borderId="38" xfId="0" applyFont="1" applyFill="1" applyBorder="1" applyAlignment="1">
      <alignment/>
    </xf>
    <xf numFmtId="3" fontId="34" fillId="0" borderId="41" xfId="0" applyNumberFormat="1" applyFont="1" applyFill="1" applyBorder="1" applyAlignment="1">
      <alignment/>
    </xf>
    <xf numFmtId="3" fontId="34" fillId="25" borderId="34" xfId="0" applyNumberFormat="1" applyFont="1" applyFill="1" applyBorder="1" applyAlignment="1">
      <alignment/>
    </xf>
    <xf numFmtId="3" fontId="34" fillId="26" borderId="34" xfId="0" applyNumberFormat="1" applyFont="1" applyFill="1" applyBorder="1" applyAlignment="1">
      <alignment/>
    </xf>
    <xf numFmtId="3" fontId="34" fillId="0" borderId="42" xfId="0" applyNumberFormat="1" applyFont="1" applyFill="1" applyBorder="1" applyAlignment="1">
      <alignment/>
    </xf>
    <xf numFmtId="3" fontId="34" fillId="24" borderId="34" xfId="0" applyNumberFormat="1" applyFont="1" applyFill="1" applyBorder="1" applyAlignment="1">
      <alignment/>
    </xf>
    <xf numFmtId="3" fontId="34" fillId="24" borderId="35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left" wrapText="1" indent="2"/>
    </xf>
    <xf numFmtId="3" fontId="34" fillId="0" borderId="46" xfId="0" applyNumberFormat="1" applyFont="1" applyFill="1" applyBorder="1" applyAlignment="1">
      <alignment/>
    </xf>
    <xf numFmtId="3" fontId="34" fillId="25" borderId="33" xfId="0" applyNumberFormat="1" applyFont="1" applyFill="1" applyBorder="1" applyAlignment="1">
      <alignment/>
    </xf>
    <xf numFmtId="3" fontId="34" fillId="25" borderId="46" xfId="0" applyNumberFormat="1" applyFont="1" applyFill="1" applyBorder="1" applyAlignment="1">
      <alignment/>
    </xf>
    <xf numFmtId="3" fontId="34" fillId="25" borderId="24" xfId="0" applyNumberFormat="1" applyFont="1" applyFill="1" applyBorder="1" applyAlignment="1">
      <alignment/>
    </xf>
    <xf numFmtId="3" fontId="34" fillId="26" borderId="33" xfId="0" applyNumberFormat="1" applyFont="1" applyFill="1" applyBorder="1" applyAlignment="1">
      <alignment/>
    </xf>
    <xf numFmtId="3" fontId="34" fillId="26" borderId="46" xfId="0" applyNumberFormat="1" applyFont="1" applyFill="1" applyBorder="1" applyAlignment="1">
      <alignment/>
    </xf>
    <xf numFmtId="3" fontId="34" fillId="26" borderId="24" xfId="0" applyNumberFormat="1" applyFont="1" applyFill="1" applyBorder="1" applyAlignment="1">
      <alignment/>
    </xf>
    <xf numFmtId="3" fontId="34" fillId="0" borderId="47" xfId="0" applyNumberFormat="1" applyFont="1" applyFill="1" applyBorder="1" applyAlignment="1">
      <alignment/>
    </xf>
    <xf numFmtId="3" fontId="34" fillId="24" borderId="33" xfId="0" applyNumberFormat="1" applyFont="1" applyFill="1" applyBorder="1" applyAlignment="1">
      <alignment/>
    </xf>
    <xf numFmtId="3" fontId="34" fillId="24" borderId="46" xfId="0" applyNumberFormat="1" applyFont="1" applyFill="1" applyBorder="1" applyAlignment="1">
      <alignment/>
    </xf>
    <xf numFmtId="3" fontId="34" fillId="24" borderId="24" xfId="0" applyNumberFormat="1" applyFont="1" applyFill="1" applyBorder="1" applyAlignment="1">
      <alignment/>
    </xf>
    <xf numFmtId="3" fontId="34" fillId="24" borderId="26" xfId="0" applyNumberFormat="1" applyFont="1" applyFill="1" applyBorder="1" applyAlignment="1">
      <alignment/>
    </xf>
    <xf numFmtId="0" fontId="14" fillId="8" borderId="53" xfId="0" applyFont="1" applyFill="1" applyBorder="1" applyAlignment="1">
      <alignment/>
    </xf>
    <xf numFmtId="3" fontId="14" fillId="8" borderId="54" xfId="0" applyNumberFormat="1" applyFont="1" applyFill="1" applyBorder="1" applyAlignment="1">
      <alignment/>
    </xf>
    <xf numFmtId="3" fontId="14" fillId="8" borderId="55" xfId="0" applyNumberFormat="1" applyFont="1" applyFill="1" applyBorder="1" applyAlignment="1">
      <alignment/>
    </xf>
    <xf numFmtId="3" fontId="14" fillId="8" borderId="56" xfId="0" applyNumberFormat="1" applyFont="1" applyFill="1" applyBorder="1" applyAlignment="1">
      <alignment/>
    </xf>
    <xf numFmtId="3" fontId="14" fillId="25" borderId="56" xfId="0" applyNumberFormat="1" applyFont="1" applyFill="1" applyBorder="1" applyAlignment="1">
      <alignment/>
    </xf>
    <xf numFmtId="3" fontId="14" fillId="26" borderId="56" xfId="0" applyNumberFormat="1" applyFont="1" applyFill="1" applyBorder="1" applyAlignment="1">
      <alignment/>
    </xf>
    <xf numFmtId="3" fontId="12" fillId="8" borderId="56" xfId="0" applyNumberFormat="1" applyFont="1" applyFill="1" applyBorder="1" applyAlignment="1">
      <alignment/>
    </xf>
    <xf numFmtId="3" fontId="14" fillId="8" borderId="56" xfId="0" applyNumberFormat="1" applyFont="1" applyFill="1" applyBorder="1" applyAlignment="1">
      <alignment/>
    </xf>
    <xf numFmtId="3" fontId="14" fillId="8" borderId="57" xfId="0" applyNumberFormat="1" applyFont="1" applyFill="1" applyBorder="1" applyAlignment="1">
      <alignment/>
    </xf>
    <xf numFmtId="3" fontId="14" fillId="24" borderId="56" xfId="0" applyNumberFormat="1" applyFont="1" applyFill="1" applyBorder="1" applyAlignment="1">
      <alignment/>
    </xf>
    <xf numFmtId="3" fontId="14" fillId="24" borderId="55" xfId="0" applyNumberFormat="1" applyFont="1" applyFill="1" applyBorder="1" applyAlignment="1">
      <alignment/>
    </xf>
    <xf numFmtId="0" fontId="13" fillId="0" borderId="37" xfId="0" applyFont="1" applyFill="1" applyBorder="1" applyAlignment="1">
      <alignment wrapText="1"/>
    </xf>
    <xf numFmtId="3" fontId="13" fillId="0" borderId="58" xfId="0" applyNumberFormat="1" applyFont="1" applyFill="1" applyBorder="1" applyAlignment="1">
      <alignment/>
    </xf>
    <xf numFmtId="3" fontId="13" fillId="25" borderId="31" xfId="0" applyNumberFormat="1" applyFont="1" applyFill="1" applyBorder="1" applyAlignment="1">
      <alignment/>
    </xf>
    <xf numFmtId="3" fontId="13" fillId="25" borderId="58" xfId="0" applyNumberFormat="1" applyFont="1" applyFill="1" applyBorder="1" applyAlignment="1">
      <alignment/>
    </xf>
    <xf numFmtId="3" fontId="13" fillId="25" borderId="20" xfId="0" applyNumberFormat="1" applyFont="1" applyFill="1" applyBorder="1" applyAlignment="1">
      <alignment/>
    </xf>
    <xf numFmtId="3" fontId="13" fillId="26" borderId="31" xfId="0" applyNumberFormat="1" applyFont="1" applyFill="1" applyBorder="1" applyAlignment="1">
      <alignment/>
    </xf>
    <xf numFmtId="3" fontId="13" fillId="26" borderId="58" xfId="0" applyNumberFormat="1" applyFont="1" applyFill="1" applyBorder="1" applyAlignment="1">
      <alignment/>
    </xf>
    <xf numFmtId="3" fontId="13" fillId="26" borderId="20" xfId="0" applyNumberFormat="1" applyFont="1" applyFill="1" applyBorder="1" applyAlignment="1">
      <alignment/>
    </xf>
    <xf numFmtId="3" fontId="12" fillId="8" borderId="31" xfId="0" applyNumberFormat="1" applyFont="1" applyFill="1" applyBorder="1" applyAlignment="1">
      <alignment/>
    </xf>
    <xf numFmtId="3" fontId="12" fillId="8" borderId="58" xfId="0" applyNumberFormat="1" applyFont="1" applyFill="1" applyBorder="1" applyAlignment="1">
      <alignment/>
    </xf>
    <xf numFmtId="3" fontId="12" fillId="8" borderId="20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4" fillId="8" borderId="31" xfId="0" applyNumberFormat="1" applyFont="1" applyFill="1" applyBorder="1" applyAlignment="1">
      <alignment/>
    </xf>
    <xf numFmtId="3" fontId="14" fillId="8" borderId="19" xfId="0" applyNumberFormat="1" applyFont="1" applyFill="1" applyBorder="1" applyAlignment="1">
      <alignment/>
    </xf>
    <xf numFmtId="3" fontId="13" fillId="0" borderId="59" xfId="0" applyNumberFormat="1" applyFont="1" applyFill="1" applyBorder="1" applyAlignment="1">
      <alignment/>
    </xf>
    <xf numFmtId="3" fontId="13" fillId="24" borderId="31" xfId="0" applyNumberFormat="1" applyFont="1" applyFill="1" applyBorder="1" applyAlignment="1">
      <alignment/>
    </xf>
    <xf numFmtId="3" fontId="13" fillId="24" borderId="58" xfId="0" applyNumberFormat="1" applyFont="1" applyFill="1" applyBorder="1" applyAlignment="1">
      <alignment/>
    </xf>
    <xf numFmtId="3" fontId="13" fillId="24" borderId="20" xfId="0" applyNumberFormat="1" applyFont="1" applyFill="1" applyBorder="1" applyAlignment="1">
      <alignment/>
    </xf>
    <xf numFmtId="3" fontId="13" fillId="24" borderId="19" xfId="0" applyNumberFormat="1" applyFont="1" applyFill="1" applyBorder="1" applyAlignment="1">
      <alignment/>
    </xf>
    <xf numFmtId="0" fontId="34" fillId="0" borderId="45" xfId="0" applyFont="1" applyFill="1" applyBorder="1" applyAlignment="1">
      <alignment/>
    </xf>
    <xf numFmtId="3" fontId="12" fillId="8" borderId="33" xfId="0" applyNumberFormat="1" applyFont="1" applyFill="1" applyBorder="1" applyAlignment="1">
      <alignment/>
    </xf>
    <xf numFmtId="3" fontId="13" fillId="0" borderId="60" xfId="0" applyNumberFormat="1" applyFont="1" applyFill="1" applyBorder="1" applyAlignment="1">
      <alignment/>
    </xf>
    <xf numFmtId="3" fontId="13" fillId="25" borderId="36" xfId="0" applyNumberFormat="1" applyFont="1" applyFill="1" applyBorder="1" applyAlignment="1">
      <alignment/>
    </xf>
    <xf numFmtId="3" fontId="13" fillId="25" borderId="60" xfId="0" applyNumberFormat="1" applyFont="1" applyFill="1" applyBorder="1" applyAlignment="1">
      <alignment/>
    </xf>
    <xf numFmtId="3" fontId="13" fillId="25" borderId="12" xfId="0" applyNumberFormat="1" applyFont="1" applyFill="1" applyBorder="1" applyAlignment="1">
      <alignment/>
    </xf>
    <xf numFmtId="3" fontId="13" fillId="26" borderId="36" xfId="0" applyNumberFormat="1" applyFont="1" applyFill="1" applyBorder="1" applyAlignment="1">
      <alignment/>
    </xf>
    <xf numFmtId="3" fontId="13" fillId="26" borderId="60" xfId="0" applyNumberFormat="1" applyFont="1" applyFill="1" applyBorder="1" applyAlignment="1">
      <alignment/>
    </xf>
    <xf numFmtId="3" fontId="13" fillId="26" borderId="12" xfId="0" applyNumberFormat="1" applyFont="1" applyFill="1" applyBorder="1" applyAlignment="1">
      <alignment/>
    </xf>
    <xf numFmtId="3" fontId="12" fillId="8" borderId="60" xfId="0" applyNumberFormat="1" applyFont="1" applyFill="1" applyBorder="1" applyAlignment="1">
      <alignment/>
    </xf>
    <xf numFmtId="3" fontId="14" fillId="8" borderId="36" xfId="0" applyNumberFormat="1" applyFont="1" applyFill="1" applyBorder="1" applyAlignment="1">
      <alignment/>
    </xf>
    <xf numFmtId="3" fontId="14" fillId="8" borderId="30" xfId="0" applyNumberFormat="1" applyFont="1" applyFill="1" applyBorder="1" applyAlignment="1">
      <alignment/>
    </xf>
    <xf numFmtId="3" fontId="13" fillId="0" borderId="61" xfId="0" applyNumberFormat="1" applyFont="1" applyFill="1" applyBorder="1" applyAlignment="1">
      <alignment/>
    </xf>
    <xf numFmtId="3" fontId="13" fillId="24" borderId="36" xfId="0" applyNumberFormat="1" applyFont="1" applyFill="1" applyBorder="1" applyAlignment="1">
      <alignment/>
    </xf>
    <xf numFmtId="3" fontId="13" fillId="24" borderId="60" xfId="0" applyNumberFormat="1" applyFont="1" applyFill="1" applyBorder="1" applyAlignment="1">
      <alignment/>
    </xf>
    <xf numFmtId="3" fontId="13" fillId="24" borderId="12" xfId="0" applyNumberFormat="1" applyFont="1" applyFill="1" applyBorder="1" applyAlignment="1">
      <alignment/>
    </xf>
    <xf numFmtId="3" fontId="13" fillId="24" borderId="30" xfId="0" applyNumberFormat="1" applyFont="1" applyFill="1" applyBorder="1" applyAlignment="1">
      <alignment/>
    </xf>
    <xf numFmtId="0" fontId="14" fillId="8" borderId="62" xfId="0" applyFont="1" applyFill="1" applyBorder="1" applyAlignment="1">
      <alignment/>
    </xf>
    <xf numFmtId="3" fontId="14" fillId="8" borderId="63" xfId="0" applyNumberFormat="1" applyFont="1" applyFill="1" applyBorder="1" applyAlignment="1">
      <alignment/>
    </xf>
    <xf numFmtId="3" fontId="14" fillId="8" borderId="64" xfId="0" applyNumberFormat="1" applyFont="1" applyFill="1" applyBorder="1" applyAlignment="1">
      <alignment/>
    </xf>
    <xf numFmtId="3" fontId="14" fillId="8" borderId="65" xfId="0" applyNumberFormat="1" applyFont="1" applyFill="1" applyBorder="1" applyAlignment="1">
      <alignment/>
    </xf>
    <xf numFmtId="3" fontId="14" fillId="25" borderId="65" xfId="0" applyNumberFormat="1" applyFont="1" applyFill="1" applyBorder="1" applyAlignment="1">
      <alignment/>
    </xf>
    <xf numFmtId="3" fontId="14" fillId="26" borderId="65" xfId="0" applyNumberFormat="1" applyFont="1" applyFill="1" applyBorder="1" applyAlignment="1">
      <alignment/>
    </xf>
    <xf numFmtId="3" fontId="12" fillId="8" borderId="65" xfId="0" applyNumberFormat="1" applyFont="1" applyFill="1" applyBorder="1" applyAlignment="1">
      <alignment/>
    </xf>
    <xf numFmtId="3" fontId="14" fillId="8" borderId="65" xfId="0" applyNumberFormat="1" applyFont="1" applyFill="1" applyBorder="1" applyAlignment="1">
      <alignment/>
    </xf>
    <xf numFmtId="3" fontId="14" fillId="8" borderId="66" xfId="0" applyNumberFormat="1" applyFont="1" applyFill="1" applyBorder="1" applyAlignment="1">
      <alignment/>
    </xf>
    <xf numFmtId="3" fontId="14" fillId="24" borderId="65" xfId="0" applyNumberFormat="1" applyFont="1" applyFill="1" applyBorder="1" applyAlignment="1">
      <alignment/>
    </xf>
    <xf numFmtId="3" fontId="14" fillId="24" borderId="64" xfId="0" applyNumberFormat="1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24" borderId="0" xfId="0" applyFont="1" applyFill="1" applyAlignment="1">
      <alignment/>
    </xf>
    <xf numFmtId="0" fontId="4" fillId="0" borderId="36" xfId="0" applyFont="1" applyBorder="1" applyAlignment="1">
      <alignment wrapText="1"/>
    </xf>
    <xf numFmtId="3" fontId="13" fillId="8" borderId="10" xfId="0" applyNumberFormat="1" applyFont="1" applyFill="1" applyBorder="1" applyAlignment="1">
      <alignment/>
    </xf>
    <xf numFmtId="3" fontId="13" fillId="8" borderId="11" xfId="0" applyNumberFormat="1" applyFont="1" applyFill="1" applyBorder="1" applyAlignment="1">
      <alignment/>
    </xf>
    <xf numFmtId="3" fontId="34" fillId="8" borderId="11" xfId="0" applyNumberFormat="1" applyFont="1" applyFill="1" applyBorder="1" applyAlignment="1">
      <alignment/>
    </xf>
    <xf numFmtId="3" fontId="14" fillId="8" borderId="38" xfId="0" applyNumberFormat="1" applyFont="1" applyFill="1" applyBorder="1" applyAlignment="1">
      <alignment/>
    </xf>
    <xf numFmtId="3" fontId="34" fillId="8" borderId="44" xfId="0" applyNumberFormat="1" applyFont="1" applyFill="1" applyBorder="1" applyAlignment="1">
      <alignment/>
    </xf>
    <xf numFmtId="3" fontId="13" fillId="8" borderId="12" xfId="0" applyNumberFormat="1" applyFont="1" applyFill="1" applyBorder="1" applyAlignment="1">
      <alignment/>
    </xf>
    <xf numFmtId="0" fontId="14" fillId="8" borderId="27" xfId="0" applyFont="1" applyFill="1" applyBorder="1" applyAlignment="1">
      <alignment/>
    </xf>
    <xf numFmtId="3" fontId="34" fillId="0" borderId="61" xfId="0" applyNumberFormat="1" applyFont="1" applyFill="1" applyBorder="1" applyAlignment="1">
      <alignment/>
    </xf>
    <xf numFmtId="3" fontId="34" fillId="0" borderId="60" xfId="0" applyNumberFormat="1" applyFont="1" applyFill="1" applyBorder="1" applyAlignment="1">
      <alignment/>
    </xf>
    <xf numFmtId="3" fontId="34" fillId="25" borderId="36" xfId="0" applyNumberFormat="1" applyFont="1" applyFill="1" applyBorder="1" applyAlignment="1">
      <alignment/>
    </xf>
    <xf numFmtId="3" fontId="34" fillId="25" borderId="60" xfId="0" applyNumberFormat="1" applyFont="1" applyFill="1" applyBorder="1" applyAlignment="1">
      <alignment/>
    </xf>
    <xf numFmtId="3" fontId="34" fillId="25" borderId="12" xfId="0" applyNumberFormat="1" applyFont="1" applyFill="1" applyBorder="1" applyAlignment="1">
      <alignment/>
    </xf>
    <xf numFmtId="3" fontId="34" fillId="26" borderId="36" xfId="0" applyNumberFormat="1" applyFont="1" applyFill="1" applyBorder="1" applyAlignment="1">
      <alignment/>
    </xf>
    <xf numFmtId="3" fontId="34" fillId="26" borderId="60" xfId="0" applyNumberFormat="1" applyFont="1" applyFill="1" applyBorder="1" applyAlignment="1">
      <alignment/>
    </xf>
    <xf numFmtId="3" fontId="34" fillId="26" borderId="12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/>
    </xf>
    <xf numFmtId="3" fontId="34" fillId="24" borderId="36" xfId="0" applyNumberFormat="1" applyFont="1" applyFill="1" applyBorder="1" applyAlignment="1">
      <alignment/>
    </xf>
    <xf numFmtId="3" fontId="34" fillId="24" borderId="60" xfId="0" applyNumberFormat="1" applyFont="1" applyFill="1" applyBorder="1" applyAlignment="1">
      <alignment/>
    </xf>
    <xf numFmtId="3" fontId="34" fillId="24" borderId="12" xfId="0" applyNumberFormat="1" applyFont="1" applyFill="1" applyBorder="1" applyAlignment="1">
      <alignment/>
    </xf>
    <xf numFmtId="3" fontId="34" fillId="24" borderId="30" xfId="0" applyNumberFormat="1" applyFont="1" applyFill="1" applyBorder="1" applyAlignment="1">
      <alignment/>
    </xf>
    <xf numFmtId="0" fontId="14" fillId="8" borderId="21" xfId="0" applyFont="1" applyFill="1" applyBorder="1" applyAlignment="1">
      <alignment/>
    </xf>
    <xf numFmtId="3" fontId="14" fillId="8" borderId="28" xfId="0" applyNumberFormat="1" applyFont="1" applyFill="1" applyBorder="1" applyAlignment="1">
      <alignment/>
    </xf>
    <xf numFmtId="3" fontId="14" fillId="25" borderId="54" xfId="0" applyNumberFormat="1" applyFont="1" applyFill="1" applyBorder="1" applyAlignment="1">
      <alignment/>
    </xf>
    <xf numFmtId="3" fontId="14" fillId="25" borderId="28" xfId="0" applyNumberFormat="1" applyFont="1" applyFill="1" applyBorder="1" applyAlignment="1">
      <alignment/>
    </xf>
    <xf numFmtId="3" fontId="14" fillId="26" borderId="54" xfId="0" applyNumberFormat="1" applyFont="1" applyFill="1" applyBorder="1" applyAlignment="1">
      <alignment/>
    </xf>
    <xf numFmtId="3" fontId="14" fillId="26" borderId="28" xfId="0" applyNumberFormat="1" applyFont="1" applyFill="1" applyBorder="1" applyAlignment="1">
      <alignment/>
    </xf>
    <xf numFmtId="3" fontId="12" fillId="8" borderId="54" xfId="0" applyNumberFormat="1" applyFont="1" applyFill="1" applyBorder="1" applyAlignment="1">
      <alignment/>
    </xf>
    <xf numFmtId="3" fontId="14" fillId="8" borderId="55" xfId="0" applyNumberFormat="1" applyFont="1" applyFill="1" applyBorder="1" applyAlignment="1">
      <alignment/>
    </xf>
    <xf numFmtId="3" fontId="14" fillId="8" borderId="28" xfId="0" applyNumberFormat="1" applyFont="1" applyFill="1" applyBorder="1" applyAlignment="1">
      <alignment/>
    </xf>
    <xf numFmtId="3" fontId="14" fillId="24" borderId="54" xfId="0" applyNumberFormat="1" applyFont="1" applyFill="1" applyBorder="1" applyAlignment="1">
      <alignment/>
    </xf>
    <xf numFmtId="3" fontId="14" fillId="24" borderId="28" xfId="0" applyNumberFormat="1" applyFont="1" applyFill="1" applyBorder="1" applyAlignment="1">
      <alignment/>
    </xf>
    <xf numFmtId="0" fontId="14" fillId="8" borderId="27" xfId="0" applyFont="1" applyFill="1" applyBorder="1" applyAlignment="1">
      <alignment wrapText="1"/>
    </xf>
    <xf numFmtId="3" fontId="14" fillId="8" borderId="52" xfId="0" applyNumberFormat="1" applyFont="1" applyFill="1" applyBorder="1" applyAlignment="1">
      <alignment/>
    </xf>
    <xf numFmtId="3" fontId="14" fillId="8" borderId="50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4" fillId="24" borderId="49" xfId="0" applyNumberFormat="1" applyFont="1" applyFill="1" applyBorder="1" applyAlignment="1">
      <alignment/>
    </xf>
    <xf numFmtId="3" fontId="14" fillId="24" borderId="50" xfId="0" applyNumberFormat="1" applyFont="1" applyFill="1" applyBorder="1" applyAlignment="1">
      <alignment/>
    </xf>
    <xf numFmtId="3" fontId="14" fillId="24" borderId="13" xfId="0" applyNumberFormat="1" applyFont="1" applyFill="1" applyBorder="1" applyAlignment="1">
      <alignment/>
    </xf>
    <xf numFmtId="3" fontId="14" fillId="24" borderId="51" xfId="0" applyNumberFormat="1" applyFont="1" applyFill="1" applyBorder="1" applyAlignment="1">
      <alignment/>
    </xf>
    <xf numFmtId="3" fontId="14" fillId="24" borderId="0" xfId="0" applyNumberFormat="1" applyFont="1" applyFill="1" applyBorder="1" applyAlignment="1">
      <alignment/>
    </xf>
    <xf numFmtId="0" fontId="14" fillId="8" borderId="23" xfId="0" applyFont="1" applyFill="1" applyBorder="1" applyAlignment="1">
      <alignment/>
    </xf>
    <xf numFmtId="3" fontId="14" fillId="8" borderId="14" xfId="0" applyNumberFormat="1" applyFont="1" applyFill="1" applyBorder="1" applyAlignment="1">
      <alignment/>
    </xf>
    <xf numFmtId="3" fontId="14" fillId="25" borderId="63" xfId="0" applyNumberFormat="1" applyFont="1" applyFill="1" applyBorder="1" applyAlignment="1">
      <alignment/>
    </xf>
    <xf numFmtId="3" fontId="14" fillId="25" borderId="14" xfId="0" applyNumberFormat="1" applyFont="1" applyFill="1" applyBorder="1" applyAlignment="1">
      <alignment/>
    </xf>
    <xf numFmtId="3" fontId="14" fillId="26" borderId="63" xfId="0" applyNumberFormat="1" applyFont="1" applyFill="1" applyBorder="1" applyAlignment="1">
      <alignment/>
    </xf>
    <xf numFmtId="3" fontId="14" fillId="26" borderId="14" xfId="0" applyNumberFormat="1" applyFont="1" applyFill="1" applyBorder="1" applyAlignment="1">
      <alignment/>
    </xf>
    <xf numFmtId="3" fontId="12" fillId="8" borderId="63" xfId="0" applyNumberFormat="1" applyFont="1" applyFill="1" applyBorder="1" applyAlignment="1">
      <alignment/>
    </xf>
    <xf numFmtId="3" fontId="14" fillId="8" borderId="64" xfId="0" applyNumberFormat="1" applyFont="1" applyFill="1" applyBorder="1" applyAlignment="1">
      <alignment/>
    </xf>
    <xf numFmtId="3" fontId="14" fillId="8" borderId="14" xfId="0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25" borderId="31" xfId="0" applyNumberFormat="1" applyFont="1" applyFill="1" applyBorder="1" applyAlignment="1">
      <alignment/>
    </xf>
    <xf numFmtId="4" fontId="14" fillId="25" borderId="19" xfId="0" applyNumberFormat="1" applyFont="1" applyFill="1" applyBorder="1" applyAlignment="1">
      <alignment/>
    </xf>
    <xf numFmtId="4" fontId="14" fillId="26" borderId="31" xfId="0" applyNumberFormat="1" applyFont="1" applyFill="1" applyBorder="1" applyAlignment="1">
      <alignment/>
    </xf>
    <xf numFmtId="4" fontId="14" fillId="26" borderId="19" xfId="0" applyNumberFormat="1" applyFont="1" applyFill="1" applyBorder="1" applyAlignment="1">
      <alignment/>
    </xf>
    <xf numFmtId="4" fontId="14" fillId="0" borderId="58" xfId="0" applyNumberFormat="1" applyFont="1" applyFill="1" applyBorder="1" applyAlignment="1">
      <alignment/>
    </xf>
    <xf numFmtId="4" fontId="14" fillId="20" borderId="20" xfId="0" applyNumberFormat="1" applyFont="1" applyFill="1" applyBorder="1" applyAlignment="1">
      <alignment/>
    </xf>
    <xf numFmtId="4" fontId="14" fillId="24" borderId="0" xfId="0" applyNumberFormat="1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70" xfId="0" applyNumberFormat="1" applyFont="1" applyFill="1" applyBorder="1" applyAlignment="1">
      <alignment/>
    </xf>
    <xf numFmtId="4" fontId="13" fillId="25" borderId="70" xfId="0" applyNumberFormat="1" applyFont="1" applyFill="1" applyBorder="1" applyAlignment="1">
      <alignment/>
    </xf>
    <xf numFmtId="4" fontId="13" fillId="25" borderId="18" xfId="0" applyNumberFormat="1" applyFont="1" applyFill="1" applyBorder="1" applyAlignment="1">
      <alignment/>
    </xf>
    <xf numFmtId="4" fontId="13" fillId="26" borderId="70" xfId="0" applyNumberFormat="1" applyFont="1" applyFill="1" applyBorder="1" applyAlignment="1">
      <alignment/>
    </xf>
    <xf numFmtId="4" fontId="13" fillId="26" borderId="18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20" borderId="11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/>
    </xf>
    <xf numFmtId="4" fontId="13" fillId="24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4" fontId="14" fillId="0" borderId="36" xfId="0" applyNumberFormat="1" applyFont="1" applyFill="1" applyBorder="1" applyAlignment="1">
      <alignment/>
    </xf>
    <xf numFmtId="4" fontId="14" fillId="0" borderId="3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14" fillId="0" borderId="71" xfId="0" applyNumberFormat="1" applyFont="1" applyFill="1" applyBorder="1" applyAlignment="1">
      <alignment/>
    </xf>
    <xf numFmtId="4" fontId="14" fillId="25" borderId="71" xfId="0" applyNumberFormat="1" applyFont="1" applyFill="1" applyBorder="1" applyAlignment="1">
      <alignment/>
    </xf>
    <xf numFmtId="4" fontId="14" fillId="25" borderId="30" xfId="0" applyNumberFormat="1" applyFont="1" applyFill="1" applyBorder="1" applyAlignment="1">
      <alignment/>
    </xf>
    <xf numFmtId="4" fontId="14" fillId="26" borderId="71" xfId="0" applyNumberFormat="1" applyFont="1" applyFill="1" applyBorder="1" applyAlignment="1">
      <alignment/>
    </xf>
    <xf numFmtId="4" fontId="14" fillId="26" borderId="30" xfId="0" applyNumberFormat="1" applyFont="1" applyFill="1" applyBorder="1" applyAlignment="1">
      <alignment/>
    </xf>
    <xf numFmtId="4" fontId="14" fillId="0" borderId="60" xfId="0" applyNumberFormat="1" applyFont="1" applyFill="1" applyBorder="1" applyAlignment="1">
      <alignment/>
    </xf>
    <xf numFmtId="4" fontId="14" fillId="20" borderId="12" xfId="0" applyNumberFormat="1" applyFont="1" applyFill="1" applyBorder="1" applyAlignment="1">
      <alignment/>
    </xf>
    <xf numFmtId="3" fontId="11" fillId="0" borderId="0" xfId="99" applyNumberFormat="1" applyFont="1" applyFill="1" applyBorder="1" applyAlignment="1">
      <alignment wrapText="1"/>
      <protection/>
    </xf>
    <xf numFmtId="3" fontId="4" fillId="0" borderId="0" xfId="99" applyNumberFormat="1" applyFont="1" applyFill="1" applyBorder="1" applyAlignment="1">
      <alignment wrapText="1"/>
      <protection/>
    </xf>
    <xf numFmtId="0" fontId="10" fillId="6" borderId="0" xfId="99" applyFont="1" applyFill="1" applyAlignment="1">
      <alignment wrapText="1"/>
      <protection/>
    </xf>
    <xf numFmtId="0" fontId="41" fillId="0" borderId="0" xfId="0" applyFont="1" applyAlignment="1">
      <alignment/>
    </xf>
    <xf numFmtId="3" fontId="10" fillId="0" borderId="0" xfId="99" applyNumberFormat="1" applyFont="1" applyFill="1">
      <alignment/>
      <protection/>
    </xf>
    <xf numFmtId="3" fontId="10" fillId="0" borderId="0" xfId="99" applyNumberFormat="1" applyFont="1" applyFill="1" applyBorder="1" applyAlignment="1">
      <alignment wrapText="1"/>
      <protection/>
    </xf>
    <xf numFmtId="0" fontId="12" fillId="0" borderId="0" xfId="0" applyFont="1" applyAlignment="1">
      <alignment horizontal="left" wrapText="1"/>
    </xf>
    <xf numFmtId="0" fontId="38" fillId="0" borderId="23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27" borderId="0" xfId="0" applyFont="1" applyFill="1" applyAlignment="1">
      <alignment vertical="top"/>
    </xf>
    <xf numFmtId="3" fontId="4" fillId="27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27" borderId="0" xfId="0" applyFont="1" applyFill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3" fontId="4" fillId="27" borderId="0" xfId="0" applyNumberFormat="1" applyFont="1" applyFill="1" applyAlignment="1">
      <alignment horizontal="right" vertical="top"/>
    </xf>
    <xf numFmtId="0" fontId="4" fillId="27" borderId="0" xfId="0" applyFont="1" applyFill="1" applyAlignment="1">
      <alignment horizontal="left" vertical="top" wrapText="1"/>
    </xf>
    <xf numFmtId="0" fontId="4" fillId="28" borderId="0" xfId="0" applyFont="1" applyFill="1" applyAlignment="1">
      <alignment vertical="top"/>
    </xf>
    <xf numFmtId="0" fontId="4" fillId="28" borderId="0" xfId="0" applyFont="1" applyFill="1" applyAlignment="1">
      <alignment horizontal="left" vertical="top"/>
    </xf>
    <xf numFmtId="3" fontId="4" fillId="28" borderId="0" xfId="0" applyNumberFormat="1" applyFont="1" applyFill="1" applyAlignment="1">
      <alignment vertical="top"/>
    </xf>
    <xf numFmtId="3" fontId="4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5" fillId="27" borderId="0" xfId="0" applyFont="1" applyFill="1" applyAlignment="1">
      <alignment vertical="top"/>
    </xf>
    <xf numFmtId="3" fontId="4" fillId="28" borderId="0" xfId="0" applyNumberFormat="1" applyFont="1" applyFill="1" applyAlignment="1">
      <alignment horizontal="right" vertical="top"/>
    </xf>
    <xf numFmtId="0" fontId="4" fillId="0" borderId="0" xfId="101" applyFont="1" applyAlignment="1">
      <alignment horizontal="left" vertical="top"/>
      <protection/>
    </xf>
    <xf numFmtId="0" fontId="4" fillId="27" borderId="0" xfId="0" applyFont="1" applyFill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5" fillId="27" borderId="0" xfId="0" applyNumberFormat="1" applyFont="1" applyFill="1" applyAlignment="1">
      <alignment vertical="top"/>
    </xf>
    <xf numFmtId="0" fontId="5" fillId="28" borderId="0" xfId="0" applyFont="1" applyFill="1" applyAlignment="1">
      <alignment vertical="top"/>
    </xf>
    <xf numFmtId="3" fontId="5" fillId="28" borderId="0" xfId="0" applyNumberFormat="1" applyFont="1" applyFill="1" applyAlignment="1">
      <alignment vertical="top"/>
    </xf>
    <xf numFmtId="0" fontId="34" fillId="0" borderId="22" xfId="0" applyFont="1" applyBorder="1" applyAlignment="1">
      <alignment/>
    </xf>
    <xf numFmtId="3" fontId="13" fillId="0" borderId="65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23" xfId="0" applyFont="1" applyBorder="1" applyAlignment="1">
      <alignment/>
    </xf>
    <xf numFmtId="3" fontId="13" fillId="0" borderId="63" xfId="0" applyNumberFormat="1" applyFont="1" applyFill="1" applyBorder="1" applyAlignment="1">
      <alignment/>
    </xf>
    <xf numFmtId="3" fontId="13" fillId="25" borderId="65" xfId="0" applyNumberFormat="1" applyFont="1" applyFill="1" applyBorder="1" applyAlignment="1">
      <alignment/>
    </xf>
    <xf numFmtId="3" fontId="13" fillId="25" borderId="63" xfId="0" applyNumberFormat="1" applyFont="1" applyFill="1" applyBorder="1" applyAlignment="1">
      <alignment/>
    </xf>
    <xf numFmtId="3" fontId="13" fillId="25" borderId="14" xfId="0" applyNumberFormat="1" applyFont="1" applyFill="1" applyBorder="1" applyAlignment="1">
      <alignment/>
    </xf>
    <xf numFmtId="3" fontId="13" fillId="26" borderId="65" xfId="0" applyNumberFormat="1" applyFont="1" applyFill="1" applyBorder="1" applyAlignment="1">
      <alignment/>
    </xf>
    <xf numFmtId="3" fontId="13" fillId="26" borderId="63" xfId="0" applyNumberFormat="1" applyFont="1" applyFill="1" applyBorder="1" applyAlignment="1">
      <alignment/>
    </xf>
    <xf numFmtId="3" fontId="13" fillId="26" borderId="14" xfId="0" applyNumberFormat="1" applyFont="1" applyFill="1" applyBorder="1" applyAlignment="1">
      <alignment/>
    </xf>
    <xf numFmtId="3" fontId="12" fillId="8" borderId="14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0" borderId="66" xfId="0" applyNumberFormat="1" applyFont="1" applyFill="1" applyBorder="1" applyAlignment="1">
      <alignment/>
    </xf>
    <xf numFmtId="3" fontId="34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4" fillId="0" borderId="0" xfId="99" applyNumberFormat="1" applyFont="1">
      <alignment/>
      <protection/>
    </xf>
    <xf numFmtId="0" fontId="33" fillId="0" borderId="0" xfId="99" applyFont="1" applyFill="1" applyBorder="1" applyAlignment="1">
      <alignment wrapText="1"/>
      <protection/>
    </xf>
    <xf numFmtId="0" fontId="13" fillId="29" borderId="36" xfId="0" applyFont="1" applyFill="1" applyBorder="1" applyAlignment="1">
      <alignment horizontal="left" wrapText="1"/>
    </xf>
    <xf numFmtId="0" fontId="13" fillId="29" borderId="30" xfId="0" applyFont="1" applyFill="1" applyBorder="1" applyAlignment="1">
      <alignment horizontal="center" wrapText="1"/>
    </xf>
    <xf numFmtId="0" fontId="13" fillId="29" borderId="12" xfId="0" applyFont="1" applyFill="1" applyBorder="1" applyAlignment="1">
      <alignment horizontal="center" wrapText="1"/>
    </xf>
    <xf numFmtId="0" fontId="4" fillId="30" borderId="0" xfId="0" applyFont="1" applyFill="1" applyAlignment="1">
      <alignment vertical="top"/>
    </xf>
    <xf numFmtId="3" fontId="4" fillId="30" borderId="0" xfId="0" applyNumberFormat="1" applyFont="1" applyFill="1" applyAlignment="1">
      <alignment vertical="top"/>
    </xf>
    <xf numFmtId="0" fontId="4" fillId="31" borderId="0" xfId="0" applyFont="1" applyFill="1" applyAlignment="1">
      <alignment vertical="top"/>
    </xf>
    <xf numFmtId="3" fontId="4" fillId="31" borderId="0" xfId="0" applyNumberFormat="1" applyFont="1" applyFill="1" applyAlignment="1">
      <alignment vertical="top"/>
    </xf>
    <xf numFmtId="0" fontId="4" fillId="30" borderId="0" xfId="0" applyFont="1" applyFill="1" applyAlignment="1">
      <alignment vertical="top" wrapText="1"/>
    </xf>
    <xf numFmtId="3" fontId="4" fillId="30" borderId="0" xfId="0" applyNumberFormat="1" applyFont="1" applyFill="1" applyAlignment="1">
      <alignment horizontal="right" vertical="top"/>
    </xf>
    <xf numFmtId="0" fontId="4" fillId="30" borderId="0" xfId="0" applyFont="1" applyFill="1" applyAlignment="1">
      <alignment horizontal="left" vertical="top" wrapText="1"/>
    </xf>
    <xf numFmtId="0" fontId="4" fillId="31" borderId="0" xfId="0" applyFont="1" applyFill="1" applyAlignment="1">
      <alignment horizontal="left" vertical="top" wrapText="1"/>
    </xf>
    <xf numFmtId="0" fontId="5" fillId="31" borderId="0" xfId="0" applyFont="1" applyFill="1" applyAlignment="1">
      <alignment vertical="top"/>
    </xf>
    <xf numFmtId="3" fontId="4" fillId="31" borderId="0" xfId="0" applyNumberFormat="1" applyFont="1" applyFill="1" applyAlignment="1">
      <alignment horizontal="right" vertical="top"/>
    </xf>
    <xf numFmtId="1" fontId="4" fillId="30" borderId="0" xfId="101" applyNumberFormat="1" applyFont="1" applyFill="1" applyAlignment="1">
      <alignment horizontal="right" vertical="top"/>
      <protection/>
    </xf>
    <xf numFmtId="0" fontId="4" fillId="30" borderId="0" xfId="101" applyFont="1" applyFill="1" applyAlignment="1">
      <alignment vertical="top" wrapText="1"/>
      <protection/>
    </xf>
    <xf numFmtId="3" fontId="4" fillId="30" borderId="0" xfId="101" applyNumberFormat="1" applyFont="1" applyFill="1" applyAlignment="1">
      <alignment horizontal="right" vertical="top"/>
      <protection/>
    </xf>
    <xf numFmtId="1" fontId="4" fillId="31" borderId="0" xfId="101" applyNumberFormat="1" applyFont="1" applyFill="1" applyAlignment="1">
      <alignment horizontal="right" vertical="top"/>
      <protection/>
    </xf>
    <xf numFmtId="0" fontId="4" fillId="31" borderId="0" xfId="0" applyFont="1" applyFill="1" applyAlignment="1">
      <alignment vertical="top" wrapText="1"/>
    </xf>
    <xf numFmtId="0" fontId="4" fillId="30" borderId="0" xfId="101" applyFont="1" applyFill="1" applyAlignment="1">
      <alignment horizontal="right" vertical="top"/>
      <protection/>
    </xf>
    <xf numFmtId="0" fontId="4" fillId="31" borderId="0" xfId="0" applyFont="1" applyFill="1" applyAlignment="1">
      <alignment horizontal="left" vertical="top"/>
    </xf>
    <xf numFmtId="0" fontId="4" fillId="31" borderId="0" xfId="101" applyFont="1" applyFill="1" applyAlignment="1">
      <alignment horizontal="left" vertical="top"/>
      <protection/>
    </xf>
    <xf numFmtId="0" fontId="4" fillId="31" borderId="0" xfId="101" applyFont="1" applyFill="1" applyAlignment="1">
      <alignment vertical="top"/>
      <protection/>
    </xf>
    <xf numFmtId="3" fontId="4" fillId="31" borderId="0" xfId="101" applyNumberFormat="1" applyFont="1" applyFill="1" applyAlignment="1">
      <alignment horizontal="right" vertical="top"/>
      <protection/>
    </xf>
    <xf numFmtId="3" fontId="5" fillId="31" borderId="0" xfId="0" applyNumberFormat="1" applyFont="1" applyFill="1" applyAlignment="1">
      <alignment vertical="top"/>
    </xf>
    <xf numFmtId="0" fontId="0" fillId="30" borderId="0" xfId="0" applyFill="1" applyAlignment="1">
      <alignment/>
    </xf>
    <xf numFmtId="3" fontId="4" fillId="3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14" fillId="0" borderId="3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8" borderId="31" xfId="0" applyFont="1" applyFill="1" applyBorder="1" applyAlignment="1">
      <alignment horizontal="center" wrapText="1"/>
    </xf>
    <xf numFmtId="0" fontId="14" fillId="8" borderId="19" xfId="0" applyFont="1" applyFill="1" applyBorder="1" applyAlignment="1">
      <alignment horizontal="center" wrapText="1"/>
    </xf>
    <xf numFmtId="0" fontId="14" fillId="8" borderId="20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3" fillId="24" borderId="31" xfId="0" applyFont="1" applyFill="1" applyBorder="1" applyAlignment="1">
      <alignment horizontal="center" wrapText="1"/>
    </xf>
    <xf numFmtId="0" fontId="13" fillId="24" borderId="19" xfId="0" applyFont="1" applyFill="1" applyBorder="1" applyAlignment="1">
      <alignment horizontal="center" wrapText="1"/>
    </xf>
    <xf numFmtId="0" fontId="13" fillId="24" borderId="73" xfId="0" applyFont="1" applyFill="1" applyBorder="1" applyAlignment="1">
      <alignment horizontal="center" wrapText="1"/>
    </xf>
    <xf numFmtId="0" fontId="13" fillId="24" borderId="20" xfId="0" applyFont="1" applyFill="1" applyBorder="1" applyAlignment="1">
      <alignment horizontal="center" wrapText="1"/>
    </xf>
    <xf numFmtId="0" fontId="14" fillId="25" borderId="31" xfId="0" applyFont="1" applyFill="1" applyBorder="1" applyAlignment="1">
      <alignment horizontal="center" wrapText="1"/>
    </xf>
    <xf numFmtId="0" fontId="14" fillId="25" borderId="19" xfId="0" applyFont="1" applyFill="1" applyBorder="1" applyAlignment="1">
      <alignment horizontal="center" wrapText="1"/>
    </xf>
    <xf numFmtId="0" fontId="14" fillId="25" borderId="20" xfId="0" applyFont="1" applyFill="1" applyBorder="1" applyAlignment="1">
      <alignment horizontal="center" wrapText="1"/>
    </xf>
    <xf numFmtId="0" fontId="14" fillId="26" borderId="31" xfId="0" applyFont="1" applyFill="1" applyBorder="1" applyAlignment="1">
      <alignment horizontal="center" wrapText="1"/>
    </xf>
    <xf numFmtId="0" fontId="14" fillId="26" borderId="19" xfId="0" applyFont="1" applyFill="1" applyBorder="1" applyAlignment="1">
      <alignment horizontal="center" wrapText="1"/>
    </xf>
    <xf numFmtId="0" fontId="14" fillId="26" borderId="20" xfId="0" applyFont="1" applyFill="1" applyBorder="1" applyAlignment="1">
      <alignment horizontal="center" wrapText="1"/>
    </xf>
    <xf numFmtId="0" fontId="12" fillId="8" borderId="31" xfId="0" applyFont="1" applyFill="1" applyBorder="1" applyAlignment="1">
      <alignment horizontal="center" wrapText="1"/>
    </xf>
    <xf numFmtId="0" fontId="12" fillId="8" borderId="19" xfId="0" applyFont="1" applyFill="1" applyBorder="1" applyAlignment="1">
      <alignment horizontal="center" wrapText="1"/>
    </xf>
    <xf numFmtId="0" fontId="12" fillId="8" borderId="20" xfId="0" applyFont="1" applyFill="1" applyBorder="1" applyAlignment="1">
      <alignment horizontal="center" wrapText="1"/>
    </xf>
    <xf numFmtId="0" fontId="14" fillId="29" borderId="31" xfId="0" applyFont="1" applyFill="1" applyBorder="1" applyAlignment="1">
      <alignment horizontal="center" wrapText="1"/>
    </xf>
    <xf numFmtId="0" fontId="14" fillId="29" borderId="19" xfId="0" applyFont="1" applyFill="1" applyBorder="1" applyAlignment="1">
      <alignment horizontal="center" wrapText="1"/>
    </xf>
    <xf numFmtId="0" fontId="14" fillId="29" borderId="20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4" fillId="25" borderId="37" xfId="0" applyFont="1" applyFill="1" applyBorder="1" applyAlignment="1">
      <alignment horizontal="center" wrapText="1"/>
    </xf>
    <xf numFmtId="0" fontId="14" fillId="25" borderId="74" xfId="0" applyFont="1" applyFill="1" applyBorder="1" applyAlignment="1">
      <alignment horizontal="center" wrapText="1"/>
    </xf>
    <xf numFmtId="0" fontId="14" fillId="25" borderId="59" xfId="0" applyFont="1" applyFill="1" applyBorder="1" applyAlignment="1">
      <alignment horizontal="center" wrapText="1"/>
    </xf>
    <xf numFmtId="0" fontId="14" fillId="29" borderId="31" xfId="0" applyFont="1" applyFill="1" applyBorder="1" applyAlignment="1">
      <alignment horizontal="center" wrapText="1"/>
    </xf>
    <xf numFmtId="0" fontId="14" fillId="29" borderId="19" xfId="0" applyFont="1" applyFill="1" applyBorder="1" applyAlignment="1">
      <alignment horizontal="center" wrapText="1"/>
    </xf>
    <xf numFmtId="0" fontId="14" fillId="29" borderId="20" xfId="0" applyFont="1" applyFill="1" applyBorder="1" applyAlignment="1">
      <alignment horizontal="center" wrapText="1"/>
    </xf>
    <xf numFmtId="0" fontId="5" fillId="29" borderId="31" xfId="0" applyFont="1" applyFill="1" applyBorder="1" applyAlignment="1">
      <alignment horizontal="center" wrapText="1"/>
    </xf>
    <xf numFmtId="0" fontId="5" fillId="29" borderId="19" xfId="0" applyFont="1" applyFill="1" applyBorder="1" applyAlignment="1">
      <alignment horizontal="center" wrapText="1"/>
    </xf>
    <xf numFmtId="0" fontId="5" fillId="29" borderId="2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10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vatkozott cella" xfId="84"/>
    <cellStyle name="Input" xfId="85"/>
    <cellStyle name="Jegyzet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rmál_R_2MELL 2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4" customWidth="1"/>
    <col min="2" max="2" width="12.25390625" style="4" customWidth="1"/>
    <col min="3" max="3" width="6.00390625" style="3" customWidth="1"/>
    <col min="4" max="4" width="37.125" style="3" customWidth="1"/>
    <col min="5" max="16384" width="9.125" style="3" customWidth="1"/>
  </cols>
  <sheetData>
    <row r="1" ht="18.75" customHeight="1"/>
    <row r="2" spans="1:8" ht="15.75">
      <c r="A2" s="511" t="s">
        <v>30</v>
      </c>
      <c r="B2" s="511"/>
      <c r="C2" s="511"/>
      <c r="D2" s="511"/>
      <c r="E2" s="511"/>
      <c r="F2" s="511"/>
      <c r="G2" s="9"/>
      <c r="H2" s="9"/>
    </row>
    <row r="3" spans="1:6" ht="12.75">
      <c r="A3" s="8"/>
      <c r="B3" s="8"/>
      <c r="C3" s="6"/>
      <c r="D3" s="6"/>
      <c r="E3" s="6"/>
      <c r="F3" s="6"/>
    </row>
    <row r="4" spans="1:6" ht="27.75" customHeight="1">
      <c r="A4" s="8"/>
      <c r="B4" s="8"/>
      <c r="C4" s="6"/>
      <c r="D4" s="6"/>
      <c r="E4" s="6"/>
      <c r="F4" s="6"/>
    </row>
    <row r="5" spans="1:6" ht="12.75">
      <c r="A5" s="10" t="s">
        <v>31</v>
      </c>
      <c r="B5" s="10"/>
      <c r="C5" s="6"/>
      <c r="D5" s="6"/>
      <c r="E5" s="6"/>
      <c r="F5" s="6"/>
    </row>
    <row r="6" spans="1:6" ht="12.75">
      <c r="A6" s="10"/>
      <c r="B6" s="10" t="s">
        <v>32</v>
      </c>
      <c r="C6" s="6"/>
      <c r="D6" s="6"/>
      <c r="E6" s="6"/>
      <c r="F6" s="6"/>
    </row>
    <row r="7" spans="1:6" ht="25.5" customHeight="1">
      <c r="A7" s="10"/>
      <c r="B7" s="10" t="s">
        <v>4</v>
      </c>
      <c r="C7" s="11"/>
      <c r="D7" s="12" t="s">
        <v>53</v>
      </c>
      <c r="E7" s="6"/>
      <c r="F7" s="6"/>
    </row>
    <row r="8" spans="1:6" ht="25.5" customHeight="1">
      <c r="A8" s="10"/>
      <c r="B8" s="10" t="s">
        <v>5</v>
      </c>
      <c r="C8" s="11"/>
      <c r="D8" s="18" t="s">
        <v>33</v>
      </c>
      <c r="E8" s="6"/>
      <c r="F8" s="6"/>
    </row>
    <row r="9" spans="1:6" ht="25.5" customHeight="1">
      <c r="A9" s="10"/>
      <c r="B9" s="10" t="s">
        <v>6</v>
      </c>
      <c r="C9" s="11"/>
      <c r="D9" s="4" t="s">
        <v>63</v>
      </c>
      <c r="E9" s="6"/>
      <c r="F9" s="6"/>
    </row>
    <row r="10" spans="1:6" ht="25.5" customHeight="1">
      <c r="A10" s="10"/>
      <c r="B10" s="10" t="s">
        <v>7</v>
      </c>
      <c r="C10" s="11"/>
      <c r="D10" s="18" t="s">
        <v>137</v>
      </c>
      <c r="E10" s="6"/>
      <c r="F10" s="6"/>
    </row>
    <row r="11" spans="1:6" ht="25.5" customHeight="1">
      <c r="A11" s="10"/>
      <c r="B11" s="10" t="s">
        <v>8</v>
      </c>
      <c r="C11" s="11"/>
      <c r="D11" s="103" t="s">
        <v>148</v>
      </c>
      <c r="E11" s="6"/>
      <c r="F11" s="6"/>
    </row>
    <row r="12" spans="1:6" ht="25.5" customHeight="1">
      <c r="A12" s="10"/>
      <c r="B12" s="10" t="s">
        <v>18</v>
      </c>
      <c r="C12" s="11"/>
      <c r="D12" s="18" t="s">
        <v>149</v>
      </c>
      <c r="E12" s="103"/>
      <c r="F12" s="103"/>
    </row>
    <row r="13" spans="1:6" ht="25.5" customHeight="1">
      <c r="A13" s="10"/>
      <c r="B13" s="10" t="s">
        <v>19</v>
      </c>
      <c r="C13" s="11"/>
      <c r="D13" s="18" t="s">
        <v>150</v>
      </c>
      <c r="E13" s="6"/>
      <c r="F13" s="6"/>
    </row>
    <row r="14" spans="1:6" ht="25.5" customHeight="1">
      <c r="A14" s="10"/>
      <c r="B14" s="10" t="s">
        <v>21</v>
      </c>
      <c r="C14" s="11"/>
      <c r="D14" s="18" t="s">
        <v>34</v>
      </c>
      <c r="E14" s="6"/>
      <c r="F14" s="6"/>
    </row>
    <row r="15" spans="1:6" ht="25.5" customHeight="1">
      <c r="A15" s="10" t="s">
        <v>1</v>
      </c>
      <c r="B15" s="8"/>
      <c r="C15" s="6"/>
      <c r="D15" s="12" t="s">
        <v>35</v>
      </c>
      <c r="E15" s="6"/>
      <c r="F15" s="6"/>
    </row>
    <row r="16" spans="1:6" ht="12.75">
      <c r="A16" s="8"/>
      <c r="B16" s="8"/>
      <c r="C16" s="6"/>
      <c r="D16" s="6"/>
      <c r="E16" s="6"/>
      <c r="F16" s="6"/>
    </row>
    <row r="17" spans="1:6" ht="12.75">
      <c r="A17" s="8"/>
      <c r="B17" s="8"/>
      <c r="C17" s="6"/>
      <c r="D17" s="6"/>
      <c r="E17" s="6"/>
      <c r="F17" s="6"/>
    </row>
    <row r="18" spans="1:6" ht="12.75">
      <c r="A18" s="8"/>
      <c r="B18" s="8"/>
      <c r="C18" s="6"/>
      <c r="D18" s="6"/>
      <c r="E18" s="6"/>
      <c r="F18" s="6"/>
    </row>
    <row r="19" spans="1:6" ht="12.75">
      <c r="A19" s="8"/>
      <c r="B19" s="8"/>
      <c r="C19" s="6"/>
      <c r="D19" s="6"/>
      <c r="E19" s="6"/>
      <c r="F19" s="6"/>
    </row>
    <row r="20" spans="1:6" ht="12.75">
      <c r="A20" s="8"/>
      <c r="B20" s="8"/>
      <c r="C20" s="6"/>
      <c r="D20" s="6"/>
      <c r="E20" s="6"/>
      <c r="F20" s="6"/>
    </row>
    <row r="21" spans="1:6" ht="12.75">
      <c r="A21" s="8"/>
      <c r="B21" s="8"/>
      <c r="C21" s="6"/>
      <c r="D21" s="6"/>
      <c r="E21" s="6"/>
      <c r="F21" s="6"/>
    </row>
    <row r="22" spans="1:6" ht="12.75">
      <c r="A22" s="8"/>
      <c r="B22" s="8"/>
      <c r="C22" s="6"/>
      <c r="D22" s="6"/>
      <c r="E22" s="6"/>
      <c r="F22" s="6"/>
    </row>
    <row r="23" spans="1:6" ht="12.75">
      <c r="A23" s="8"/>
      <c r="B23" s="8"/>
      <c r="C23" s="6"/>
      <c r="D23" s="6"/>
      <c r="E23" s="6"/>
      <c r="F23" s="6"/>
    </row>
    <row r="24" spans="1:6" ht="12.75">
      <c r="A24" s="8"/>
      <c r="B24" s="8"/>
      <c r="C24" s="6"/>
      <c r="D24" s="6"/>
      <c r="E24" s="6"/>
      <c r="F24" s="6"/>
    </row>
    <row r="25" spans="1:6" ht="12.75">
      <c r="A25" s="8"/>
      <c r="B25" s="8"/>
      <c r="C25" s="6"/>
      <c r="D25" s="6"/>
      <c r="E25" s="6"/>
      <c r="F25" s="6"/>
    </row>
    <row r="26" spans="1:6" ht="12.75">
      <c r="A26" s="8"/>
      <c r="B26" s="8"/>
      <c r="C26" s="6"/>
      <c r="D26" s="6"/>
      <c r="E26" s="6"/>
      <c r="F26" s="6"/>
    </row>
    <row r="27" spans="1:6" ht="12.75">
      <c r="A27" s="8"/>
      <c r="B27" s="8"/>
      <c r="C27" s="6"/>
      <c r="D27" s="6"/>
      <c r="E27" s="6"/>
      <c r="F27" s="6"/>
    </row>
    <row r="28" spans="1:6" ht="12.75">
      <c r="A28" s="8"/>
      <c r="B28" s="8"/>
      <c r="C28" s="6"/>
      <c r="D28" s="6"/>
      <c r="E28" s="6"/>
      <c r="F28" s="6"/>
    </row>
    <row r="29" spans="1:6" ht="12.75">
      <c r="A29" s="8"/>
      <c r="B29" s="8"/>
      <c r="C29" s="6"/>
      <c r="D29" s="6"/>
      <c r="E29" s="6"/>
      <c r="F29" s="6"/>
    </row>
    <row r="30" spans="1:6" ht="12.75">
      <c r="A30" s="8"/>
      <c r="B30" s="8"/>
      <c r="C30" s="6"/>
      <c r="D30" s="6"/>
      <c r="E30" s="6"/>
      <c r="F30" s="6"/>
    </row>
    <row r="31" spans="1:6" ht="12.75">
      <c r="A31" s="8"/>
      <c r="B31" s="8"/>
      <c r="C31" s="6"/>
      <c r="D31" s="6"/>
      <c r="E31" s="6"/>
      <c r="F31" s="6"/>
    </row>
    <row r="32" spans="1:6" ht="12.75">
      <c r="A32" s="8"/>
      <c r="B32" s="8"/>
      <c r="C32" s="6"/>
      <c r="D32" s="6"/>
      <c r="E32" s="6"/>
      <c r="F32" s="6"/>
    </row>
    <row r="33" spans="1:6" ht="12.75">
      <c r="A33" s="8"/>
      <c r="B33" s="8"/>
      <c r="C33" s="6"/>
      <c r="D33" s="6"/>
      <c r="E33" s="6"/>
      <c r="F33" s="6"/>
    </row>
    <row r="34" spans="1:6" ht="12.75">
      <c r="A34" s="8"/>
      <c r="B34" s="8"/>
      <c r="C34" s="6"/>
      <c r="D34" s="6"/>
      <c r="E34" s="6"/>
      <c r="F34" s="6"/>
    </row>
    <row r="35" spans="1:6" ht="12.75">
      <c r="A35" s="8"/>
      <c r="B35" s="8"/>
      <c r="C35" s="6"/>
      <c r="D35" s="6"/>
      <c r="E35" s="6"/>
      <c r="F35" s="6"/>
    </row>
    <row r="36" spans="1:6" ht="12.75">
      <c r="A36" s="8"/>
      <c r="B36" s="8"/>
      <c r="C36" s="6"/>
      <c r="D36" s="6"/>
      <c r="E36" s="6"/>
      <c r="F36" s="6"/>
    </row>
    <row r="37" spans="1:6" ht="12.75">
      <c r="A37" s="8"/>
      <c r="B37" s="8"/>
      <c r="C37" s="6"/>
      <c r="D37" s="6"/>
      <c r="E37" s="6"/>
      <c r="F37" s="6"/>
    </row>
    <row r="38" spans="1:6" ht="12.75">
      <c r="A38" s="8"/>
      <c r="B38" s="8"/>
      <c r="C38" s="6"/>
      <c r="D38" s="6"/>
      <c r="E38" s="6"/>
      <c r="F38" s="6"/>
    </row>
    <row r="39" spans="1:6" ht="12.75">
      <c r="A39" s="8"/>
      <c r="B39" s="8"/>
      <c r="C39" s="6"/>
      <c r="D39" s="6"/>
      <c r="E39" s="6"/>
      <c r="F39" s="6"/>
    </row>
    <row r="40" spans="1:6" ht="12.75">
      <c r="A40" s="8"/>
      <c r="B40" s="8"/>
      <c r="C40" s="6"/>
      <c r="D40" s="6"/>
      <c r="E40" s="6"/>
      <c r="F40" s="6"/>
    </row>
    <row r="41" spans="1:6" ht="12.75">
      <c r="A41" s="8"/>
      <c r="B41" s="8"/>
      <c r="C41" s="6"/>
      <c r="D41" s="6"/>
      <c r="E41" s="6"/>
      <c r="F41" s="6"/>
    </row>
    <row r="42" spans="1:6" ht="12.75">
      <c r="A42" s="8"/>
      <c r="B42" s="8"/>
      <c r="C42" s="6"/>
      <c r="D42" s="6"/>
      <c r="E42" s="6"/>
      <c r="F42" s="6"/>
    </row>
    <row r="43" spans="1:6" ht="12.75">
      <c r="A43" s="8"/>
      <c r="B43" s="8"/>
      <c r="C43" s="6"/>
      <c r="D43" s="6"/>
      <c r="E43" s="6"/>
      <c r="F43" s="6"/>
    </row>
    <row r="44" spans="1:6" ht="12.75">
      <c r="A44" s="8"/>
      <c r="B44" s="8"/>
      <c r="C44" s="6"/>
      <c r="D44" s="6"/>
      <c r="E44" s="6"/>
      <c r="F44" s="6"/>
    </row>
    <row r="45" spans="1:6" ht="12.75">
      <c r="A45" s="8"/>
      <c r="B45" s="8"/>
      <c r="C45" s="6"/>
      <c r="D45" s="6"/>
      <c r="E45" s="6"/>
      <c r="F45" s="6"/>
    </row>
    <row r="46" spans="1:6" ht="12.75">
      <c r="A46" s="8"/>
      <c r="B46" s="8"/>
      <c r="C46" s="6"/>
      <c r="D46" s="6"/>
      <c r="E46" s="6"/>
      <c r="F46" s="6"/>
    </row>
    <row r="47" spans="1:6" ht="12.75">
      <c r="A47" s="8"/>
      <c r="B47" s="8"/>
      <c r="C47" s="6"/>
      <c r="D47" s="6"/>
      <c r="E47" s="6"/>
      <c r="F47" s="6"/>
    </row>
    <row r="48" spans="1:6" ht="12.75">
      <c r="A48" s="8"/>
      <c r="B48" s="8"/>
      <c r="C48" s="6"/>
      <c r="D48" s="6"/>
      <c r="E48" s="6"/>
      <c r="F48" s="6"/>
    </row>
    <row r="49" spans="1:6" ht="12.75">
      <c r="A49" s="8"/>
      <c r="B49" s="8"/>
      <c r="C49" s="6"/>
      <c r="D49" s="6"/>
      <c r="E49" s="6"/>
      <c r="F49" s="6"/>
    </row>
    <row r="50" spans="1:6" ht="12.75">
      <c r="A50" s="8"/>
      <c r="B50" s="8"/>
      <c r="C50" s="6"/>
      <c r="D50" s="6"/>
      <c r="E50" s="6"/>
      <c r="F50" s="6"/>
    </row>
    <row r="51" spans="1:6" ht="12.75">
      <c r="A51" s="8"/>
      <c r="B51" s="8"/>
      <c r="C51" s="6"/>
      <c r="D51" s="6"/>
      <c r="E51" s="6"/>
      <c r="F51" s="6"/>
    </row>
    <row r="52" spans="1:6" ht="12.75">
      <c r="A52" s="8"/>
      <c r="B52" s="8"/>
      <c r="C52" s="6"/>
      <c r="D52" s="6"/>
      <c r="E52" s="6"/>
      <c r="F52" s="6"/>
    </row>
    <row r="53" spans="1:6" ht="12.75">
      <c r="A53" s="8"/>
      <c r="B53" s="8"/>
      <c r="C53" s="6"/>
      <c r="D53" s="6"/>
      <c r="E53" s="6"/>
      <c r="F53" s="6"/>
    </row>
    <row r="54" spans="1:6" ht="12.75">
      <c r="A54" s="8"/>
      <c r="B54" s="8"/>
      <c r="C54" s="6"/>
      <c r="D54" s="6"/>
      <c r="E54" s="6"/>
      <c r="F54" s="6"/>
    </row>
    <row r="55" spans="1:6" ht="12.75">
      <c r="A55" s="8"/>
      <c r="B55" s="8"/>
      <c r="C55" s="6"/>
      <c r="D55" s="6"/>
      <c r="E55" s="6"/>
      <c r="F55" s="6"/>
    </row>
    <row r="56" spans="1:6" ht="12.75">
      <c r="A56" s="8"/>
      <c r="B56" s="8"/>
      <c r="C56" s="6"/>
      <c r="D56" s="6"/>
      <c r="E56" s="6"/>
      <c r="F56" s="6"/>
    </row>
    <row r="57" spans="1:6" ht="12.75">
      <c r="A57" s="8"/>
      <c r="B57" s="8"/>
      <c r="C57" s="6"/>
      <c r="D57" s="6"/>
      <c r="E57" s="6"/>
      <c r="F57" s="6"/>
    </row>
    <row r="58" spans="1:6" ht="12.75">
      <c r="A58" s="8"/>
      <c r="B58" s="8"/>
      <c r="C58" s="6"/>
      <c r="D58" s="6"/>
      <c r="E58" s="6"/>
      <c r="F58" s="6"/>
    </row>
    <row r="59" spans="1:6" ht="12.75">
      <c r="A59" s="8"/>
      <c r="B59" s="8"/>
      <c r="C59" s="6"/>
      <c r="D59" s="6"/>
      <c r="E59" s="6"/>
      <c r="F59" s="6"/>
    </row>
    <row r="60" spans="1:6" ht="12.75">
      <c r="A60" s="8"/>
      <c r="B60" s="8"/>
      <c r="C60" s="6"/>
      <c r="D60" s="6"/>
      <c r="E60" s="6"/>
      <c r="F60" s="6"/>
    </row>
    <row r="61" spans="1:6" ht="12.75">
      <c r="A61" s="8"/>
      <c r="B61" s="8"/>
      <c r="C61" s="6"/>
      <c r="D61" s="6"/>
      <c r="E61" s="6"/>
      <c r="F61" s="6"/>
    </row>
    <row r="62" spans="1:6" ht="12.75">
      <c r="A62" s="8"/>
      <c r="B62" s="8"/>
      <c r="C62" s="6"/>
      <c r="D62" s="6"/>
      <c r="E62" s="6"/>
      <c r="F62" s="6"/>
    </row>
    <row r="63" spans="1:6" ht="12.75">
      <c r="A63" s="8"/>
      <c r="B63" s="8"/>
      <c r="C63" s="6"/>
      <c r="D63" s="6"/>
      <c r="E63" s="6"/>
      <c r="F63" s="6"/>
    </row>
    <row r="64" spans="1:6" ht="12.75">
      <c r="A64" s="8"/>
      <c r="B64" s="8"/>
      <c r="C64" s="6"/>
      <c r="D64" s="6"/>
      <c r="E64" s="6"/>
      <c r="F64" s="6"/>
    </row>
    <row r="65" spans="1:6" ht="12.75">
      <c r="A65" s="8"/>
      <c r="B65" s="8"/>
      <c r="C65" s="6"/>
      <c r="D65" s="6"/>
      <c r="E65" s="6"/>
      <c r="F65" s="6"/>
    </row>
    <row r="66" spans="1:6" ht="12.75">
      <c r="A66" s="8"/>
      <c r="B66" s="8"/>
      <c r="C66" s="6"/>
      <c r="D66" s="6"/>
      <c r="E66" s="6"/>
      <c r="F66" s="6"/>
    </row>
    <row r="67" spans="1:6" ht="12.75">
      <c r="A67" s="8"/>
      <c r="B67" s="8"/>
      <c r="C67" s="6"/>
      <c r="D67" s="6"/>
      <c r="E67" s="6"/>
      <c r="F67" s="6"/>
    </row>
    <row r="68" spans="1:6" ht="12.75">
      <c r="A68" s="8"/>
      <c r="B68" s="8"/>
      <c r="C68" s="6"/>
      <c r="D68" s="6"/>
      <c r="E68" s="6"/>
      <c r="F68" s="6"/>
    </row>
    <row r="69" spans="1:6" ht="12.75">
      <c r="A69" s="8"/>
      <c r="B69" s="8"/>
      <c r="C69" s="6"/>
      <c r="D69" s="6"/>
      <c r="E69" s="6"/>
      <c r="F69" s="6"/>
    </row>
    <row r="70" spans="1:6" ht="12.75">
      <c r="A70" s="8"/>
      <c r="B70" s="8"/>
      <c r="C70" s="6"/>
      <c r="D70" s="6"/>
      <c r="E70" s="6"/>
      <c r="F70" s="6"/>
    </row>
    <row r="71" spans="1:6" ht="12.75">
      <c r="A71" s="8"/>
      <c r="B71" s="8"/>
      <c r="C71" s="6"/>
      <c r="D71" s="6"/>
      <c r="E71" s="6"/>
      <c r="F71" s="6"/>
    </row>
    <row r="72" spans="1:6" ht="12.75">
      <c r="A72" s="8"/>
      <c r="B72" s="8"/>
      <c r="C72" s="6"/>
      <c r="D72" s="6"/>
      <c r="E72" s="6"/>
      <c r="F72" s="6"/>
    </row>
    <row r="73" spans="1:6" ht="12.75">
      <c r="A73" s="8"/>
      <c r="B73" s="8"/>
      <c r="C73" s="6"/>
      <c r="D73" s="6"/>
      <c r="E73" s="6"/>
      <c r="F73" s="6"/>
    </row>
    <row r="74" spans="1:6" ht="12.75">
      <c r="A74" s="8"/>
      <c r="B74" s="8"/>
      <c r="C74" s="6"/>
      <c r="D74" s="6"/>
      <c r="E74" s="6"/>
      <c r="F74" s="6"/>
    </row>
    <row r="75" spans="1:6" ht="12.75">
      <c r="A75" s="8"/>
      <c r="B75" s="8"/>
      <c r="C75" s="6"/>
      <c r="D75" s="6"/>
      <c r="E75" s="6"/>
      <c r="F75" s="6"/>
    </row>
    <row r="76" spans="1:6" ht="12.75">
      <c r="A76" s="8"/>
      <c r="B76" s="8"/>
      <c r="C76" s="6"/>
      <c r="D76" s="6"/>
      <c r="E76" s="6"/>
      <c r="F76" s="6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1" customWidth="1"/>
    <col min="2" max="4" width="15.75390625" style="1" customWidth="1"/>
    <col min="5" max="5" width="3.375" style="1" customWidth="1"/>
    <col min="6" max="16384" width="9.125" style="1" customWidth="1"/>
  </cols>
  <sheetData>
    <row r="1" ht="15.75">
      <c r="A1" s="74" t="s">
        <v>295</v>
      </c>
    </row>
    <row r="2" ht="15.75">
      <c r="A2" s="74" t="s">
        <v>284</v>
      </c>
    </row>
    <row r="3" spans="1:4" ht="15.75">
      <c r="A3" s="513" t="s">
        <v>23</v>
      </c>
      <c r="B3" s="513"/>
      <c r="C3" s="513"/>
      <c r="D3" s="513"/>
    </row>
    <row r="4" spans="1:4" ht="15.75">
      <c r="A4" s="513" t="s">
        <v>242</v>
      </c>
      <c r="B4" s="513"/>
      <c r="C4" s="513"/>
      <c r="D4" s="513"/>
    </row>
    <row r="5" spans="1:4" s="5" customFormat="1" ht="21" customHeight="1" thickBot="1">
      <c r="A5" s="512" t="s">
        <v>151</v>
      </c>
      <c r="B5" s="512"/>
      <c r="C5" s="512"/>
      <c r="D5" s="512"/>
    </row>
    <row r="6" spans="1:4" s="5" customFormat="1" ht="42" customHeight="1" thickBot="1">
      <c r="A6" s="54" t="s">
        <v>24</v>
      </c>
      <c r="B6" s="50" t="s">
        <v>243</v>
      </c>
      <c r="C6" s="110" t="s">
        <v>244</v>
      </c>
      <c r="D6" s="110" t="s">
        <v>178</v>
      </c>
    </row>
    <row r="7" spans="1:4" s="5" customFormat="1" ht="12.75">
      <c r="A7" s="48" t="s">
        <v>115</v>
      </c>
      <c r="B7" s="53">
        <f>B8+B9</f>
        <v>1278604161</v>
      </c>
      <c r="C7" s="53">
        <f>C8+C9</f>
        <v>1359560223</v>
      </c>
      <c r="D7" s="53">
        <f>D8+D9</f>
        <v>80956062</v>
      </c>
    </row>
    <row r="8" spans="1:4" s="5" customFormat="1" ht="12.75">
      <c r="A8" s="106" t="s">
        <v>112</v>
      </c>
      <c r="B8" s="474">
        <v>895536997</v>
      </c>
      <c r="C8" s="66">
        <v>939428487</v>
      </c>
      <c r="D8" s="66">
        <f>C8-B8</f>
        <v>43891490</v>
      </c>
    </row>
    <row r="9" spans="1:4" s="5" customFormat="1" ht="12.75">
      <c r="A9" s="106" t="s">
        <v>113</v>
      </c>
      <c r="B9" s="474">
        <v>383067164</v>
      </c>
      <c r="C9" s="66">
        <v>420131736</v>
      </c>
      <c r="D9" s="66">
        <f>C9-B9</f>
        <v>37064572</v>
      </c>
    </row>
    <row r="10" spans="1:4" s="5" customFormat="1" ht="12.75">
      <c r="A10" s="55" t="s">
        <v>65</v>
      </c>
      <c r="B10" s="475">
        <v>537426000</v>
      </c>
      <c r="C10" s="14">
        <v>408218155</v>
      </c>
      <c r="D10" s="14">
        <f>C10-B10</f>
        <v>-129207845</v>
      </c>
    </row>
    <row r="11" spans="1:4" s="5" customFormat="1" ht="12.75">
      <c r="A11" s="55" t="s">
        <v>66</v>
      </c>
      <c r="B11" s="475">
        <v>274577123</v>
      </c>
      <c r="C11" s="14">
        <v>195267953</v>
      </c>
      <c r="D11" s="14">
        <f>C11-B11</f>
        <v>-79309170</v>
      </c>
    </row>
    <row r="12" spans="1:4" s="5" customFormat="1" ht="13.5" thickBot="1">
      <c r="A12" s="58" t="s">
        <v>68</v>
      </c>
      <c r="B12" s="476">
        <v>2650000</v>
      </c>
      <c r="C12" s="57">
        <v>4450000</v>
      </c>
      <c r="D12" s="57">
        <f>C12-B12</f>
        <v>1800000</v>
      </c>
    </row>
    <row r="13" spans="1:4" s="7" customFormat="1" ht="13.5" thickBot="1">
      <c r="A13" s="60" t="s">
        <v>97</v>
      </c>
      <c r="B13" s="16">
        <f>B7+B10+B11+B12</f>
        <v>2093257284</v>
      </c>
      <c r="C13" s="16">
        <f>C7+C10+C11+C12</f>
        <v>1967496331</v>
      </c>
      <c r="D13" s="16">
        <f>D7+D10+D11+D12</f>
        <v>-125760953</v>
      </c>
    </row>
    <row r="14" spans="1:4" s="5" customFormat="1" ht="12.75">
      <c r="A14" s="48" t="s">
        <v>79</v>
      </c>
      <c r="B14" s="13">
        <f>B15+B16+B17</f>
        <v>583214751</v>
      </c>
      <c r="C14" s="13">
        <f>C15+C16+C17</f>
        <v>612807794</v>
      </c>
      <c r="D14" s="13">
        <f>D15+D16+D17</f>
        <v>29593043</v>
      </c>
    </row>
    <row r="15" spans="1:4" s="5" customFormat="1" ht="12.75">
      <c r="A15" s="104" t="s">
        <v>94</v>
      </c>
      <c r="B15" s="71">
        <v>0</v>
      </c>
      <c r="C15" s="71">
        <v>0</v>
      </c>
      <c r="D15" s="71">
        <f>C15-B15</f>
        <v>0</v>
      </c>
    </row>
    <row r="16" spans="1:4" s="5" customFormat="1" ht="12.75">
      <c r="A16" s="104" t="s">
        <v>173</v>
      </c>
      <c r="B16" s="477">
        <v>1881735</v>
      </c>
      <c r="C16" s="71">
        <v>1802940</v>
      </c>
      <c r="D16" s="71">
        <f>C16-B16</f>
        <v>-78795</v>
      </c>
    </row>
    <row r="17" spans="1:4" s="5" customFormat="1" ht="12.75">
      <c r="A17" s="104" t="s">
        <v>196</v>
      </c>
      <c r="B17" s="477">
        <v>581333016</v>
      </c>
      <c r="C17" s="71">
        <v>611004854</v>
      </c>
      <c r="D17" s="71">
        <f>C17-B17</f>
        <v>29671838</v>
      </c>
    </row>
    <row r="18" spans="1:4" s="5" customFormat="1" ht="12.75">
      <c r="A18" s="55" t="s">
        <v>67</v>
      </c>
      <c r="B18" s="14">
        <v>90829500</v>
      </c>
      <c r="C18" s="14">
        <v>92529500</v>
      </c>
      <c r="D18" s="14">
        <f>C18-B18</f>
        <v>1700000</v>
      </c>
    </row>
    <row r="19" spans="1:4" s="5" customFormat="1" ht="12.75">
      <c r="A19" s="55" t="s">
        <v>59</v>
      </c>
      <c r="B19" s="14">
        <f>SUM(B20:B21)</f>
        <v>12720149</v>
      </c>
      <c r="C19" s="14">
        <f>SUM(C20:C21)</f>
        <v>12720149</v>
      </c>
      <c r="D19" s="14">
        <f>SUM(D20:D21)</f>
        <v>0</v>
      </c>
    </row>
    <row r="20" spans="1:4" s="5" customFormat="1" ht="12.75">
      <c r="A20" s="105" t="s">
        <v>95</v>
      </c>
      <c r="B20" s="66">
        <v>12720149</v>
      </c>
      <c r="C20" s="66">
        <v>12720149</v>
      </c>
      <c r="D20" s="66">
        <f>C20-B20</f>
        <v>0</v>
      </c>
    </row>
    <row r="21" spans="1:4" s="5" customFormat="1" ht="13.5" thickBot="1">
      <c r="A21" s="105" t="s">
        <v>114</v>
      </c>
      <c r="B21" s="70"/>
      <c r="C21" s="70">
        <v>0</v>
      </c>
      <c r="D21" s="70">
        <f>C21-B21</f>
        <v>0</v>
      </c>
    </row>
    <row r="22" spans="1:4" s="7" customFormat="1" ht="14.25" customHeight="1" thickBot="1">
      <c r="A22" s="60" t="s">
        <v>98</v>
      </c>
      <c r="B22" s="16">
        <f>B19+B18+B14</f>
        <v>686764400</v>
      </c>
      <c r="C22" s="16">
        <f>C19+C18+C14</f>
        <v>718057443</v>
      </c>
      <c r="D22" s="16">
        <f>D19+D18+D14</f>
        <v>31293043</v>
      </c>
    </row>
    <row r="23" spans="1:4" s="7" customFormat="1" ht="15.75" customHeight="1" thickBot="1">
      <c r="A23" s="62" t="s">
        <v>96</v>
      </c>
      <c r="B23" s="61">
        <f>B22+B13</f>
        <v>2780021684</v>
      </c>
      <c r="C23" s="61">
        <f>C22+C13</f>
        <v>2685553774</v>
      </c>
      <c r="D23" s="61">
        <f>D22+D13</f>
        <v>-94467910</v>
      </c>
    </row>
    <row r="24" spans="1:4" s="5" customFormat="1" ht="12.75">
      <c r="A24" s="63" t="s">
        <v>64</v>
      </c>
      <c r="B24" s="53">
        <f>SUM(B25:B26)</f>
        <v>1255339333</v>
      </c>
      <c r="C24" s="53">
        <f>SUM(C25:C26)</f>
        <v>1255339333</v>
      </c>
      <c r="D24" s="53">
        <f>SUM(D25:D26)</f>
        <v>0</v>
      </c>
    </row>
    <row r="25" spans="1:4" s="5" customFormat="1" ht="12.75">
      <c r="A25" s="104" t="s">
        <v>99</v>
      </c>
      <c r="B25" s="474">
        <v>375560845</v>
      </c>
      <c r="C25" s="66">
        <v>371560845</v>
      </c>
      <c r="D25" s="66">
        <f>C25-B25</f>
        <v>-4000000</v>
      </c>
    </row>
    <row r="26" spans="1:4" s="5" customFormat="1" ht="12.75">
      <c r="A26" s="104" t="s">
        <v>100</v>
      </c>
      <c r="B26" s="474">
        <v>879778488</v>
      </c>
      <c r="C26" s="66">
        <v>883778488</v>
      </c>
      <c r="D26" s="66">
        <f>C26-B26</f>
        <v>4000000</v>
      </c>
    </row>
    <row r="27" spans="1:4" s="5" customFormat="1" ht="13.5" thickBot="1">
      <c r="A27" s="421" t="s">
        <v>198</v>
      </c>
      <c r="B27" s="422">
        <v>0</v>
      </c>
      <c r="C27" s="422"/>
      <c r="D27" s="422"/>
    </row>
    <row r="28" spans="1:4" s="7" customFormat="1" ht="15.75" customHeight="1" thickBot="1">
      <c r="A28" s="60" t="s">
        <v>101</v>
      </c>
      <c r="B28" s="16">
        <f>SUM(B24+B27)</f>
        <v>1255339333</v>
      </c>
      <c r="C28" s="16">
        <f>SUM(C24+C27)</f>
        <v>1255339333</v>
      </c>
      <c r="D28" s="16">
        <f>SUM(D24+D27)</f>
        <v>0</v>
      </c>
    </row>
    <row r="29" spans="1:4" s="7" customFormat="1" ht="15.75" customHeight="1" thickBot="1">
      <c r="A29" s="56" t="s">
        <v>25</v>
      </c>
      <c r="B29" s="17">
        <f>B13+B22+B24+B27</f>
        <v>4035361017</v>
      </c>
      <c r="C29" s="17">
        <f>C13+C22+C24+C27</f>
        <v>3940893107</v>
      </c>
      <c r="D29" s="17">
        <f>D13+D22+D24+D27</f>
        <v>-94467910</v>
      </c>
    </row>
    <row r="30" s="5" customFormat="1" ht="12.75"/>
    <row r="31" spans="1:4" s="5" customFormat="1" ht="13.5" thickBot="1">
      <c r="A31" s="512" t="s">
        <v>152</v>
      </c>
      <c r="B31" s="512"/>
      <c r="C31" s="512"/>
      <c r="D31" s="512"/>
    </row>
    <row r="32" spans="1:4" s="5" customFormat="1" ht="45" customHeight="1" thickBot="1">
      <c r="A32" s="49" t="s">
        <v>24</v>
      </c>
      <c r="B32" s="110" t="s">
        <v>243</v>
      </c>
      <c r="C32" s="110" t="s">
        <v>244</v>
      </c>
      <c r="D32" s="110" t="s">
        <v>178</v>
      </c>
    </row>
    <row r="33" spans="1:4" s="5" customFormat="1" ht="12.75">
      <c r="A33" s="48" t="s">
        <v>26</v>
      </c>
      <c r="B33" s="478">
        <v>833454266</v>
      </c>
      <c r="C33" s="13">
        <v>799908756</v>
      </c>
      <c r="D33" s="13">
        <f>C33-B33</f>
        <v>-33545510</v>
      </c>
    </row>
    <row r="34" spans="1:4" s="5" customFormat="1" ht="12.75">
      <c r="A34" s="55" t="s">
        <v>27</v>
      </c>
      <c r="B34" s="475">
        <v>158363754</v>
      </c>
      <c r="C34" s="14">
        <v>152551581</v>
      </c>
      <c r="D34" s="14">
        <f>C34-B34</f>
        <v>-5812173</v>
      </c>
    </row>
    <row r="35" spans="1:4" s="5" customFormat="1" ht="12.75">
      <c r="A35" s="55" t="s">
        <v>15</v>
      </c>
      <c r="B35" s="475">
        <v>1324192876</v>
      </c>
      <c r="C35" s="14">
        <v>1279683796</v>
      </c>
      <c r="D35" s="14">
        <f>C35-B35</f>
        <v>-44509080</v>
      </c>
    </row>
    <row r="36" spans="1:4" s="5" customFormat="1" ht="12.75">
      <c r="A36" s="55" t="s">
        <v>28</v>
      </c>
      <c r="B36" s="475">
        <v>32000000</v>
      </c>
      <c r="C36" s="14">
        <v>32000000</v>
      </c>
      <c r="D36" s="14">
        <f>C36-B36</f>
        <v>0</v>
      </c>
    </row>
    <row r="37" spans="1:4" s="5" customFormat="1" ht="12.75">
      <c r="A37" s="55" t="s">
        <v>116</v>
      </c>
      <c r="B37" s="14">
        <f>SUM(B38:B41)</f>
        <v>88178157</v>
      </c>
      <c r="C37" s="14">
        <f>SUM(C38:C41)</f>
        <v>78048756</v>
      </c>
      <c r="D37" s="14">
        <f>SUM(D38:D41)</f>
        <v>-10129401</v>
      </c>
    </row>
    <row r="38" spans="1:4" s="5" customFormat="1" ht="12.75">
      <c r="A38" s="104" t="s">
        <v>102</v>
      </c>
      <c r="B38" s="474">
        <v>0</v>
      </c>
      <c r="C38" s="66">
        <v>9585748</v>
      </c>
      <c r="D38" s="66">
        <f>C38-B38</f>
        <v>9585748</v>
      </c>
    </row>
    <row r="39" spans="1:4" s="5" customFormat="1" ht="12.75">
      <c r="A39" s="104" t="s">
        <v>104</v>
      </c>
      <c r="B39" s="474">
        <v>2949000</v>
      </c>
      <c r="C39" s="66">
        <v>10561856</v>
      </c>
      <c r="D39" s="66">
        <f>C39-B39</f>
        <v>7612856</v>
      </c>
    </row>
    <row r="40" spans="1:4" s="5" customFormat="1" ht="12.75">
      <c r="A40" s="104" t="s">
        <v>103</v>
      </c>
      <c r="B40" s="474">
        <v>73833853</v>
      </c>
      <c r="C40" s="66">
        <v>49283853</v>
      </c>
      <c r="D40" s="66">
        <f>C40-B40</f>
        <v>-24550000</v>
      </c>
    </row>
    <row r="41" spans="1:4" s="5" customFormat="1" ht="13.5" thickBot="1">
      <c r="A41" s="104" t="s">
        <v>117</v>
      </c>
      <c r="B41" s="479">
        <f>9497660+1897644</f>
        <v>11395304</v>
      </c>
      <c r="C41" s="15">
        <v>8617299</v>
      </c>
      <c r="D41" s="15">
        <f>C41-B41</f>
        <v>-2778005</v>
      </c>
    </row>
    <row r="42" spans="1:4" s="5" customFormat="1" ht="13.5" thickBot="1">
      <c r="A42" s="60" t="s">
        <v>108</v>
      </c>
      <c r="B42" s="16">
        <f>B33+B34+B35+B36+B37</f>
        <v>2436189053</v>
      </c>
      <c r="C42" s="16">
        <f>C33+C34+C35+C36+C37</f>
        <v>2342192889</v>
      </c>
      <c r="D42" s="16">
        <f>D33+D34+D35+D36+D37</f>
        <v>-93996164</v>
      </c>
    </row>
    <row r="43" spans="1:4" s="5" customFormat="1" ht="12.75">
      <c r="A43" s="48" t="s">
        <v>58</v>
      </c>
      <c r="B43" s="475">
        <v>1490707099</v>
      </c>
      <c r="C43" s="14">
        <v>1478539642</v>
      </c>
      <c r="D43" s="14">
        <f>C43-B43</f>
        <v>-12167457</v>
      </c>
    </row>
    <row r="44" spans="1:4" s="5" customFormat="1" ht="12.75">
      <c r="A44" s="64" t="s">
        <v>17</v>
      </c>
      <c r="B44" s="478">
        <v>54328980</v>
      </c>
      <c r="C44" s="13">
        <v>64235702</v>
      </c>
      <c r="D44" s="13">
        <f>C44-B44</f>
        <v>9906722</v>
      </c>
    </row>
    <row r="45" spans="1:4" s="5" customFormat="1" ht="12.75">
      <c r="A45" s="55" t="s">
        <v>85</v>
      </c>
      <c r="B45" s="14">
        <f>SUM(B46:B48)</f>
        <v>19609165</v>
      </c>
      <c r="C45" s="14">
        <f>SUM(C46:C48)</f>
        <v>21398154</v>
      </c>
      <c r="D45" s="14">
        <f>SUM(D46:D48)</f>
        <v>1788989</v>
      </c>
    </row>
    <row r="46" spans="1:4" s="5" customFormat="1" ht="12.75">
      <c r="A46" s="104" t="s">
        <v>105</v>
      </c>
      <c r="B46" s="474">
        <v>1003165</v>
      </c>
      <c r="C46" s="66">
        <v>1003165</v>
      </c>
      <c r="D46" s="66">
        <f>C46-B46</f>
        <v>0</v>
      </c>
    </row>
    <row r="47" spans="1:4" s="5" customFormat="1" ht="12.75">
      <c r="A47" s="104" t="s">
        <v>106</v>
      </c>
      <c r="B47" s="474">
        <v>17406000</v>
      </c>
      <c r="C47" s="66">
        <v>18267345</v>
      </c>
      <c r="D47" s="66">
        <f>C47-B47</f>
        <v>861345</v>
      </c>
    </row>
    <row r="48" spans="1:4" s="5" customFormat="1" ht="13.5" thickBot="1">
      <c r="A48" s="104" t="s">
        <v>107</v>
      </c>
      <c r="B48" s="481">
        <v>1200000</v>
      </c>
      <c r="C48" s="67">
        <v>2127644</v>
      </c>
      <c r="D48" s="67">
        <f>C48-B48</f>
        <v>927644</v>
      </c>
    </row>
    <row r="49" spans="1:4" s="5" customFormat="1" ht="13.5" thickBot="1">
      <c r="A49" s="60" t="s">
        <v>109</v>
      </c>
      <c r="B49" s="16">
        <f>B43+B44+B45</f>
        <v>1564645244</v>
      </c>
      <c r="C49" s="16">
        <f>C43+C44+C45</f>
        <v>1564173498</v>
      </c>
      <c r="D49" s="16">
        <f>D43+D44+D45</f>
        <v>-471746</v>
      </c>
    </row>
    <row r="50" spans="1:4" s="7" customFormat="1" ht="15.75" customHeight="1" thickBot="1">
      <c r="A50" s="62" t="s">
        <v>110</v>
      </c>
      <c r="B50" s="61">
        <f>B49+B42</f>
        <v>4000834297</v>
      </c>
      <c r="C50" s="61">
        <f>C49+C42</f>
        <v>3906366387</v>
      </c>
      <c r="D50" s="61">
        <f>D49+D42</f>
        <v>-94467910</v>
      </c>
    </row>
    <row r="51" spans="1:4" s="5" customFormat="1" ht="15.75" customHeight="1" thickBot="1">
      <c r="A51" s="73" t="s">
        <v>111</v>
      </c>
      <c r="B51" s="480">
        <v>34526720</v>
      </c>
      <c r="C51" s="480">
        <v>34526720</v>
      </c>
      <c r="D51" s="72">
        <f>C51-B51</f>
        <v>0</v>
      </c>
    </row>
    <row r="52" spans="1:5" s="7" customFormat="1" ht="15.75" customHeight="1" thickBot="1">
      <c r="A52" s="56" t="s">
        <v>29</v>
      </c>
      <c r="B52" s="17">
        <f>B51+B50</f>
        <v>4035361017</v>
      </c>
      <c r="C52" s="17">
        <f>C51+C50</f>
        <v>3940893107</v>
      </c>
      <c r="D52" s="17">
        <f>D51+D50</f>
        <v>-94467910</v>
      </c>
      <c r="E52" s="7" t="s">
        <v>179</v>
      </c>
    </row>
    <row r="55" spans="1:4" ht="15.75">
      <c r="A55" s="2"/>
      <c r="B55" s="2"/>
      <c r="C55" s="2"/>
      <c r="D55" s="2"/>
    </row>
  </sheetData>
  <sheetProtection/>
  <mergeCells count="4">
    <mergeCell ref="A5:D5"/>
    <mergeCell ref="A31:D31"/>
    <mergeCell ref="A3:D3"/>
    <mergeCell ref="A4:D4"/>
  </mergeCells>
  <printOptions/>
  <pageMargins left="0" right="0" top="0.6692913385826772" bottom="0.708661417322834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8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24" customWidth="1"/>
    <col min="2" max="2" width="92.875" style="24" customWidth="1"/>
    <col min="3" max="4" width="14.75390625" style="23" customWidth="1"/>
    <col min="5" max="5" width="12.375" style="23" bestFit="1" customWidth="1"/>
    <col min="6" max="16384" width="9.125" style="24" customWidth="1"/>
  </cols>
  <sheetData>
    <row r="1" spans="1:2" ht="13.5">
      <c r="A1" s="74" t="s">
        <v>296</v>
      </c>
      <c r="B1" s="74"/>
    </row>
    <row r="2" spans="1:5" s="21" customFormat="1" ht="15" customHeight="1">
      <c r="A2" s="22"/>
      <c r="B2" s="22" t="s">
        <v>285</v>
      </c>
      <c r="C2" s="20"/>
      <c r="D2" s="20"/>
      <c r="E2" s="20"/>
    </row>
    <row r="3" spans="1:5" s="21" customFormat="1" ht="9" customHeight="1">
      <c r="A3" s="22"/>
      <c r="B3" s="22"/>
      <c r="C3" s="20"/>
      <c r="D3" s="20"/>
      <c r="E3" s="20"/>
    </row>
    <row r="4" spans="1:5" ht="12.75">
      <c r="A4" s="514" t="s">
        <v>245</v>
      </c>
      <c r="B4" s="514"/>
      <c r="C4" s="514"/>
      <c r="D4" s="111"/>
      <c r="E4" s="111"/>
    </row>
    <row r="5" spans="2:5" s="25" customFormat="1" ht="34.5">
      <c r="B5" s="25" t="s">
        <v>0</v>
      </c>
      <c r="C5" s="26" t="s">
        <v>246</v>
      </c>
      <c r="D5" s="26" t="s">
        <v>247</v>
      </c>
      <c r="E5" s="112" t="s">
        <v>180</v>
      </c>
    </row>
    <row r="6" spans="1:5" s="28" customFormat="1" ht="12.75">
      <c r="A6" s="43" t="s">
        <v>248</v>
      </c>
      <c r="B6" s="43"/>
      <c r="C6" s="43"/>
      <c r="D6" s="43"/>
      <c r="E6" s="43"/>
    </row>
    <row r="7" spans="2:5" s="29" customFormat="1" ht="12.75" customHeight="1">
      <c r="B7" s="30" t="s">
        <v>175</v>
      </c>
      <c r="C7" s="31">
        <f>C8+C9+C14+C17+C15+C16+C19+C18</f>
        <v>273586562</v>
      </c>
      <c r="D7" s="31">
        <f>D8+D9+D14+D17+D15+D16+D19+D18</f>
        <v>295637558</v>
      </c>
      <c r="E7" s="31">
        <f aca="true" t="shared" si="0" ref="E7:E48">D7-C7</f>
        <v>22050996</v>
      </c>
    </row>
    <row r="8" spans="2:5" ht="12.75" customHeight="1">
      <c r="B8" s="32" t="s">
        <v>36</v>
      </c>
      <c r="C8" s="23">
        <v>160666400</v>
      </c>
      <c r="D8" s="23">
        <v>193796237</v>
      </c>
      <c r="E8" s="23">
        <f t="shared" si="0"/>
        <v>33129837</v>
      </c>
    </row>
    <row r="9" spans="2:5" ht="12.75" customHeight="1">
      <c r="B9" s="33" t="s">
        <v>37</v>
      </c>
      <c r="C9" s="23">
        <f>C10+C11+C12+C13</f>
        <v>88207808</v>
      </c>
      <c r="D9" s="23">
        <f>D10+D11+D12+D13</f>
        <v>88207808</v>
      </c>
      <c r="E9" s="23">
        <f t="shared" si="0"/>
        <v>0</v>
      </c>
    </row>
    <row r="10" spans="2:5" ht="12.75" customHeight="1">
      <c r="B10" s="34" t="s">
        <v>56</v>
      </c>
      <c r="C10" s="482">
        <v>15344280</v>
      </c>
      <c r="D10" s="482">
        <v>15344280</v>
      </c>
      <c r="E10" s="23">
        <f t="shared" si="0"/>
        <v>0</v>
      </c>
    </row>
    <row r="11" spans="2:5" ht="12.75" customHeight="1">
      <c r="B11" s="35" t="s">
        <v>55</v>
      </c>
      <c r="C11" s="482">
        <v>45840000</v>
      </c>
      <c r="D11" s="482">
        <v>45840000</v>
      </c>
      <c r="E11" s="23">
        <f t="shared" si="0"/>
        <v>0</v>
      </c>
    </row>
    <row r="12" spans="2:5" ht="12.75" customHeight="1">
      <c r="B12" s="35" t="s">
        <v>54</v>
      </c>
      <c r="C12" s="482">
        <f>3588728-0</f>
        <v>3588728</v>
      </c>
      <c r="D12" s="482">
        <f>3588728-0</f>
        <v>3588728</v>
      </c>
      <c r="E12" s="23">
        <f t="shared" si="0"/>
        <v>0</v>
      </c>
    </row>
    <row r="13" spans="2:5" ht="12.75" customHeight="1">
      <c r="B13" s="35" t="s">
        <v>71</v>
      </c>
      <c r="C13" s="482">
        <f>23434800-0</f>
        <v>23434800</v>
      </c>
      <c r="D13" s="482">
        <f>23434800-0</f>
        <v>23434800</v>
      </c>
      <c r="E13" s="23">
        <f t="shared" si="0"/>
        <v>0</v>
      </c>
    </row>
    <row r="14" spans="2:5" ht="12.75" customHeight="1">
      <c r="B14" s="32" t="s">
        <v>72</v>
      </c>
      <c r="C14" s="482">
        <v>4070330</v>
      </c>
      <c r="D14" s="482">
        <v>4070330</v>
      </c>
      <c r="E14" s="23">
        <f t="shared" si="0"/>
        <v>0</v>
      </c>
    </row>
    <row r="15" spans="2:5" ht="12.75" customHeight="1">
      <c r="B15" s="32" t="s">
        <v>73</v>
      </c>
      <c r="C15" s="482">
        <v>402900</v>
      </c>
      <c r="D15" s="482">
        <v>402900</v>
      </c>
      <c r="E15" s="23">
        <f t="shared" si="0"/>
        <v>0</v>
      </c>
    </row>
    <row r="16" spans="2:5" ht="12.75" customHeight="1">
      <c r="B16" s="32" t="s">
        <v>253</v>
      </c>
      <c r="C16" s="482">
        <v>18445224</v>
      </c>
      <c r="D16" s="482">
        <v>6443537</v>
      </c>
      <c r="E16" s="23">
        <f t="shared" si="0"/>
        <v>-12001687</v>
      </c>
    </row>
    <row r="17" spans="2:5" ht="12.75" customHeight="1">
      <c r="B17" s="32" t="s">
        <v>49</v>
      </c>
      <c r="C17" s="482">
        <v>0</v>
      </c>
      <c r="D17" s="482">
        <v>0</v>
      </c>
      <c r="E17" s="23">
        <f t="shared" si="0"/>
        <v>0</v>
      </c>
    </row>
    <row r="18" spans="2:5" ht="12.75" customHeight="1">
      <c r="B18" s="32" t="s">
        <v>144</v>
      </c>
      <c r="C18" s="482">
        <v>1793900</v>
      </c>
      <c r="D18" s="482">
        <v>1793900</v>
      </c>
      <c r="E18" s="23">
        <f t="shared" si="0"/>
        <v>0</v>
      </c>
    </row>
    <row r="19" spans="2:5" ht="12.75" customHeight="1">
      <c r="B19" s="32" t="s">
        <v>249</v>
      </c>
      <c r="C19" s="482">
        <v>0</v>
      </c>
      <c r="D19" s="482">
        <v>922846</v>
      </c>
      <c r="E19" s="23">
        <f t="shared" si="0"/>
        <v>922846</v>
      </c>
    </row>
    <row r="20" spans="2:5" ht="12.75" customHeight="1">
      <c r="B20" s="36" t="s">
        <v>40</v>
      </c>
      <c r="C20" s="37">
        <f>C21+C22+C24+C23</f>
        <v>259623860</v>
      </c>
      <c r="D20" s="37">
        <f>D21+D22+D24+D23</f>
        <v>259623860</v>
      </c>
      <c r="E20" s="37">
        <f t="shared" si="0"/>
        <v>0</v>
      </c>
    </row>
    <row r="21" spans="2:5" ht="12.75" customHeight="1">
      <c r="B21" s="38" t="s">
        <v>74</v>
      </c>
      <c r="C21" s="482">
        <f>154313950+57600000</f>
        <v>211913950</v>
      </c>
      <c r="D21" s="482">
        <f>154313950+57600000</f>
        <v>211913950</v>
      </c>
      <c r="E21" s="23">
        <f t="shared" si="0"/>
        <v>0</v>
      </c>
    </row>
    <row r="22" spans="2:5" ht="12.75" customHeight="1">
      <c r="B22" s="39" t="s">
        <v>47</v>
      </c>
      <c r="C22" s="482">
        <f>37820420</f>
        <v>37820420</v>
      </c>
      <c r="D22" s="482">
        <f>37820420</f>
        <v>37820420</v>
      </c>
      <c r="E22" s="23">
        <f t="shared" si="0"/>
        <v>0</v>
      </c>
    </row>
    <row r="23" spans="2:5" ht="12.75" customHeight="1">
      <c r="B23" s="32" t="s">
        <v>138</v>
      </c>
      <c r="C23" s="482">
        <v>5831490</v>
      </c>
      <c r="D23" s="482">
        <v>5831490</v>
      </c>
      <c r="E23" s="23">
        <f t="shared" si="0"/>
        <v>0</v>
      </c>
    </row>
    <row r="24" spans="2:5" ht="12.75" customHeight="1">
      <c r="B24" s="32" t="s">
        <v>192</v>
      </c>
      <c r="C24" s="482">
        <v>4058000</v>
      </c>
      <c r="D24" s="482">
        <v>4058000</v>
      </c>
      <c r="E24" s="23">
        <f t="shared" si="0"/>
        <v>0</v>
      </c>
    </row>
    <row r="25" spans="2:5" ht="12.75" customHeight="1">
      <c r="B25" s="36" t="s">
        <v>41</v>
      </c>
      <c r="C25" s="37">
        <f>SUM(C26:C36)</f>
        <v>315583585</v>
      </c>
      <c r="D25" s="37">
        <f>SUM(D26:D36)</f>
        <v>331761785</v>
      </c>
      <c r="E25" s="37">
        <f t="shared" si="0"/>
        <v>16178200</v>
      </c>
    </row>
    <row r="26" spans="2:5" ht="12.75" customHeight="1">
      <c r="B26" s="32" t="s">
        <v>199</v>
      </c>
      <c r="C26" s="482">
        <v>0</v>
      </c>
      <c r="D26" s="482">
        <v>0</v>
      </c>
      <c r="E26" s="23">
        <f t="shared" si="0"/>
        <v>0</v>
      </c>
    </row>
    <row r="27" spans="2:5" ht="12.75" customHeight="1">
      <c r="B27" s="32" t="s">
        <v>75</v>
      </c>
      <c r="C27" s="482">
        <v>40978420</v>
      </c>
      <c r="D27" s="482">
        <v>40978420</v>
      </c>
      <c r="E27" s="23">
        <f t="shared" si="0"/>
        <v>0</v>
      </c>
    </row>
    <row r="28" spans="2:5" ht="12.75" customHeight="1">
      <c r="B28" s="32" t="s">
        <v>76</v>
      </c>
      <c r="C28" s="482">
        <f>8500000+14850000+3725520+4950000+11210000+10042200+14233750+14478555</f>
        <v>81990025</v>
      </c>
      <c r="D28" s="482">
        <f>8500000+14850000+3725520+4950000+11210000+10042200+14233750+14478555+950000</f>
        <v>82940025</v>
      </c>
      <c r="E28" s="23">
        <f t="shared" si="0"/>
        <v>950000</v>
      </c>
    </row>
    <row r="29" spans="2:5" ht="26.25" customHeight="1">
      <c r="B29" s="32" t="s">
        <v>77</v>
      </c>
      <c r="C29" s="482">
        <f>30864320+5972000</f>
        <v>36836320</v>
      </c>
      <c r="D29" s="482">
        <f>30864320+5972000</f>
        <v>36836320</v>
      </c>
      <c r="E29" s="23">
        <f t="shared" si="0"/>
        <v>0</v>
      </c>
    </row>
    <row r="30" spans="2:5" ht="12.75" customHeight="1">
      <c r="B30" s="32" t="s">
        <v>51</v>
      </c>
      <c r="C30" s="482">
        <v>63646000</v>
      </c>
      <c r="D30" s="482">
        <v>63646000</v>
      </c>
      <c r="E30" s="23">
        <f t="shared" si="0"/>
        <v>0</v>
      </c>
    </row>
    <row r="31" spans="2:5" ht="12.75" customHeight="1">
      <c r="B31" s="32" t="s">
        <v>50</v>
      </c>
      <c r="C31" s="482">
        <v>74722120</v>
      </c>
      <c r="D31" s="482">
        <v>74722120</v>
      </c>
      <c r="E31" s="23">
        <f t="shared" si="0"/>
        <v>0</v>
      </c>
    </row>
    <row r="32" spans="2:5" ht="12.75" customHeight="1">
      <c r="B32" s="32" t="s">
        <v>145</v>
      </c>
      <c r="C32" s="482">
        <v>8838000</v>
      </c>
      <c r="D32" s="482">
        <v>8838000</v>
      </c>
      <c r="E32" s="23">
        <f t="shared" si="0"/>
        <v>0</v>
      </c>
    </row>
    <row r="33" spans="2:5" ht="12.75" customHeight="1">
      <c r="B33" s="32" t="s">
        <v>146</v>
      </c>
      <c r="C33" s="482">
        <v>5686700</v>
      </c>
      <c r="D33" s="482">
        <v>5686700</v>
      </c>
      <c r="E33" s="23">
        <f t="shared" si="0"/>
        <v>0</v>
      </c>
    </row>
    <row r="34" spans="2:5" ht="12.75" customHeight="1">
      <c r="B34" s="32" t="s">
        <v>147</v>
      </c>
      <c r="C34" s="482">
        <v>2886000</v>
      </c>
      <c r="D34" s="482">
        <v>2886000</v>
      </c>
      <c r="E34" s="23">
        <f t="shared" si="0"/>
        <v>0</v>
      </c>
    </row>
    <row r="35" spans="2:5" ht="12.75" customHeight="1">
      <c r="B35" s="32" t="s">
        <v>238</v>
      </c>
      <c r="C35" s="23">
        <v>0</v>
      </c>
      <c r="D35" s="23">
        <v>15228200</v>
      </c>
      <c r="E35" s="23">
        <f t="shared" si="0"/>
        <v>15228200</v>
      </c>
    </row>
    <row r="36" spans="2:5" ht="12.75" customHeight="1">
      <c r="B36" s="32"/>
      <c r="C36" s="23">
        <v>0</v>
      </c>
      <c r="D36" s="23">
        <v>0</v>
      </c>
      <c r="E36" s="23">
        <f t="shared" si="0"/>
        <v>0</v>
      </c>
    </row>
    <row r="37" spans="2:5" ht="12.75" customHeight="1">
      <c r="B37" s="36" t="s">
        <v>52</v>
      </c>
      <c r="C37" s="37">
        <f>SUM(C38:C41)</f>
        <v>46742990</v>
      </c>
      <c r="D37" s="37">
        <f>SUM(D38:D41)</f>
        <v>52405284</v>
      </c>
      <c r="E37" s="37">
        <f t="shared" si="0"/>
        <v>5662294</v>
      </c>
    </row>
    <row r="38" spans="2:5" ht="12.75" customHeight="1">
      <c r="B38" s="32" t="s">
        <v>57</v>
      </c>
      <c r="C38" s="482">
        <v>14373990</v>
      </c>
      <c r="D38" s="482">
        <v>14373990</v>
      </c>
      <c r="E38" s="23">
        <f t="shared" si="0"/>
        <v>0</v>
      </c>
    </row>
    <row r="39" spans="2:5" ht="12.75" customHeight="1">
      <c r="B39" s="32" t="s">
        <v>42</v>
      </c>
      <c r="C39" s="482">
        <v>32369000</v>
      </c>
      <c r="D39" s="482">
        <v>32369000</v>
      </c>
      <c r="E39" s="23">
        <f t="shared" si="0"/>
        <v>0</v>
      </c>
    </row>
    <row r="40" spans="2:5" ht="12.75" customHeight="1">
      <c r="B40" s="32" t="s">
        <v>197</v>
      </c>
      <c r="C40" s="23">
        <v>0</v>
      </c>
      <c r="D40" s="23">
        <v>2017000</v>
      </c>
      <c r="E40" s="23">
        <f t="shared" si="0"/>
        <v>2017000</v>
      </c>
    </row>
    <row r="41" spans="2:5" ht="12.75" customHeight="1">
      <c r="B41" s="32" t="s">
        <v>193</v>
      </c>
      <c r="C41" s="23">
        <v>0</v>
      </c>
      <c r="D41" s="23">
        <v>3645294</v>
      </c>
      <c r="E41" s="23">
        <f t="shared" si="0"/>
        <v>3645294</v>
      </c>
    </row>
    <row r="42" spans="2:5" ht="12.75" customHeight="1">
      <c r="B42" s="36" t="s">
        <v>48</v>
      </c>
      <c r="C42" s="37">
        <v>26952670</v>
      </c>
      <c r="D42" s="37">
        <v>26952670</v>
      </c>
      <c r="E42" s="37">
        <f t="shared" si="0"/>
        <v>0</v>
      </c>
    </row>
    <row r="43" spans="2:5" s="41" customFormat="1" ht="16.5" customHeight="1">
      <c r="B43" s="44" t="s">
        <v>38</v>
      </c>
      <c r="C43" s="45">
        <f>C7+C20+C25+C37</f>
        <v>895536997</v>
      </c>
      <c r="D43" s="45">
        <f>D7+D20+D25+D37</f>
        <v>939428487</v>
      </c>
      <c r="E43" s="45">
        <f t="shared" si="0"/>
        <v>43891490</v>
      </c>
    </row>
    <row r="44" spans="1:6" s="42" customFormat="1" ht="17.25" customHeight="1">
      <c r="A44" s="43" t="s">
        <v>250</v>
      </c>
      <c r="B44" s="40"/>
      <c r="C44" s="414">
        <f>SUM(C46:C46)</f>
        <v>0</v>
      </c>
      <c r="D44" s="414">
        <f>D45</f>
        <v>0</v>
      </c>
      <c r="E44" s="414">
        <f t="shared" si="0"/>
        <v>0</v>
      </c>
      <c r="F44" s="40"/>
    </row>
    <row r="45" spans="2:5" s="29" customFormat="1" ht="12.75" customHeight="1">
      <c r="B45" s="30" t="s">
        <v>194</v>
      </c>
      <c r="C45" s="31">
        <f>SUM(C46:C47)</f>
        <v>0</v>
      </c>
      <c r="D45" s="31">
        <f>SUM(D46:D47)</f>
        <v>0</v>
      </c>
      <c r="E45" s="31">
        <f t="shared" si="0"/>
        <v>0</v>
      </c>
    </row>
    <row r="46" spans="1:6" s="42" customFormat="1" ht="15">
      <c r="A46" s="43"/>
      <c r="B46" s="32"/>
      <c r="C46" s="23">
        <v>0</v>
      </c>
      <c r="D46" s="23">
        <v>0</v>
      </c>
      <c r="E46" s="23">
        <f t="shared" si="0"/>
        <v>0</v>
      </c>
      <c r="F46" s="40"/>
    </row>
    <row r="47" spans="1:6" ht="15">
      <c r="A47" s="40"/>
      <c r="B47" s="38"/>
      <c r="C47" s="483">
        <v>0</v>
      </c>
      <c r="D47" s="415">
        <v>0</v>
      </c>
      <c r="E47" s="415">
        <f t="shared" si="0"/>
        <v>0</v>
      </c>
      <c r="F47" s="40"/>
    </row>
    <row r="48" spans="1:5" s="27" customFormat="1" ht="31.5">
      <c r="A48" s="46"/>
      <c r="B48" s="416" t="s">
        <v>251</v>
      </c>
      <c r="C48" s="47">
        <f>C44+C43</f>
        <v>895536997</v>
      </c>
      <c r="D48" s="47">
        <f>D44+D43</f>
        <v>939428487</v>
      </c>
      <c r="E48" s="47">
        <f t="shared" si="0"/>
        <v>43891490</v>
      </c>
    </row>
    <row r="49" ht="16.5" customHeight="1"/>
    <row r="50" spans="1:6" s="42" customFormat="1" ht="17.25" customHeight="1">
      <c r="A50" s="43" t="s">
        <v>250</v>
      </c>
      <c r="B50" s="40"/>
      <c r="C50" s="414">
        <f>SUM(C51)</f>
        <v>0</v>
      </c>
      <c r="D50" s="414">
        <f>SUM(D51)</f>
        <v>0</v>
      </c>
      <c r="E50" s="414">
        <f aca="true" t="shared" si="1" ref="E50:E56">D50-C50</f>
        <v>0</v>
      </c>
      <c r="F50" s="40"/>
    </row>
    <row r="51" spans="2:5" s="29" customFormat="1" ht="12.75" customHeight="1">
      <c r="B51" s="30" t="s">
        <v>195</v>
      </c>
      <c r="C51" s="31">
        <f>SUM(C52:C55)</f>
        <v>0</v>
      </c>
      <c r="D51" s="31">
        <f>SUM(D52:D55)</f>
        <v>0</v>
      </c>
      <c r="E51" s="31">
        <f t="shared" si="1"/>
        <v>0</v>
      </c>
    </row>
    <row r="52" spans="1:6" s="42" customFormat="1" ht="15">
      <c r="A52" s="43"/>
      <c r="B52" s="32"/>
      <c r="C52" s="23">
        <v>0</v>
      </c>
      <c r="D52" s="23">
        <v>0</v>
      </c>
      <c r="E52" s="23">
        <f t="shared" si="1"/>
        <v>0</v>
      </c>
      <c r="F52" s="40"/>
    </row>
    <row r="53" spans="1:6" s="42" customFormat="1" ht="15">
      <c r="A53" s="43"/>
      <c r="B53" s="32"/>
      <c r="C53" s="23">
        <v>0</v>
      </c>
      <c r="D53" s="23">
        <v>0</v>
      </c>
      <c r="E53" s="23">
        <f t="shared" si="1"/>
        <v>0</v>
      </c>
      <c r="F53" s="40"/>
    </row>
    <row r="54" spans="1:6" s="42" customFormat="1" ht="15">
      <c r="A54" s="43"/>
      <c r="B54" s="417"/>
      <c r="C54" s="23">
        <v>0</v>
      </c>
      <c r="D54" s="23">
        <v>0</v>
      </c>
      <c r="E54" s="23">
        <f t="shared" si="1"/>
        <v>0</v>
      </c>
      <c r="F54" s="40"/>
    </row>
    <row r="55" spans="1:6" s="42" customFormat="1" ht="15">
      <c r="A55" s="43"/>
      <c r="B55" s="417"/>
      <c r="C55" s="23">
        <v>0</v>
      </c>
      <c r="D55" s="23">
        <v>0</v>
      </c>
      <c r="E55" s="23">
        <f t="shared" si="1"/>
        <v>0</v>
      </c>
      <c r="F55" s="40"/>
    </row>
    <row r="56" spans="1:5" s="27" customFormat="1" ht="18" customHeight="1">
      <c r="A56" s="46"/>
      <c r="B56" s="46" t="s">
        <v>252</v>
      </c>
      <c r="C56" s="47">
        <f>C50</f>
        <v>0</v>
      </c>
      <c r="D56" s="47">
        <f>D50</f>
        <v>0</v>
      </c>
      <c r="E56" s="47">
        <f t="shared" si="1"/>
        <v>0</v>
      </c>
    </row>
    <row r="57" spans="3:5" s="27" customFormat="1" ht="18" customHeight="1">
      <c r="C57" s="418"/>
      <c r="D57" s="418"/>
      <c r="E57" s="418"/>
    </row>
    <row r="58" spans="1:6" s="42" customFormat="1" ht="15.75">
      <c r="A58" s="43"/>
      <c r="B58" s="32"/>
      <c r="C58" s="419">
        <f>C56+C48</f>
        <v>895536997</v>
      </c>
      <c r="D58" s="419">
        <f>D56+D48</f>
        <v>939428487</v>
      </c>
      <c r="E58" s="418">
        <f>D58-C58</f>
        <v>43891490</v>
      </c>
      <c r="F58" s="40" t="s">
        <v>179</v>
      </c>
    </row>
  </sheetData>
  <sheetProtection/>
  <mergeCells count="1">
    <mergeCell ref="A4:C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U59"/>
  <sheetViews>
    <sheetView tabSelected="1" zoomScaleSheetLayoutView="100" zoomScalePageLayoutView="0" workbookViewId="0" topLeftCell="A1">
      <pane xSplit="1" ySplit="4" topLeftCell="AF5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00390625" defaultRowHeight="12.75"/>
  <cols>
    <col min="1" max="1" width="48.00390625" style="1" customWidth="1"/>
    <col min="2" max="2" width="12.75390625" style="1" customWidth="1"/>
    <col min="3" max="3" width="12.625" style="1" customWidth="1"/>
    <col min="4" max="4" width="12.375" style="1" customWidth="1"/>
    <col min="5" max="5" width="10.875" style="1" customWidth="1"/>
    <col min="6" max="6" width="14.00390625" style="1" customWidth="1"/>
    <col min="7" max="7" width="12.875" style="1" customWidth="1"/>
    <col min="8" max="8" width="12.75390625" style="1" customWidth="1"/>
    <col min="9" max="9" width="13.25390625" style="1" customWidth="1"/>
    <col min="10" max="10" width="12.125" style="1" customWidth="1"/>
    <col min="11" max="11" width="11.25390625" style="1" customWidth="1"/>
    <col min="12" max="12" width="13.625" style="1" customWidth="1"/>
    <col min="13" max="13" width="12.75390625" style="1" customWidth="1"/>
    <col min="14" max="14" width="12.625" style="1" customWidth="1"/>
    <col min="15" max="15" width="13.75390625" style="1" customWidth="1"/>
    <col min="16" max="16" width="11.75390625" style="1" customWidth="1"/>
    <col min="17" max="17" width="12.625" style="1" customWidth="1"/>
    <col min="18" max="18" width="14.125" style="1" customWidth="1"/>
    <col min="19" max="19" width="11.75390625" style="1" customWidth="1"/>
    <col min="20" max="20" width="12.625" style="1" customWidth="1"/>
    <col min="21" max="21" width="14.125" style="1" customWidth="1"/>
    <col min="22" max="22" width="11.75390625" style="1" customWidth="1"/>
    <col min="23" max="23" width="12.625" style="1" customWidth="1"/>
    <col min="24" max="24" width="14.125" style="1" customWidth="1"/>
    <col min="25" max="25" width="11.75390625" style="1" customWidth="1"/>
    <col min="26" max="26" width="12.625" style="1" customWidth="1"/>
    <col min="27" max="27" width="14.125" style="1" customWidth="1"/>
    <col min="28" max="28" width="11.75390625" style="1" customWidth="1"/>
    <col min="29" max="29" width="12.625" style="1" customWidth="1"/>
    <col min="30" max="30" width="14.125" style="1" customWidth="1"/>
    <col min="31" max="31" width="11.75390625" style="1" customWidth="1"/>
    <col min="32" max="32" width="12.625" style="1" customWidth="1"/>
    <col min="33" max="33" width="13.375" style="1" customWidth="1"/>
    <col min="34" max="35" width="11.75390625" style="1" customWidth="1"/>
    <col min="36" max="36" width="13.75390625" style="1" customWidth="1"/>
    <col min="37" max="37" width="12.875" style="1" customWidth="1"/>
    <col min="38" max="38" width="11.75390625" style="1" customWidth="1"/>
    <col min="39" max="39" width="13.75390625" style="1" customWidth="1"/>
    <col min="40" max="40" width="12.875" style="1" customWidth="1"/>
    <col min="41" max="41" width="11.75390625" style="1" customWidth="1"/>
    <col min="42" max="42" width="13.75390625" style="1" customWidth="1"/>
    <col min="43" max="43" width="12.875" style="1" customWidth="1"/>
    <col min="44" max="44" width="11.75390625" style="1" customWidth="1"/>
    <col min="45" max="45" width="13.00390625" style="1" customWidth="1"/>
    <col min="46" max="46" width="12.875" style="1" customWidth="1"/>
    <col min="47" max="47" width="12.75390625" style="79" customWidth="1"/>
    <col min="48" max="48" width="13.125" style="1" customWidth="1"/>
    <col min="49" max="49" width="11.875" style="1" customWidth="1"/>
    <col min="50" max="50" width="12.75390625" style="1" customWidth="1"/>
    <col min="51" max="51" width="13.375" style="1" customWidth="1"/>
    <col min="52" max="52" width="11.75390625" style="1" customWidth="1"/>
    <col min="53" max="53" width="13.25390625" style="77" customWidth="1"/>
    <col min="54" max="54" width="13.25390625" style="1" customWidth="1"/>
    <col min="55" max="55" width="11.875" style="1" customWidth="1"/>
    <col min="56" max="56" width="12.25390625" style="1" bestFit="1" customWidth="1"/>
    <col min="57" max="57" width="13.00390625" style="1" customWidth="1"/>
    <col min="58" max="58" width="12.375" style="1" customWidth="1"/>
    <col min="59" max="59" width="12.25390625" style="114" hidden="1" customWidth="1"/>
    <col min="60" max="60" width="14.00390625" style="114" hidden="1" customWidth="1"/>
    <col min="61" max="61" width="13.00390625" style="114" hidden="1" customWidth="1"/>
    <col min="62" max="62" width="12.625" style="114" hidden="1" customWidth="1"/>
    <col min="63" max="63" width="10.375" style="114" hidden="1" customWidth="1"/>
    <col min="64" max="64" width="14.00390625" style="114" hidden="1" customWidth="1"/>
    <col min="65" max="65" width="13.625" style="114" hidden="1" customWidth="1"/>
    <col min="66" max="66" width="12.875" style="114" hidden="1" customWidth="1"/>
    <col min="67" max="67" width="10.25390625" style="114" hidden="1" customWidth="1"/>
    <col min="68" max="69" width="11.375" style="114" hidden="1" customWidth="1"/>
    <col min="70" max="70" width="10.75390625" style="114" hidden="1" customWidth="1"/>
    <col min="71" max="71" width="1.12109375" style="114" hidden="1" customWidth="1"/>
    <col min="72" max="72" width="10.875" style="114" hidden="1" customWidth="1"/>
    <col min="73" max="16384" width="9.125" style="1" customWidth="1"/>
  </cols>
  <sheetData>
    <row r="1" ht="15.75">
      <c r="A1" s="113" t="s">
        <v>297</v>
      </c>
    </row>
    <row r="2" ht="15.75">
      <c r="A2" s="113" t="s">
        <v>286</v>
      </c>
    </row>
    <row r="3" ht="16.5" thickBot="1">
      <c r="A3" s="76" t="s">
        <v>254</v>
      </c>
    </row>
    <row r="4" spans="1:72" s="75" customFormat="1" ht="27" customHeight="1">
      <c r="A4" s="540" t="s">
        <v>151</v>
      </c>
      <c r="B4" s="551" t="s">
        <v>53</v>
      </c>
      <c r="C4" s="552"/>
      <c r="D4" s="553"/>
      <c r="E4" s="537" t="s">
        <v>118</v>
      </c>
      <c r="F4" s="538"/>
      <c r="G4" s="539"/>
      <c r="H4" s="554" t="s">
        <v>63</v>
      </c>
      <c r="I4" s="555"/>
      <c r="J4" s="556"/>
      <c r="K4" s="537" t="s">
        <v>39</v>
      </c>
      <c r="L4" s="538"/>
      <c r="M4" s="539"/>
      <c r="N4" s="537" t="s">
        <v>137</v>
      </c>
      <c r="O4" s="538"/>
      <c r="P4" s="539"/>
      <c r="Q4" s="528" t="s">
        <v>156</v>
      </c>
      <c r="R4" s="529"/>
      <c r="S4" s="530"/>
      <c r="T4" s="528" t="s">
        <v>181</v>
      </c>
      <c r="U4" s="529"/>
      <c r="V4" s="530"/>
      <c r="W4" s="528" t="s">
        <v>182</v>
      </c>
      <c r="X4" s="529"/>
      <c r="Y4" s="530"/>
      <c r="Z4" s="528" t="s">
        <v>153</v>
      </c>
      <c r="AA4" s="529"/>
      <c r="AB4" s="530"/>
      <c r="AC4" s="548" t="s">
        <v>183</v>
      </c>
      <c r="AD4" s="549"/>
      <c r="AE4" s="550"/>
      <c r="AF4" s="528" t="s">
        <v>154</v>
      </c>
      <c r="AG4" s="529"/>
      <c r="AH4" s="530"/>
      <c r="AI4" s="531" t="s">
        <v>184</v>
      </c>
      <c r="AJ4" s="532"/>
      <c r="AK4" s="533"/>
      <c r="AL4" s="531" t="s">
        <v>185</v>
      </c>
      <c r="AM4" s="532"/>
      <c r="AN4" s="533"/>
      <c r="AO4" s="531" t="s">
        <v>186</v>
      </c>
      <c r="AP4" s="532"/>
      <c r="AQ4" s="533"/>
      <c r="AR4" s="531" t="s">
        <v>155</v>
      </c>
      <c r="AS4" s="532"/>
      <c r="AT4" s="533"/>
      <c r="AU4" s="534" t="s">
        <v>16</v>
      </c>
      <c r="AV4" s="535"/>
      <c r="AW4" s="536"/>
      <c r="AX4" s="537" t="s">
        <v>34</v>
      </c>
      <c r="AY4" s="538"/>
      <c r="AZ4" s="539"/>
      <c r="BA4" s="518" t="s">
        <v>124</v>
      </c>
      <c r="BB4" s="519"/>
      <c r="BC4" s="520"/>
      <c r="BD4" s="537" t="s">
        <v>132</v>
      </c>
      <c r="BE4" s="538"/>
      <c r="BF4" s="539"/>
      <c r="BG4" s="524" t="s">
        <v>133</v>
      </c>
      <c r="BH4" s="525"/>
      <c r="BI4" s="526"/>
      <c r="BJ4" s="527"/>
      <c r="BK4" s="524" t="s">
        <v>135</v>
      </c>
      <c r="BL4" s="525"/>
      <c r="BM4" s="526"/>
      <c r="BN4" s="527"/>
      <c r="BO4" s="524" t="s">
        <v>136</v>
      </c>
      <c r="BP4" s="525"/>
      <c r="BQ4" s="526"/>
      <c r="BR4" s="527"/>
      <c r="BS4" s="115"/>
      <c r="BT4" s="116"/>
    </row>
    <row r="5" spans="1:72" s="75" customFormat="1" ht="39" customHeight="1" thickBot="1">
      <c r="A5" s="541"/>
      <c r="B5" s="117" t="s">
        <v>187</v>
      </c>
      <c r="C5" s="118" t="s">
        <v>255</v>
      </c>
      <c r="D5" s="119" t="s">
        <v>189</v>
      </c>
      <c r="E5" s="117" t="s">
        <v>187</v>
      </c>
      <c r="F5" s="118" t="s">
        <v>255</v>
      </c>
      <c r="G5" s="119" t="s">
        <v>189</v>
      </c>
      <c r="H5" s="120" t="s">
        <v>187</v>
      </c>
      <c r="I5" s="118" t="s">
        <v>255</v>
      </c>
      <c r="J5" s="119" t="s">
        <v>189</v>
      </c>
      <c r="K5" s="121" t="s">
        <v>187</v>
      </c>
      <c r="L5" s="118" t="s">
        <v>255</v>
      </c>
      <c r="M5" s="119" t="s">
        <v>189</v>
      </c>
      <c r="N5" s="121" t="s">
        <v>187</v>
      </c>
      <c r="O5" s="118" t="s">
        <v>255</v>
      </c>
      <c r="P5" s="119" t="s">
        <v>189</v>
      </c>
      <c r="Q5" s="484" t="s">
        <v>187</v>
      </c>
      <c r="R5" s="485" t="s">
        <v>255</v>
      </c>
      <c r="S5" s="486" t="s">
        <v>189</v>
      </c>
      <c r="T5" s="484" t="s">
        <v>187</v>
      </c>
      <c r="U5" s="485" t="s">
        <v>255</v>
      </c>
      <c r="V5" s="486" t="s">
        <v>189</v>
      </c>
      <c r="W5" s="484" t="s">
        <v>187</v>
      </c>
      <c r="X5" s="485" t="s">
        <v>255</v>
      </c>
      <c r="Y5" s="486" t="s">
        <v>189</v>
      </c>
      <c r="Z5" s="484" t="s">
        <v>187</v>
      </c>
      <c r="AA5" s="485" t="s">
        <v>255</v>
      </c>
      <c r="AB5" s="486" t="s">
        <v>189</v>
      </c>
      <c r="AC5" s="484" t="s">
        <v>187</v>
      </c>
      <c r="AD5" s="485" t="s">
        <v>255</v>
      </c>
      <c r="AE5" s="486" t="s">
        <v>189</v>
      </c>
      <c r="AF5" s="124" t="s">
        <v>187</v>
      </c>
      <c r="AG5" s="125" t="s">
        <v>255</v>
      </c>
      <c r="AH5" s="126" t="s">
        <v>189</v>
      </c>
      <c r="AI5" s="484" t="s">
        <v>187</v>
      </c>
      <c r="AJ5" s="485" t="s">
        <v>255</v>
      </c>
      <c r="AK5" s="486" t="s">
        <v>189</v>
      </c>
      <c r="AL5" s="484" t="s">
        <v>187</v>
      </c>
      <c r="AM5" s="485" t="s">
        <v>255</v>
      </c>
      <c r="AN5" s="486" t="s">
        <v>189</v>
      </c>
      <c r="AO5" s="484" t="s">
        <v>187</v>
      </c>
      <c r="AP5" s="485" t="s">
        <v>255</v>
      </c>
      <c r="AQ5" s="486" t="s">
        <v>189</v>
      </c>
      <c r="AR5" s="127" t="s">
        <v>187</v>
      </c>
      <c r="AS5" s="128" t="s">
        <v>255</v>
      </c>
      <c r="AT5" s="129" t="s">
        <v>189</v>
      </c>
      <c r="AU5" s="130" t="s">
        <v>187</v>
      </c>
      <c r="AV5" s="131" t="s">
        <v>255</v>
      </c>
      <c r="AW5" s="132" t="s">
        <v>189</v>
      </c>
      <c r="AX5" s="121" t="s">
        <v>187</v>
      </c>
      <c r="AY5" s="118" t="s">
        <v>255</v>
      </c>
      <c r="AZ5" s="119" t="s">
        <v>189</v>
      </c>
      <c r="BA5" s="134" t="s">
        <v>187</v>
      </c>
      <c r="BB5" s="131" t="s">
        <v>255</v>
      </c>
      <c r="BC5" s="132" t="s">
        <v>189</v>
      </c>
      <c r="BD5" s="121" t="s">
        <v>187</v>
      </c>
      <c r="BE5" s="118" t="s">
        <v>255</v>
      </c>
      <c r="BF5" s="119" t="s">
        <v>189</v>
      </c>
      <c r="BG5" s="135" t="s">
        <v>187</v>
      </c>
      <c r="BH5" s="122" t="s">
        <v>190</v>
      </c>
      <c r="BI5" s="122" t="s">
        <v>188</v>
      </c>
      <c r="BJ5" s="123" t="s">
        <v>189</v>
      </c>
      <c r="BK5" s="136" t="s">
        <v>187</v>
      </c>
      <c r="BL5" s="122" t="s">
        <v>190</v>
      </c>
      <c r="BM5" s="122" t="s">
        <v>188</v>
      </c>
      <c r="BN5" s="123" t="s">
        <v>189</v>
      </c>
      <c r="BO5" s="136" t="s">
        <v>187</v>
      </c>
      <c r="BP5" s="122" t="s">
        <v>190</v>
      </c>
      <c r="BQ5" s="122" t="s">
        <v>188</v>
      </c>
      <c r="BR5" s="123" t="s">
        <v>189</v>
      </c>
      <c r="BS5" s="137"/>
      <c r="BT5" s="116"/>
    </row>
    <row r="6" spans="1:72" s="5" customFormat="1" ht="26.25" customHeight="1">
      <c r="A6" s="138" t="s">
        <v>115</v>
      </c>
      <c r="B6" s="89">
        <f>B7+B8</f>
        <v>0</v>
      </c>
      <c r="C6" s="90">
        <f>C7+C8</f>
        <v>0</v>
      </c>
      <c r="D6" s="13">
        <f aca="true" t="shared" si="0" ref="D6:D30">C6-B6</f>
        <v>0</v>
      </c>
      <c r="E6" s="89">
        <f>E7+E8</f>
        <v>5056047</v>
      </c>
      <c r="F6" s="90">
        <f>F7+F8</f>
        <v>67617047</v>
      </c>
      <c r="G6" s="13">
        <f aca="true" t="shared" si="1" ref="G6:G30">F6-E6</f>
        <v>62561000</v>
      </c>
      <c r="H6" s="89">
        <f>H7+H8</f>
        <v>0</v>
      </c>
      <c r="I6" s="90">
        <f>I7+I8</f>
        <v>0</v>
      </c>
      <c r="J6" s="13">
        <f aca="true" t="shared" si="2" ref="J6:J30">I6-H6</f>
        <v>0</v>
      </c>
      <c r="K6" s="89">
        <f>K7+K8</f>
        <v>0</v>
      </c>
      <c r="L6" s="90">
        <f>L7+L8</f>
        <v>494433</v>
      </c>
      <c r="M6" s="13">
        <f aca="true" t="shared" si="3" ref="M6:M30">L6-K6</f>
        <v>494433</v>
      </c>
      <c r="N6" s="89">
        <f>N7+N8</f>
        <v>48545000</v>
      </c>
      <c r="O6" s="90">
        <f>O7+O8</f>
        <v>48545000</v>
      </c>
      <c r="P6" s="13">
        <f aca="true" t="shared" si="4" ref="P6:P30">O6-N6</f>
        <v>0</v>
      </c>
      <c r="Q6" s="89">
        <f>Q7+Q8</f>
        <v>0</v>
      </c>
      <c r="R6" s="90">
        <f>R7+R8</f>
        <v>0</v>
      </c>
      <c r="S6" s="13">
        <f aca="true" t="shared" si="5" ref="S6:S30">R6-Q6</f>
        <v>0</v>
      </c>
      <c r="T6" s="89">
        <f>T7+T8</f>
        <v>0</v>
      </c>
      <c r="U6" s="90">
        <f>U7+U8</f>
        <v>0</v>
      </c>
      <c r="V6" s="13">
        <f aca="true" t="shared" si="6" ref="V6:V30">U6-T6</f>
        <v>0</v>
      </c>
      <c r="W6" s="89">
        <f>W7+W8</f>
        <v>0</v>
      </c>
      <c r="X6" s="90">
        <f>X7+X8</f>
        <v>0</v>
      </c>
      <c r="Y6" s="13">
        <f aca="true" t="shared" si="7" ref="Y6:Y30">X6-W6</f>
        <v>0</v>
      </c>
      <c r="Z6" s="89">
        <f>Z7+Z8</f>
        <v>0</v>
      </c>
      <c r="AA6" s="90">
        <f>AA7+AA8</f>
        <v>0</v>
      </c>
      <c r="AB6" s="13">
        <f aca="true" t="shared" si="8" ref="AB6:AB30">AA6-Z6</f>
        <v>0</v>
      </c>
      <c r="AC6" s="89">
        <f>AC7+AC8</f>
        <v>0</v>
      </c>
      <c r="AD6" s="90">
        <f>AD7+AD8</f>
        <v>0</v>
      </c>
      <c r="AE6" s="13">
        <f aca="true" t="shared" si="9" ref="AE6:AE30">AD6-AC6</f>
        <v>0</v>
      </c>
      <c r="AF6" s="139">
        <f aca="true" t="shared" si="10" ref="AF6:AF30">Q6+T6+W6+Z6+AC6</f>
        <v>0</v>
      </c>
      <c r="AG6" s="140">
        <f aca="true" t="shared" si="11" ref="AG6:AG30">R6+U6+X6+AA6+AD6</f>
        <v>0</v>
      </c>
      <c r="AH6" s="141">
        <f aca="true" t="shared" si="12" ref="AH6:AH30">AG6-AF6</f>
        <v>0</v>
      </c>
      <c r="AI6" s="89">
        <f>AI7+AI8</f>
        <v>0</v>
      </c>
      <c r="AJ6" s="90">
        <f>AJ7+AJ8</f>
        <v>338217</v>
      </c>
      <c r="AK6" s="13">
        <f aca="true" t="shared" si="13" ref="AK6:AK30">AJ6-AI6</f>
        <v>338217</v>
      </c>
      <c r="AL6" s="89">
        <f>AL7+AL8</f>
        <v>0</v>
      </c>
      <c r="AM6" s="90">
        <f>AM7+AM8</f>
        <v>194572</v>
      </c>
      <c r="AN6" s="13">
        <f aca="true" t="shared" si="14" ref="AN6:AN30">AM6-AL6</f>
        <v>194572</v>
      </c>
      <c r="AO6" s="89">
        <f>AO7+AO8</f>
        <v>0</v>
      </c>
      <c r="AP6" s="90">
        <f>AP7+AP8</f>
        <v>0</v>
      </c>
      <c r="AQ6" s="13">
        <f aca="true" t="shared" si="15" ref="AQ6:AQ30">AP6-AO6</f>
        <v>0</v>
      </c>
      <c r="AR6" s="142">
        <f aca="true" t="shared" si="16" ref="AR6:AR30">AI6+AL6+AO6</f>
        <v>0</v>
      </c>
      <c r="AS6" s="143">
        <f aca="true" t="shared" si="17" ref="AS6:AS30">AJ6+AM6+AP6</f>
        <v>532789</v>
      </c>
      <c r="AT6" s="144">
        <f aca="true" t="shared" si="18" ref="AT6:AT30">AS6-AR6</f>
        <v>532789</v>
      </c>
      <c r="AU6" s="145">
        <f>AU7+AU8</f>
        <v>53601047</v>
      </c>
      <c r="AV6" s="146">
        <f>AV7+AV8</f>
        <v>117189269</v>
      </c>
      <c r="AW6" s="147">
        <f aca="true" t="shared" si="19" ref="AW6:AW30">AV6-AU6</f>
        <v>63588222</v>
      </c>
      <c r="AX6" s="89">
        <f>AX7+AX8</f>
        <v>1225003114</v>
      </c>
      <c r="AY6" s="148">
        <f>AY7+AY8</f>
        <v>1242370954</v>
      </c>
      <c r="AZ6" s="149">
        <f aca="true" t="shared" si="20" ref="AZ6:AZ30">AY6-AX6</f>
        <v>17367840</v>
      </c>
      <c r="BA6" s="150">
        <f>BA7+BA8</f>
        <v>1278604161</v>
      </c>
      <c r="BB6" s="151">
        <f>BB7+BB8</f>
        <v>1359560223</v>
      </c>
      <c r="BC6" s="147">
        <f aca="true" t="shared" si="21" ref="BC6:BC30">BB6-BA6</f>
        <v>80956062</v>
      </c>
      <c r="BD6" s="152">
        <f aca="true" t="shared" si="22" ref="BD6:BI6">BD7+BD8</f>
        <v>1278604161</v>
      </c>
      <c r="BE6" s="152">
        <f t="shared" si="22"/>
        <v>1359560223</v>
      </c>
      <c r="BF6" s="152">
        <f t="shared" si="22"/>
        <v>80956062</v>
      </c>
      <c r="BG6" s="153">
        <f t="shared" si="22"/>
        <v>914521000</v>
      </c>
      <c r="BH6" s="154">
        <f t="shared" si="22"/>
        <v>966846000</v>
      </c>
      <c r="BI6" s="154">
        <f t="shared" si="22"/>
        <v>966846000</v>
      </c>
      <c r="BJ6" s="155">
        <f aca="true" t="shared" si="23" ref="BJ6:BJ30">BI6-BH6</f>
        <v>0</v>
      </c>
      <c r="BK6" s="154">
        <f aca="true" t="shared" si="24" ref="BK6:BR6">BK7+BK8</f>
        <v>67004</v>
      </c>
      <c r="BL6" s="154">
        <f t="shared" si="24"/>
        <v>68104</v>
      </c>
      <c r="BM6" s="154">
        <f t="shared" si="24"/>
        <v>69204</v>
      </c>
      <c r="BN6" s="155">
        <f t="shared" si="24"/>
        <v>1100</v>
      </c>
      <c r="BO6" s="153">
        <f t="shared" si="24"/>
        <v>0</v>
      </c>
      <c r="BP6" s="156">
        <f t="shared" si="24"/>
        <v>0</v>
      </c>
      <c r="BQ6" s="156">
        <f t="shared" si="24"/>
        <v>0</v>
      </c>
      <c r="BR6" s="155">
        <f t="shared" si="24"/>
        <v>0</v>
      </c>
      <c r="BS6" s="157"/>
      <c r="BT6" s="158">
        <f aca="true" t="shared" si="25" ref="BT6:BT30">BP6+BL6+BH6</f>
        <v>966914104</v>
      </c>
    </row>
    <row r="7" spans="1:72" s="5" customFormat="1" ht="13.5">
      <c r="A7" s="159" t="s">
        <v>112</v>
      </c>
      <c r="B7" s="86"/>
      <c r="C7" s="68"/>
      <c r="D7" s="66">
        <f t="shared" si="0"/>
        <v>0</v>
      </c>
      <c r="E7" s="160"/>
      <c r="F7" s="68"/>
      <c r="G7" s="66">
        <f t="shared" si="1"/>
        <v>0</v>
      </c>
      <c r="H7" s="68"/>
      <c r="I7" s="68"/>
      <c r="J7" s="66">
        <f t="shared" si="2"/>
        <v>0</v>
      </c>
      <c r="K7" s="86"/>
      <c r="L7" s="160"/>
      <c r="M7" s="66">
        <f t="shared" si="3"/>
        <v>0</v>
      </c>
      <c r="N7" s="86"/>
      <c r="O7" s="160"/>
      <c r="P7" s="66">
        <f t="shared" si="4"/>
        <v>0</v>
      </c>
      <c r="Q7" s="86"/>
      <c r="R7" s="160"/>
      <c r="S7" s="66">
        <f t="shared" si="5"/>
        <v>0</v>
      </c>
      <c r="T7" s="86"/>
      <c r="U7" s="160"/>
      <c r="V7" s="66">
        <f t="shared" si="6"/>
        <v>0</v>
      </c>
      <c r="W7" s="86"/>
      <c r="X7" s="160"/>
      <c r="Y7" s="66">
        <f t="shared" si="7"/>
        <v>0</v>
      </c>
      <c r="Z7" s="86"/>
      <c r="AA7" s="160"/>
      <c r="AB7" s="66">
        <f t="shared" si="8"/>
        <v>0</v>
      </c>
      <c r="AC7" s="86"/>
      <c r="AD7" s="160"/>
      <c r="AE7" s="66">
        <f t="shared" si="9"/>
        <v>0</v>
      </c>
      <c r="AF7" s="161">
        <f t="shared" si="10"/>
        <v>0</v>
      </c>
      <c r="AG7" s="162">
        <f t="shared" si="11"/>
        <v>0</v>
      </c>
      <c r="AH7" s="163">
        <f t="shared" si="12"/>
        <v>0</v>
      </c>
      <c r="AI7" s="86"/>
      <c r="AJ7" s="160"/>
      <c r="AK7" s="66">
        <f t="shared" si="13"/>
        <v>0</v>
      </c>
      <c r="AL7" s="86"/>
      <c r="AM7" s="160"/>
      <c r="AN7" s="66">
        <f t="shared" si="14"/>
        <v>0</v>
      </c>
      <c r="AO7" s="86"/>
      <c r="AP7" s="160"/>
      <c r="AQ7" s="66">
        <f t="shared" si="15"/>
        <v>0</v>
      </c>
      <c r="AR7" s="164">
        <f t="shared" si="16"/>
        <v>0</v>
      </c>
      <c r="AS7" s="165">
        <f t="shared" si="17"/>
        <v>0</v>
      </c>
      <c r="AT7" s="166">
        <f t="shared" si="18"/>
        <v>0</v>
      </c>
      <c r="AU7" s="167">
        <f aca="true" t="shared" si="26" ref="AU7:AV11">B7+E7+H7+K7+N7+AR7+AF7</f>
        <v>0</v>
      </c>
      <c r="AV7" s="167">
        <f t="shared" si="26"/>
        <v>0</v>
      </c>
      <c r="AW7" s="168">
        <f t="shared" si="19"/>
        <v>0</v>
      </c>
      <c r="AX7" s="86">
        <v>895536997</v>
      </c>
      <c r="AY7" s="68">
        <v>939428487</v>
      </c>
      <c r="AZ7" s="169">
        <f t="shared" si="20"/>
        <v>43891490</v>
      </c>
      <c r="BA7" s="170">
        <f aca="true" t="shared" si="27" ref="BA7:BB11">AX7+AU7</f>
        <v>895536997</v>
      </c>
      <c r="BB7" s="171">
        <f t="shared" si="27"/>
        <v>939428487</v>
      </c>
      <c r="BC7" s="168">
        <f t="shared" si="21"/>
        <v>43891490</v>
      </c>
      <c r="BD7" s="172">
        <f aca="true" t="shared" si="28" ref="BD7:BF11">BA7</f>
        <v>895536997</v>
      </c>
      <c r="BE7" s="172">
        <f t="shared" si="28"/>
        <v>939428487</v>
      </c>
      <c r="BF7" s="172">
        <f t="shared" si="28"/>
        <v>43891490</v>
      </c>
      <c r="BG7" s="173">
        <v>843598000</v>
      </c>
      <c r="BH7" s="174">
        <f>BG7+33214000</f>
        <v>876812000</v>
      </c>
      <c r="BI7" s="174">
        <f>BH7+0</f>
        <v>876812000</v>
      </c>
      <c r="BJ7" s="175">
        <f t="shared" si="23"/>
        <v>0</v>
      </c>
      <c r="BK7" s="176"/>
      <c r="BL7" s="174">
        <f>BK7</f>
        <v>0</v>
      </c>
      <c r="BM7" s="174">
        <f>BL7</f>
        <v>0</v>
      </c>
      <c r="BN7" s="175">
        <f>BL7-BK7</f>
        <v>0</v>
      </c>
      <c r="BO7" s="173"/>
      <c r="BP7" s="174">
        <f aca="true" t="shared" si="29" ref="BP7:BQ11">BO7</f>
        <v>0</v>
      </c>
      <c r="BQ7" s="174">
        <f t="shared" si="29"/>
        <v>0</v>
      </c>
      <c r="BR7" s="175">
        <f>BP7-BO7</f>
        <v>0</v>
      </c>
      <c r="BS7" s="177"/>
      <c r="BT7" s="158">
        <f t="shared" si="25"/>
        <v>876812000</v>
      </c>
    </row>
    <row r="8" spans="1:72" s="5" customFormat="1" ht="13.5">
      <c r="A8" s="159" t="s">
        <v>119</v>
      </c>
      <c r="B8" s="86"/>
      <c r="C8" s="68"/>
      <c r="D8" s="66">
        <f t="shared" si="0"/>
        <v>0</v>
      </c>
      <c r="E8" s="160">
        <v>5056047</v>
      </c>
      <c r="F8" s="68">
        <v>67617047</v>
      </c>
      <c r="G8" s="66">
        <f t="shared" si="1"/>
        <v>62561000</v>
      </c>
      <c r="H8" s="68"/>
      <c r="I8" s="68">
        <v>0</v>
      </c>
      <c r="J8" s="66">
        <f t="shared" si="2"/>
        <v>0</v>
      </c>
      <c r="K8" s="86">
        <v>0</v>
      </c>
      <c r="L8" s="160">
        <v>494433</v>
      </c>
      <c r="M8" s="66">
        <f t="shared" si="3"/>
        <v>494433</v>
      </c>
      <c r="N8" s="86">
        <v>48545000</v>
      </c>
      <c r="O8" s="160">
        <v>48545000</v>
      </c>
      <c r="P8" s="66">
        <f t="shared" si="4"/>
        <v>0</v>
      </c>
      <c r="Q8" s="86">
        <v>0</v>
      </c>
      <c r="R8" s="160">
        <v>0</v>
      </c>
      <c r="S8" s="66">
        <f t="shared" si="5"/>
        <v>0</v>
      </c>
      <c r="T8" s="86">
        <v>0</v>
      </c>
      <c r="U8" s="160">
        <v>0</v>
      </c>
      <c r="V8" s="66">
        <f t="shared" si="6"/>
        <v>0</v>
      </c>
      <c r="W8" s="86">
        <v>0</v>
      </c>
      <c r="X8" s="160">
        <v>0</v>
      </c>
      <c r="Y8" s="66">
        <f t="shared" si="7"/>
        <v>0</v>
      </c>
      <c r="Z8" s="86"/>
      <c r="AA8" s="160">
        <v>0</v>
      </c>
      <c r="AB8" s="66">
        <f t="shared" si="8"/>
        <v>0</v>
      </c>
      <c r="AC8" s="86">
        <v>0</v>
      </c>
      <c r="AD8" s="160">
        <v>0</v>
      </c>
      <c r="AE8" s="66">
        <f t="shared" si="9"/>
        <v>0</v>
      </c>
      <c r="AF8" s="161">
        <f t="shared" si="10"/>
        <v>0</v>
      </c>
      <c r="AG8" s="162">
        <f t="shared" si="11"/>
        <v>0</v>
      </c>
      <c r="AH8" s="163">
        <f t="shared" si="12"/>
        <v>0</v>
      </c>
      <c r="AI8" s="86">
        <v>0</v>
      </c>
      <c r="AJ8" s="160">
        <v>338217</v>
      </c>
      <c r="AK8" s="66">
        <f t="shared" si="13"/>
        <v>338217</v>
      </c>
      <c r="AL8" s="86">
        <v>0</v>
      </c>
      <c r="AM8" s="160">
        <v>194572</v>
      </c>
      <c r="AN8" s="66">
        <f t="shared" si="14"/>
        <v>194572</v>
      </c>
      <c r="AO8" s="86"/>
      <c r="AP8" s="160"/>
      <c r="AQ8" s="66">
        <f t="shared" si="15"/>
        <v>0</v>
      </c>
      <c r="AR8" s="164">
        <f t="shared" si="16"/>
        <v>0</v>
      </c>
      <c r="AS8" s="165">
        <f t="shared" si="17"/>
        <v>532789</v>
      </c>
      <c r="AT8" s="166">
        <f t="shared" si="18"/>
        <v>532789</v>
      </c>
      <c r="AU8" s="167">
        <f t="shared" si="26"/>
        <v>53601047</v>
      </c>
      <c r="AV8" s="178">
        <f t="shared" si="26"/>
        <v>117189269</v>
      </c>
      <c r="AW8" s="168">
        <f t="shared" si="19"/>
        <v>63588222</v>
      </c>
      <c r="AX8" s="86">
        <v>329466117</v>
      </c>
      <c r="AY8" s="68">
        <v>302942467</v>
      </c>
      <c r="AZ8" s="169">
        <f t="shared" si="20"/>
        <v>-26523650</v>
      </c>
      <c r="BA8" s="170">
        <f t="shared" si="27"/>
        <v>383067164</v>
      </c>
      <c r="BB8" s="171">
        <f t="shared" si="27"/>
        <v>420131736</v>
      </c>
      <c r="BC8" s="168">
        <f t="shared" si="21"/>
        <v>37064572</v>
      </c>
      <c r="BD8" s="172">
        <f t="shared" si="28"/>
        <v>383067164</v>
      </c>
      <c r="BE8" s="172">
        <f t="shared" si="28"/>
        <v>420131736</v>
      </c>
      <c r="BF8" s="172">
        <f t="shared" si="28"/>
        <v>37064572</v>
      </c>
      <c r="BG8" s="173">
        <f>914521000-843598000</f>
        <v>70923000</v>
      </c>
      <c r="BH8" s="174">
        <f>BG8+860000+559000+352000+491000+155000+16694000</f>
        <v>90034000</v>
      </c>
      <c r="BI8" s="174">
        <f>BH8+0</f>
        <v>90034000</v>
      </c>
      <c r="BJ8" s="175">
        <f t="shared" si="23"/>
        <v>0</v>
      </c>
      <c r="BK8" s="176">
        <v>67004</v>
      </c>
      <c r="BL8" s="174">
        <f>BK8+1100</f>
        <v>68104</v>
      </c>
      <c r="BM8" s="174">
        <f>BL8+1100</f>
        <v>69204</v>
      </c>
      <c r="BN8" s="175">
        <f>BL8-BK8</f>
        <v>1100</v>
      </c>
      <c r="BO8" s="173"/>
      <c r="BP8" s="174">
        <f t="shared" si="29"/>
        <v>0</v>
      </c>
      <c r="BQ8" s="174">
        <f t="shared" si="29"/>
        <v>0</v>
      </c>
      <c r="BR8" s="175">
        <f>BP8-BO8</f>
        <v>0</v>
      </c>
      <c r="BS8" s="177"/>
      <c r="BT8" s="158">
        <f t="shared" si="25"/>
        <v>90102104</v>
      </c>
    </row>
    <row r="9" spans="1:72" s="5" customFormat="1" ht="13.5">
      <c r="A9" s="179" t="s">
        <v>65</v>
      </c>
      <c r="B9" s="87"/>
      <c r="C9" s="51"/>
      <c r="D9" s="14">
        <f t="shared" si="0"/>
        <v>0</v>
      </c>
      <c r="E9" s="180"/>
      <c r="F9" s="51"/>
      <c r="G9" s="14">
        <f t="shared" si="1"/>
        <v>0</v>
      </c>
      <c r="H9" s="51"/>
      <c r="I9" s="51"/>
      <c r="J9" s="14">
        <f t="shared" si="2"/>
        <v>0</v>
      </c>
      <c r="K9" s="87"/>
      <c r="L9" s="180"/>
      <c r="M9" s="14">
        <f t="shared" si="3"/>
        <v>0</v>
      </c>
      <c r="N9" s="87"/>
      <c r="O9" s="180"/>
      <c r="P9" s="14">
        <f t="shared" si="4"/>
        <v>0</v>
      </c>
      <c r="Q9" s="87"/>
      <c r="R9" s="180"/>
      <c r="S9" s="14">
        <f t="shared" si="5"/>
        <v>0</v>
      </c>
      <c r="T9" s="87"/>
      <c r="U9" s="180"/>
      <c r="V9" s="14">
        <f t="shared" si="6"/>
        <v>0</v>
      </c>
      <c r="W9" s="87"/>
      <c r="X9" s="180"/>
      <c r="Y9" s="14">
        <f t="shared" si="7"/>
        <v>0</v>
      </c>
      <c r="Z9" s="87"/>
      <c r="AA9" s="180"/>
      <c r="AB9" s="14">
        <f t="shared" si="8"/>
        <v>0</v>
      </c>
      <c r="AC9" s="87"/>
      <c r="AD9" s="180"/>
      <c r="AE9" s="14">
        <f t="shared" si="9"/>
        <v>0</v>
      </c>
      <c r="AF9" s="181">
        <f t="shared" si="10"/>
        <v>0</v>
      </c>
      <c r="AG9" s="182">
        <f t="shared" si="11"/>
        <v>0</v>
      </c>
      <c r="AH9" s="183">
        <f t="shared" si="12"/>
        <v>0</v>
      </c>
      <c r="AI9" s="87"/>
      <c r="AJ9" s="180"/>
      <c r="AK9" s="14">
        <f t="shared" si="13"/>
        <v>0</v>
      </c>
      <c r="AL9" s="87"/>
      <c r="AM9" s="180"/>
      <c r="AN9" s="14">
        <f t="shared" si="14"/>
        <v>0</v>
      </c>
      <c r="AO9" s="87"/>
      <c r="AP9" s="180"/>
      <c r="AQ9" s="14">
        <f t="shared" si="15"/>
        <v>0</v>
      </c>
      <c r="AR9" s="184">
        <f t="shared" si="16"/>
        <v>0</v>
      </c>
      <c r="AS9" s="185">
        <f t="shared" si="17"/>
        <v>0</v>
      </c>
      <c r="AT9" s="186">
        <f t="shared" si="18"/>
        <v>0</v>
      </c>
      <c r="AU9" s="167">
        <f t="shared" si="26"/>
        <v>0</v>
      </c>
      <c r="AV9" s="178">
        <f t="shared" si="26"/>
        <v>0</v>
      </c>
      <c r="AW9" s="168">
        <f t="shared" si="19"/>
        <v>0</v>
      </c>
      <c r="AX9" s="87">
        <v>537426000</v>
      </c>
      <c r="AY9" s="187">
        <v>408218155</v>
      </c>
      <c r="AZ9" s="169">
        <f t="shared" si="20"/>
        <v>-129207845</v>
      </c>
      <c r="BA9" s="170">
        <f t="shared" si="27"/>
        <v>537426000</v>
      </c>
      <c r="BB9" s="171">
        <f t="shared" si="27"/>
        <v>408218155</v>
      </c>
      <c r="BC9" s="168">
        <f t="shared" si="21"/>
        <v>-129207845</v>
      </c>
      <c r="BD9" s="188">
        <f t="shared" si="28"/>
        <v>537426000</v>
      </c>
      <c r="BE9" s="188">
        <f t="shared" si="28"/>
        <v>408218155</v>
      </c>
      <c r="BF9" s="188">
        <f t="shared" si="28"/>
        <v>-129207845</v>
      </c>
      <c r="BG9" s="189">
        <v>454978290</v>
      </c>
      <c r="BH9" s="190">
        <v>454978290</v>
      </c>
      <c r="BI9" s="190">
        <v>454978290</v>
      </c>
      <c r="BJ9" s="191">
        <f t="shared" si="23"/>
        <v>0</v>
      </c>
      <c r="BK9" s="192"/>
      <c r="BL9" s="190">
        <f aca="true" t="shared" si="30" ref="BL9:BM11">BK9</f>
        <v>0</v>
      </c>
      <c r="BM9" s="190">
        <f t="shared" si="30"/>
        <v>0</v>
      </c>
      <c r="BN9" s="191">
        <f>BL9-BK9</f>
        <v>0</v>
      </c>
      <c r="BO9" s="189"/>
      <c r="BP9" s="190">
        <f t="shared" si="29"/>
        <v>0</v>
      </c>
      <c r="BQ9" s="190">
        <f t="shared" si="29"/>
        <v>0</v>
      </c>
      <c r="BR9" s="191">
        <f>BP9-BO9</f>
        <v>0</v>
      </c>
      <c r="BS9" s="157"/>
      <c r="BT9" s="158">
        <f t="shared" si="25"/>
        <v>454978290</v>
      </c>
    </row>
    <row r="10" spans="1:72" s="5" customFormat="1" ht="13.5">
      <c r="A10" s="179" t="s">
        <v>66</v>
      </c>
      <c r="B10" s="87">
        <v>1450000</v>
      </c>
      <c r="C10" s="51">
        <v>1450000</v>
      </c>
      <c r="D10" s="14">
        <f t="shared" si="0"/>
        <v>0</v>
      </c>
      <c r="E10" s="180">
        <v>97045000</v>
      </c>
      <c r="F10" s="51">
        <v>32691200</v>
      </c>
      <c r="G10" s="14">
        <f t="shared" si="1"/>
        <v>-64353800</v>
      </c>
      <c r="H10" s="51">
        <v>3100000</v>
      </c>
      <c r="I10" s="51">
        <v>2976030</v>
      </c>
      <c r="J10" s="14">
        <f t="shared" si="2"/>
        <v>-123970</v>
      </c>
      <c r="K10" s="87">
        <v>2200000</v>
      </c>
      <c r="L10" s="180">
        <v>1500000</v>
      </c>
      <c r="M10" s="14">
        <f t="shared" si="3"/>
        <v>-700000</v>
      </c>
      <c r="N10" s="87">
        <v>52915000</v>
      </c>
      <c r="O10" s="180">
        <v>52360000</v>
      </c>
      <c r="P10" s="14">
        <f t="shared" si="4"/>
        <v>-555000</v>
      </c>
      <c r="Q10" s="87">
        <v>400000</v>
      </c>
      <c r="R10" s="180">
        <v>100000</v>
      </c>
      <c r="S10" s="14">
        <f t="shared" si="5"/>
        <v>-300000</v>
      </c>
      <c r="T10" s="87">
        <v>0</v>
      </c>
      <c r="U10" s="180">
        <v>0</v>
      </c>
      <c r="V10" s="14">
        <f t="shared" si="6"/>
        <v>0</v>
      </c>
      <c r="W10" s="87">
        <v>436900</v>
      </c>
      <c r="X10" s="180">
        <v>136900</v>
      </c>
      <c r="Y10" s="14">
        <f t="shared" si="7"/>
        <v>-300000</v>
      </c>
      <c r="Z10" s="87">
        <v>120000</v>
      </c>
      <c r="AA10" s="180">
        <v>120000</v>
      </c>
      <c r="AB10" s="14">
        <f t="shared" si="8"/>
        <v>0</v>
      </c>
      <c r="AC10" s="87">
        <v>70000</v>
      </c>
      <c r="AD10" s="180">
        <v>70000</v>
      </c>
      <c r="AE10" s="14">
        <f t="shared" si="9"/>
        <v>0</v>
      </c>
      <c r="AF10" s="181">
        <f t="shared" si="10"/>
        <v>1026900</v>
      </c>
      <c r="AG10" s="182">
        <f t="shared" si="11"/>
        <v>426900</v>
      </c>
      <c r="AH10" s="183">
        <f t="shared" si="12"/>
        <v>-600000</v>
      </c>
      <c r="AI10" s="87">
        <v>700000</v>
      </c>
      <c r="AJ10" s="180">
        <v>300000</v>
      </c>
      <c r="AK10" s="14">
        <f t="shared" si="13"/>
        <v>-400000</v>
      </c>
      <c r="AL10" s="87">
        <v>100000</v>
      </c>
      <c r="AM10" s="180">
        <v>20000</v>
      </c>
      <c r="AN10" s="14">
        <f t="shared" si="14"/>
        <v>-80000</v>
      </c>
      <c r="AO10" s="87">
        <v>60000</v>
      </c>
      <c r="AP10" s="180">
        <v>60000</v>
      </c>
      <c r="AQ10" s="14">
        <f t="shared" si="15"/>
        <v>0</v>
      </c>
      <c r="AR10" s="184">
        <f t="shared" si="16"/>
        <v>860000</v>
      </c>
      <c r="AS10" s="185">
        <f t="shared" si="17"/>
        <v>380000</v>
      </c>
      <c r="AT10" s="186">
        <f t="shared" si="18"/>
        <v>-480000</v>
      </c>
      <c r="AU10" s="167">
        <f t="shared" si="26"/>
        <v>158596900</v>
      </c>
      <c r="AV10" s="178">
        <f t="shared" si="26"/>
        <v>91784130</v>
      </c>
      <c r="AW10" s="168">
        <f t="shared" si="19"/>
        <v>-66812770</v>
      </c>
      <c r="AX10" s="87">
        <v>115980223</v>
      </c>
      <c r="AY10" s="187">
        <v>103483823</v>
      </c>
      <c r="AZ10" s="169">
        <f t="shared" si="20"/>
        <v>-12496400</v>
      </c>
      <c r="BA10" s="170">
        <f t="shared" si="27"/>
        <v>274577123</v>
      </c>
      <c r="BB10" s="171">
        <f t="shared" si="27"/>
        <v>195267953</v>
      </c>
      <c r="BC10" s="168">
        <f t="shared" si="21"/>
        <v>-79309170</v>
      </c>
      <c r="BD10" s="188">
        <f t="shared" si="28"/>
        <v>274577123</v>
      </c>
      <c r="BE10" s="188">
        <f t="shared" si="28"/>
        <v>195267953</v>
      </c>
      <c r="BF10" s="188">
        <f t="shared" si="28"/>
        <v>-79309170</v>
      </c>
      <c r="BG10" s="189">
        <v>167678000</v>
      </c>
      <c r="BH10" s="190">
        <f>BG10+1252000+600000+6688000</f>
        <v>176218000</v>
      </c>
      <c r="BI10" s="190">
        <f>BH10+0</f>
        <v>176218000</v>
      </c>
      <c r="BJ10" s="191">
        <f t="shared" si="23"/>
        <v>0</v>
      </c>
      <c r="BK10" s="192">
        <v>45305</v>
      </c>
      <c r="BL10" s="190">
        <f t="shared" si="30"/>
        <v>45305</v>
      </c>
      <c r="BM10" s="190">
        <f t="shared" si="30"/>
        <v>45305</v>
      </c>
      <c r="BN10" s="191">
        <f>BL10-BK10</f>
        <v>0</v>
      </c>
      <c r="BO10" s="189"/>
      <c r="BP10" s="190">
        <f t="shared" si="29"/>
        <v>0</v>
      </c>
      <c r="BQ10" s="190">
        <f t="shared" si="29"/>
        <v>0</v>
      </c>
      <c r="BR10" s="191">
        <f>BP10-BO10</f>
        <v>0</v>
      </c>
      <c r="BS10" s="157"/>
      <c r="BT10" s="158">
        <f t="shared" si="25"/>
        <v>176263305</v>
      </c>
    </row>
    <row r="11" spans="1:72" s="5" customFormat="1" ht="14.25" thickBot="1">
      <c r="A11" s="193" t="s">
        <v>68</v>
      </c>
      <c r="B11" s="88"/>
      <c r="C11" s="59"/>
      <c r="D11" s="57">
        <f t="shared" si="0"/>
        <v>0</v>
      </c>
      <c r="E11" s="194">
        <v>2650000</v>
      </c>
      <c r="F11" s="59">
        <v>2250000</v>
      </c>
      <c r="G11" s="57">
        <f t="shared" si="1"/>
        <v>-400000</v>
      </c>
      <c r="H11" s="59"/>
      <c r="I11" s="59"/>
      <c r="J11" s="57">
        <f t="shared" si="2"/>
        <v>0</v>
      </c>
      <c r="K11" s="88"/>
      <c r="L11" s="194"/>
      <c r="M11" s="57">
        <f t="shared" si="3"/>
        <v>0</v>
      </c>
      <c r="N11" s="88">
        <v>0</v>
      </c>
      <c r="O11" s="194">
        <f>N11</f>
        <v>0</v>
      </c>
      <c r="P11" s="57">
        <f t="shared" si="4"/>
        <v>0</v>
      </c>
      <c r="Q11" s="88"/>
      <c r="R11" s="194"/>
      <c r="S11" s="57">
        <f t="shared" si="5"/>
        <v>0</v>
      </c>
      <c r="T11" s="88"/>
      <c r="U11" s="194"/>
      <c r="V11" s="57">
        <f t="shared" si="6"/>
        <v>0</v>
      </c>
      <c r="W11" s="88"/>
      <c r="X11" s="194">
        <v>0</v>
      </c>
      <c r="Y11" s="57">
        <f t="shared" si="7"/>
        <v>0</v>
      </c>
      <c r="Z11" s="88"/>
      <c r="AA11" s="194"/>
      <c r="AB11" s="57">
        <f t="shared" si="8"/>
        <v>0</v>
      </c>
      <c r="AC11" s="88"/>
      <c r="AD11" s="194"/>
      <c r="AE11" s="57">
        <f t="shared" si="9"/>
        <v>0</v>
      </c>
      <c r="AF11" s="195">
        <f t="shared" si="10"/>
        <v>0</v>
      </c>
      <c r="AG11" s="196">
        <f t="shared" si="11"/>
        <v>0</v>
      </c>
      <c r="AH11" s="197">
        <f t="shared" si="12"/>
        <v>0</v>
      </c>
      <c r="AI11" s="88"/>
      <c r="AJ11" s="194"/>
      <c r="AK11" s="57">
        <f t="shared" si="13"/>
        <v>0</v>
      </c>
      <c r="AL11" s="88"/>
      <c r="AM11" s="194"/>
      <c r="AN11" s="57">
        <f t="shared" si="14"/>
        <v>0</v>
      </c>
      <c r="AO11" s="88"/>
      <c r="AP11" s="194"/>
      <c r="AQ11" s="57">
        <f t="shared" si="15"/>
        <v>0</v>
      </c>
      <c r="AR11" s="198">
        <f t="shared" si="16"/>
        <v>0</v>
      </c>
      <c r="AS11" s="199">
        <f t="shared" si="17"/>
        <v>0</v>
      </c>
      <c r="AT11" s="200">
        <f t="shared" si="18"/>
        <v>0</v>
      </c>
      <c r="AU11" s="167">
        <f t="shared" si="26"/>
        <v>2650000</v>
      </c>
      <c r="AV11" s="201">
        <f t="shared" si="26"/>
        <v>2250000</v>
      </c>
      <c r="AW11" s="202">
        <f t="shared" si="19"/>
        <v>-400000</v>
      </c>
      <c r="AX11" s="88">
        <v>0</v>
      </c>
      <c r="AY11" s="203">
        <v>2200000</v>
      </c>
      <c r="AZ11" s="204">
        <f t="shared" si="20"/>
        <v>2200000</v>
      </c>
      <c r="BA11" s="205">
        <f t="shared" si="27"/>
        <v>2650000</v>
      </c>
      <c r="BB11" s="206">
        <f t="shared" si="27"/>
        <v>4450000</v>
      </c>
      <c r="BC11" s="202">
        <f t="shared" si="21"/>
        <v>1800000</v>
      </c>
      <c r="BD11" s="207">
        <f t="shared" si="28"/>
        <v>2650000</v>
      </c>
      <c r="BE11" s="207">
        <f t="shared" si="28"/>
        <v>4450000</v>
      </c>
      <c r="BF11" s="207">
        <f t="shared" si="28"/>
        <v>1800000</v>
      </c>
      <c r="BG11" s="208"/>
      <c r="BH11" s="209">
        <f>BG11</f>
        <v>0</v>
      </c>
      <c r="BI11" s="209">
        <f>BH11</f>
        <v>0</v>
      </c>
      <c r="BJ11" s="210">
        <f t="shared" si="23"/>
        <v>0</v>
      </c>
      <c r="BK11" s="211"/>
      <c r="BL11" s="209">
        <f t="shared" si="30"/>
        <v>0</v>
      </c>
      <c r="BM11" s="209">
        <f t="shared" si="30"/>
        <v>0</v>
      </c>
      <c r="BN11" s="210">
        <f>BL11-BK11</f>
        <v>0</v>
      </c>
      <c r="BO11" s="208"/>
      <c r="BP11" s="209">
        <f t="shared" si="29"/>
        <v>0</v>
      </c>
      <c r="BQ11" s="209">
        <f t="shared" si="29"/>
        <v>0</v>
      </c>
      <c r="BR11" s="210">
        <f>BP11-BO11</f>
        <v>0</v>
      </c>
      <c r="BS11" s="157"/>
      <c r="BT11" s="158">
        <f t="shared" si="25"/>
        <v>0</v>
      </c>
    </row>
    <row r="12" spans="1:72" s="7" customFormat="1" ht="14.25" thickBot="1">
      <c r="A12" s="212" t="s">
        <v>97</v>
      </c>
      <c r="B12" s="213">
        <f>B6+B9+B10+B11</f>
        <v>1450000</v>
      </c>
      <c r="C12" s="213">
        <f>C6+C9+C10+C11</f>
        <v>1450000</v>
      </c>
      <c r="D12" s="214">
        <f t="shared" si="0"/>
        <v>0</v>
      </c>
      <c r="E12" s="215">
        <f>E6+E9+E10+E11</f>
        <v>104751047</v>
      </c>
      <c r="F12" s="216">
        <f>F6+F9+F10+F11</f>
        <v>102558247</v>
      </c>
      <c r="G12" s="214">
        <f t="shared" si="1"/>
        <v>-2192800</v>
      </c>
      <c r="H12" s="216">
        <f>H6+H9+H10+H11</f>
        <v>3100000</v>
      </c>
      <c r="I12" s="216">
        <f>I6+I9+I10+I11</f>
        <v>2976030</v>
      </c>
      <c r="J12" s="214">
        <f t="shared" si="2"/>
        <v>-123970</v>
      </c>
      <c r="K12" s="213">
        <f>K6+K9+K10+K11</f>
        <v>2200000</v>
      </c>
      <c r="L12" s="215">
        <f>L6+L9+L10+L11</f>
        <v>1994433</v>
      </c>
      <c r="M12" s="214">
        <f t="shared" si="3"/>
        <v>-205567</v>
      </c>
      <c r="N12" s="213">
        <f>N6+N9+N10+N11</f>
        <v>101460000</v>
      </c>
      <c r="O12" s="215">
        <f>O6+O9+O10+O11</f>
        <v>100905000</v>
      </c>
      <c r="P12" s="214">
        <f t="shared" si="4"/>
        <v>-555000</v>
      </c>
      <c r="Q12" s="213">
        <f>Q6+Q9+Q10+Q11</f>
        <v>400000</v>
      </c>
      <c r="R12" s="215">
        <f>R6+R9+R10+R11</f>
        <v>100000</v>
      </c>
      <c r="S12" s="214">
        <f t="shared" si="5"/>
        <v>-300000</v>
      </c>
      <c r="T12" s="213">
        <f>T6+T9+T10+T11</f>
        <v>0</v>
      </c>
      <c r="U12" s="215">
        <f>U6+U9+U10+U11</f>
        <v>0</v>
      </c>
      <c r="V12" s="214">
        <f t="shared" si="6"/>
        <v>0</v>
      </c>
      <c r="W12" s="213">
        <f>W6+W9+W10+W11</f>
        <v>436900</v>
      </c>
      <c r="X12" s="215">
        <f>X6+X9+X10+X11</f>
        <v>136900</v>
      </c>
      <c r="Y12" s="214">
        <f t="shared" si="7"/>
        <v>-300000</v>
      </c>
      <c r="Z12" s="213">
        <f>Z6+Z9+Z10+Z11</f>
        <v>120000</v>
      </c>
      <c r="AA12" s="215">
        <f>AA6+AA9+AA10+AA11</f>
        <v>120000</v>
      </c>
      <c r="AB12" s="214">
        <f t="shared" si="8"/>
        <v>0</v>
      </c>
      <c r="AC12" s="213">
        <f>AC6+AC9+AC10+AC11</f>
        <v>70000</v>
      </c>
      <c r="AD12" s="215">
        <f>AD6+AD9+AD10+AD11</f>
        <v>70000</v>
      </c>
      <c r="AE12" s="214">
        <f t="shared" si="9"/>
        <v>0</v>
      </c>
      <c r="AF12" s="217">
        <f t="shared" si="10"/>
        <v>1026900</v>
      </c>
      <c r="AG12" s="218">
        <f t="shared" si="11"/>
        <v>426900</v>
      </c>
      <c r="AH12" s="219">
        <f t="shared" si="12"/>
        <v>-600000</v>
      </c>
      <c r="AI12" s="213">
        <f>AI6+AI9+AI10+AI11</f>
        <v>700000</v>
      </c>
      <c r="AJ12" s="215">
        <f>AJ6+AJ9+AJ10+AJ11</f>
        <v>638217</v>
      </c>
      <c r="AK12" s="214">
        <f t="shared" si="13"/>
        <v>-61783</v>
      </c>
      <c r="AL12" s="213">
        <f>AL6+AL9+AL10+AL11</f>
        <v>100000</v>
      </c>
      <c r="AM12" s="215">
        <f>AM6+AM9+AM10+AM11</f>
        <v>214572</v>
      </c>
      <c r="AN12" s="214">
        <f t="shared" si="14"/>
        <v>114572</v>
      </c>
      <c r="AO12" s="213">
        <f>AO6+AO9+AO10+AO11</f>
        <v>60000</v>
      </c>
      <c r="AP12" s="215">
        <f>AP6+AP9+AP10+AP11</f>
        <v>60000</v>
      </c>
      <c r="AQ12" s="214">
        <f t="shared" si="15"/>
        <v>0</v>
      </c>
      <c r="AR12" s="220">
        <f t="shared" si="16"/>
        <v>860000</v>
      </c>
      <c r="AS12" s="221">
        <f t="shared" si="17"/>
        <v>912789</v>
      </c>
      <c r="AT12" s="222">
        <f t="shared" si="18"/>
        <v>52789</v>
      </c>
      <c r="AU12" s="223">
        <f>AU6+AU9+AU10+AU11</f>
        <v>214847947</v>
      </c>
      <c r="AV12" s="224">
        <f>AV6+AV9+AV10+AV11</f>
        <v>211223399</v>
      </c>
      <c r="AW12" s="225">
        <f t="shared" si="19"/>
        <v>-3624548</v>
      </c>
      <c r="AX12" s="213">
        <f>AX6+AX9+AX10+AX11</f>
        <v>1878409337</v>
      </c>
      <c r="AY12" s="226">
        <f>AY6+AY9+AY10+AY11</f>
        <v>1756272932</v>
      </c>
      <c r="AZ12" s="227">
        <f t="shared" si="20"/>
        <v>-122136405</v>
      </c>
      <c r="BA12" s="228">
        <f>BA6+BA9+BA10+BA11</f>
        <v>2093257284</v>
      </c>
      <c r="BB12" s="226">
        <f>BB6+BB9+BB10+BB11</f>
        <v>1967496331</v>
      </c>
      <c r="BC12" s="227">
        <f t="shared" si="21"/>
        <v>-125760953</v>
      </c>
      <c r="BD12" s="229">
        <f aca="true" t="shared" si="31" ref="BD12:BI12">BD6+BD9+BD10+BD11</f>
        <v>2093257284</v>
      </c>
      <c r="BE12" s="229">
        <f t="shared" si="31"/>
        <v>1967496331</v>
      </c>
      <c r="BF12" s="229">
        <f t="shared" si="31"/>
        <v>-125760953</v>
      </c>
      <c r="BG12" s="230">
        <f t="shared" si="31"/>
        <v>1537177290</v>
      </c>
      <c r="BH12" s="231">
        <f t="shared" si="31"/>
        <v>1598042290</v>
      </c>
      <c r="BI12" s="231">
        <f t="shared" si="31"/>
        <v>1598042290</v>
      </c>
      <c r="BJ12" s="232">
        <f t="shared" si="23"/>
        <v>0</v>
      </c>
      <c r="BK12" s="233">
        <f aca="true" t="shared" si="32" ref="BK12:BR12">BK6+BK9+BK10+BK11</f>
        <v>112309</v>
      </c>
      <c r="BL12" s="231">
        <f t="shared" si="32"/>
        <v>113409</v>
      </c>
      <c r="BM12" s="231">
        <f t="shared" si="32"/>
        <v>114509</v>
      </c>
      <c r="BN12" s="232">
        <f t="shared" si="32"/>
        <v>1100</v>
      </c>
      <c r="BO12" s="230">
        <f t="shared" si="32"/>
        <v>0</v>
      </c>
      <c r="BP12" s="231">
        <f t="shared" si="32"/>
        <v>0</v>
      </c>
      <c r="BQ12" s="231">
        <f t="shared" si="32"/>
        <v>0</v>
      </c>
      <c r="BR12" s="232">
        <f t="shared" si="32"/>
        <v>0</v>
      </c>
      <c r="BS12" s="234"/>
      <c r="BT12" s="158">
        <f t="shared" si="25"/>
        <v>1598155699</v>
      </c>
    </row>
    <row r="13" spans="1:72" s="5" customFormat="1" ht="13.5">
      <c r="A13" s="138" t="s">
        <v>79</v>
      </c>
      <c r="B13" s="89"/>
      <c r="C13" s="90"/>
      <c r="D13" s="13">
        <f t="shared" si="0"/>
        <v>0</v>
      </c>
      <c r="E13" s="235">
        <v>1478181</v>
      </c>
      <c r="F13" s="90">
        <v>1478181</v>
      </c>
      <c r="G13" s="13">
        <f t="shared" si="1"/>
        <v>0</v>
      </c>
      <c r="H13" s="90"/>
      <c r="I13" s="90"/>
      <c r="J13" s="13">
        <f t="shared" si="2"/>
        <v>0</v>
      </c>
      <c r="K13" s="89"/>
      <c r="L13" s="235"/>
      <c r="M13" s="13">
        <f t="shared" si="3"/>
        <v>0</v>
      </c>
      <c r="N13" s="89"/>
      <c r="O13" s="235"/>
      <c r="P13" s="13">
        <f t="shared" si="4"/>
        <v>0</v>
      </c>
      <c r="Q13" s="89"/>
      <c r="R13" s="235"/>
      <c r="S13" s="13">
        <f t="shared" si="5"/>
        <v>0</v>
      </c>
      <c r="T13" s="89"/>
      <c r="U13" s="235"/>
      <c r="V13" s="13">
        <f t="shared" si="6"/>
        <v>0</v>
      </c>
      <c r="W13" s="89"/>
      <c r="X13" s="235"/>
      <c r="Y13" s="13">
        <f t="shared" si="7"/>
        <v>0</v>
      </c>
      <c r="Z13" s="89"/>
      <c r="AA13" s="235"/>
      <c r="AB13" s="13">
        <f t="shared" si="8"/>
        <v>0</v>
      </c>
      <c r="AC13" s="89"/>
      <c r="AD13" s="235"/>
      <c r="AE13" s="13">
        <f t="shared" si="9"/>
        <v>0</v>
      </c>
      <c r="AF13" s="139">
        <f t="shared" si="10"/>
        <v>0</v>
      </c>
      <c r="AG13" s="236">
        <f t="shared" si="11"/>
        <v>0</v>
      </c>
      <c r="AH13" s="141">
        <f t="shared" si="12"/>
        <v>0</v>
      </c>
      <c r="AI13" s="89"/>
      <c r="AJ13" s="235"/>
      <c r="AK13" s="13">
        <f t="shared" si="13"/>
        <v>0</v>
      </c>
      <c r="AL13" s="89"/>
      <c r="AM13" s="235"/>
      <c r="AN13" s="13">
        <f t="shared" si="14"/>
        <v>0</v>
      </c>
      <c r="AO13" s="89"/>
      <c r="AP13" s="235"/>
      <c r="AQ13" s="13">
        <f t="shared" si="15"/>
        <v>0</v>
      </c>
      <c r="AR13" s="142">
        <f t="shared" si="16"/>
        <v>0</v>
      </c>
      <c r="AS13" s="237">
        <f t="shared" si="17"/>
        <v>0</v>
      </c>
      <c r="AT13" s="144">
        <f t="shared" si="18"/>
        <v>0</v>
      </c>
      <c r="AU13" s="145">
        <f aca="true" t="shared" si="33" ref="AU13:AV15">B13+E13+H13+K13+N13+AR13+AF13</f>
        <v>1478181</v>
      </c>
      <c r="AV13" s="146">
        <f t="shared" si="33"/>
        <v>1478181</v>
      </c>
      <c r="AW13" s="147">
        <f t="shared" si="19"/>
        <v>0</v>
      </c>
      <c r="AX13" s="89">
        <v>581736570</v>
      </c>
      <c r="AY13" s="148">
        <v>611329613</v>
      </c>
      <c r="AZ13" s="149">
        <f t="shared" si="20"/>
        <v>29593043</v>
      </c>
      <c r="BA13" s="150">
        <f aca="true" t="shared" si="34" ref="BA13:BB15">AX13+AU13</f>
        <v>583214751</v>
      </c>
      <c r="BB13" s="151">
        <f t="shared" si="34"/>
        <v>612807794</v>
      </c>
      <c r="BC13" s="147">
        <f t="shared" si="21"/>
        <v>29593043</v>
      </c>
      <c r="BD13" s="152">
        <f aca="true" t="shared" si="35" ref="BD13:BF15">BA13</f>
        <v>583214751</v>
      </c>
      <c r="BE13" s="152">
        <f t="shared" si="35"/>
        <v>612807794</v>
      </c>
      <c r="BF13" s="152">
        <f t="shared" si="35"/>
        <v>29593043</v>
      </c>
      <c r="BG13" s="153">
        <v>101293</v>
      </c>
      <c r="BH13" s="174">
        <f>BG13+671111</f>
        <v>772404</v>
      </c>
      <c r="BI13" s="174">
        <f>BH13+671111</f>
        <v>1443515</v>
      </c>
      <c r="BJ13" s="155">
        <f t="shared" si="23"/>
        <v>671111</v>
      </c>
      <c r="BK13" s="154">
        <v>20240</v>
      </c>
      <c r="BL13" s="174">
        <f aca="true" t="shared" si="36" ref="BL13:BM15">BK13</f>
        <v>20240</v>
      </c>
      <c r="BM13" s="174">
        <f t="shared" si="36"/>
        <v>20240</v>
      </c>
      <c r="BN13" s="155">
        <f>BL13-BK13</f>
        <v>0</v>
      </c>
      <c r="BO13" s="153"/>
      <c r="BP13" s="174">
        <f aca="true" t="shared" si="37" ref="BP13:BQ15">BO13</f>
        <v>0</v>
      </c>
      <c r="BQ13" s="174">
        <f t="shared" si="37"/>
        <v>0</v>
      </c>
      <c r="BR13" s="155">
        <f>BP13-BO13</f>
        <v>0</v>
      </c>
      <c r="BS13" s="157"/>
      <c r="BT13" s="158">
        <f t="shared" si="25"/>
        <v>792644</v>
      </c>
    </row>
    <row r="14" spans="1:72" s="5" customFormat="1" ht="13.5">
      <c r="A14" s="238" t="s">
        <v>94</v>
      </c>
      <c r="B14" s="86"/>
      <c r="C14" s="68"/>
      <c r="D14" s="66">
        <f t="shared" si="0"/>
        <v>0</v>
      </c>
      <c r="E14" s="239"/>
      <c r="F14" s="68"/>
      <c r="G14" s="66">
        <f t="shared" si="1"/>
        <v>0</v>
      </c>
      <c r="H14" s="92"/>
      <c r="I14" s="68"/>
      <c r="J14" s="66">
        <f t="shared" si="2"/>
        <v>0</v>
      </c>
      <c r="K14" s="91"/>
      <c r="L14" s="160"/>
      <c r="M14" s="66">
        <f t="shared" si="3"/>
        <v>0</v>
      </c>
      <c r="N14" s="91"/>
      <c r="O14" s="160"/>
      <c r="P14" s="66">
        <f t="shared" si="4"/>
        <v>0</v>
      </c>
      <c r="Q14" s="91"/>
      <c r="R14" s="160"/>
      <c r="S14" s="66">
        <f t="shared" si="5"/>
        <v>0</v>
      </c>
      <c r="T14" s="91"/>
      <c r="U14" s="160"/>
      <c r="V14" s="66">
        <f t="shared" si="6"/>
        <v>0</v>
      </c>
      <c r="W14" s="91"/>
      <c r="X14" s="160"/>
      <c r="Y14" s="66">
        <f t="shared" si="7"/>
        <v>0</v>
      </c>
      <c r="Z14" s="91"/>
      <c r="AA14" s="160"/>
      <c r="AB14" s="66">
        <f t="shared" si="8"/>
        <v>0</v>
      </c>
      <c r="AC14" s="91"/>
      <c r="AD14" s="160"/>
      <c r="AE14" s="66">
        <f t="shared" si="9"/>
        <v>0</v>
      </c>
      <c r="AF14" s="240">
        <f t="shared" si="10"/>
        <v>0</v>
      </c>
      <c r="AG14" s="162">
        <f t="shared" si="11"/>
        <v>0</v>
      </c>
      <c r="AH14" s="163">
        <f t="shared" si="12"/>
        <v>0</v>
      </c>
      <c r="AI14" s="91"/>
      <c r="AJ14" s="160"/>
      <c r="AK14" s="66">
        <f t="shared" si="13"/>
        <v>0</v>
      </c>
      <c r="AL14" s="91"/>
      <c r="AM14" s="160"/>
      <c r="AN14" s="66">
        <f t="shared" si="14"/>
        <v>0</v>
      </c>
      <c r="AO14" s="91"/>
      <c r="AP14" s="160"/>
      <c r="AQ14" s="66">
        <f t="shared" si="15"/>
        <v>0</v>
      </c>
      <c r="AR14" s="241">
        <f t="shared" si="16"/>
        <v>0</v>
      </c>
      <c r="AS14" s="165">
        <f t="shared" si="17"/>
        <v>0</v>
      </c>
      <c r="AT14" s="166">
        <f t="shared" si="18"/>
        <v>0</v>
      </c>
      <c r="AU14" s="145">
        <f t="shared" si="33"/>
        <v>0</v>
      </c>
      <c r="AV14" s="178">
        <f t="shared" si="33"/>
        <v>0</v>
      </c>
      <c r="AW14" s="168">
        <f t="shared" si="19"/>
        <v>0</v>
      </c>
      <c r="AX14" s="91">
        <v>0</v>
      </c>
      <c r="AY14" s="68">
        <v>0</v>
      </c>
      <c r="AZ14" s="169">
        <f t="shared" si="20"/>
        <v>0</v>
      </c>
      <c r="BA14" s="150">
        <f t="shared" si="34"/>
        <v>0</v>
      </c>
      <c r="BB14" s="171">
        <f t="shared" si="34"/>
        <v>0</v>
      </c>
      <c r="BC14" s="168">
        <f t="shared" si="21"/>
        <v>0</v>
      </c>
      <c r="BD14" s="242">
        <f t="shared" si="35"/>
        <v>0</v>
      </c>
      <c r="BE14" s="242">
        <f t="shared" si="35"/>
        <v>0</v>
      </c>
      <c r="BF14" s="242">
        <f t="shared" si="35"/>
        <v>0</v>
      </c>
      <c r="BG14" s="243">
        <v>100000000</v>
      </c>
      <c r="BH14" s="174">
        <f>BG14+93000000</f>
        <v>193000000</v>
      </c>
      <c r="BI14" s="174">
        <f>BH14+0</f>
        <v>193000000</v>
      </c>
      <c r="BJ14" s="175">
        <f t="shared" si="23"/>
        <v>0</v>
      </c>
      <c r="BK14" s="244"/>
      <c r="BL14" s="174">
        <f t="shared" si="36"/>
        <v>0</v>
      </c>
      <c r="BM14" s="174">
        <f t="shared" si="36"/>
        <v>0</v>
      </c>
      <c r="BN14" s="175">
        <f>BL14-BK14</f>
        <v>0</v>
      </c>
      <c r="BO14" s="243"/>
      <c r="BP14" s="174">
        <f t="shared" si="37"/>
        <v>0</v>
      </c>
      <c r="BQ14" s="174">
        <f t="shared" si="37"/>
        <v>0</v>
      </c>
      <c r="BR14" s="175">
        <f>BP14-BO14</f>
        <v>0</v>
      </c>
      <c r="BS14" s="177"/>
      <c r="BT14" s="158">
        <f t="shared" si="25"/>
        <v>193000000</v>
      </c>
    </row>
    <row r="15" spans="1:72" s="5" customFormat="1" ht="13.5">
      <c r="A15" s="179" t="s">
        <v>67</v>
      </c>
      <c r="B15" s="87"/>
      <c r="C15" s="51"/>
      <c r="D15" s="14">
        <f t="shared" si="0"/>
        <v>0</v>
      </c>
      <c r="E15" s="180"/>
      <c r="F15" s="51"/>
      <c r="G15" s="14">
        <f t="shared" si="1"/>
        <v>0</v>
      </c>
      <c r="H15" s="51"/>
      <c r="I15" s="51"/>
      <c r="J15" s="14">
        <f t="shared" si="2"/>
        <v>0</v>
      </c>
      <c r="K15" s="87"/>
      <c r="L15" s="180"/>
      <c r="M15" s="14">
        <f t="shared" si="3"/>
        <v>0</v>
      </c>
      <c r="N15" s="87"/>
      <c r="O15" s="180"/>
      <c r="P15" s="14">
        <f t="shared" si="4"/>
        <v>0</v>
      </c>
      <c r="Q15" s="87"/>
      <c r="R15" s="180"/>
      <c r="S15" s="14">
        <f t="shared" si="5"/>
        <v>0</v>
      </c>
      <c r="T15" s="87"/>
      <c r="U15" s="180"/>
      <c r="V15" s="14">
        <f t="shared" si="6"/>
        <v>0</v>
      </c>
      <c r="W15" s="87"/>
      <c r="X15" s="180"/>
      <c r="Y15" s="14">
        <f t="shared" si="7"/>
        <v>0</v>
      </c>
      <c r="Z15" s="87"/>
      <c r="AA15" s="180"/>
      <c r="AB15" s="14">
        <f t="shared" si="8"/>
        <v>0</v>
      </c>
      <c r="AC15" s="87"/>
      <c r="AD15" s="180"/>
      <c r="AE15" s="14">
        <f t="shared" si="9"/>
        <v>0</v>
      </c>
      <c r="AF15" s="181">
        <f t="shared" si="10"/>
        <v>0</v>
      </c>
      <c r="AG15" s="182">
        <f t="shared" si="11"/>
        <v>0</v>
      </c>
      <c r="AH15" s="183">
        <f t="shared" si="12"/>
        <v>0</v>
      </c>
      <c r="AI15" s="87"/>
      <c r="AJ15" s="180"/>
      <c r="AK15" s="14">
        <f t="shared" si="13"/>
        <v>0</v>
      </c>
      <c r="AL15" s="87"/>
      <c r="AM15" s="180"/>
      <c r="AN15" s="14">
        <f t="shared" si="14"/>
        <v>0</v>
      </c>
      <c r="AO15" s="87"/>
      <c r="AP15" s="180"/>
      <c r="AQ15" s="14">
        <f t="shared" si="15"/>
        <v>0</v>
      </c>
      <c r="AR15" s="184">
        <f t="shared" si="16"/>
        <v>0</v>
      </c>
      <c r="AS15" s="185">
        <f t="shared" si="17"/>
        <v>0</v>
      </c>
      <c r="AT15" s="186">
        <f t="shared" si="18"/>
        <v>0</v>
      </c>
      <c r="AU15" s="145">
        <f t="shared" si="33"/>
        <v>0</v>
      </c>
      <c r="AV15" s="178">
        <f t="shared" si="33"/>
        <v>0</v>
      </c>
      <c r="AW15" s="168">
        <f t="shared" si="19"/>
        <v>0</v>
      </c>
      <c r="AX15" s="87">
        <v>90829500</v>
      </c>
      <c r="AY15" s="187">
        <v>92529500</v>
      </c>
      <c r="AZ15" s="169">
        <f t="shared" si="20"/>
        <v>1700000</v>
      </c>
      <c r="BA15" s="170">
        <f t="shared" si="34"/>
        <v>90829500</v>
      </c>
      <c r="BB15" s="171">
        <f t="shared" si="34"/>
        <v>92529500</v>
      </c>
      <c r="BC15" s="168">
        <f t="shared" si="21"/>
        <v>1700000</v>
      </c>
      <c r="BD15" s="188">
        <f t="shared" si="35"/>
        <v>90829500</v>
      </c>
      <c r="BE15" s="188">
        <f t="shared" si="35"/>
        <v>92529500</v>
      </c>
      <c r="BF15" s="188">
        <f t="shared" si="35"/>
        <v>1700000</v>
      </c>
      <c r="BG15" s="189">
        <v>87248000</v>
      </c>
      <c r="BH15" s="174">
        <v>87248000</v>
      </c>
      <c r="BI15" s="174">
        <v>87248000</v>
      </c>
      <c r="BJ15" s="191">
        <f t="shared" si="23"/>
        <v>0</v>
      </c>
      <c r="BK15" s="192"/>
      <c r="BL15" s="174">
        <f t="shared" si="36"/>
        <v>0</v>
      </c>
      <c r="BM15" s="174">
        <f t="shared" si="36"/>
        <v>0</v>
      </c>
      <c r="BN15" s="191">
        <f>BL15-BK15</f>
        <v>0</v>
      </c>
      <c r="BO15" s="189"/>
      <c r="BP15" s="174">
        <f t="shared" si="37"/>
        <v>0</v>
      </c>
      <c r="BQ15" s="174">
        <f t="shared" si="37"/>
        <v>0</v>
      </c>
      <c r="BR15" s="191">
        <f>BP15-BO15</f>
        <v>0</v>
      </c>
      <c r="BS15" s="157"/>
      <c r="BT15" s="158">
        <f t="shared" si="25"/>
        <v>87248000</v>
      </c>
    </row>
    <row r="16" spans="1:72" s="5" customFormat="1" ht="13.5">
      <c r="A16" s="179" t="s">
        <v>59</v>
      </c>
      <c r="B16" s="87">
        <f>SUM(B17:B18)</f>
        <v>0</v>
      </c>
      <c r="C16" s="51">
        <f>SUM(C17:C18)</f>
        <v>0</v>
      </c>
      <c r="D16" s="14">
        <f t="shared" si="0"/>
        <v>0</v>
      </c>
      <c r="E16" s="180">
        <f>SUM(E17:E18)</f>
        <v>0</v>
      </c>
      <c r="F16" s="51">
        <f>SUM(F17:F18)</f>
        <v>0</v>
      </c>
      <c r="G16" s="14">
        <f t="shared" si="1"/>
        <v>0</v>
      </c>
      <c r="H16" s="51">
        <f>SUM(H17:H18)</f>
        <v>0</v>
      </c>
      <c r="I16" s="51">
        <f>SUM(I17:I18)</f>
        <v>0</v>
      </c>
      <c r="J16" s="14">
        <f t="shared" si="2"/>
        <v>0</v>
      </c>
      <c r="K16" s="87">
        <f>SUM(K17:K18)</f>
        <v>0</v>
      </c>
      <c r="L16" s="180">
        <f>SUM(L17:L18)</f>
        <v>0</v>
      </c>
      <c r="M16" s="14">
        <f t="shared" si="3"/>
        <v>0</v>
      </c>
      <c r="N16" s="87">
        <f>SUM(N17:N18)</f>
        <v>0</v>
      </c>
      <c r="O16" s="180">
        <f>SUM(O17:O18)</f>
        <v>0</v>
      </c>
      <c r="P16" s="14">
        <f t="shared" si="4"/>
        <v>0</v>
      </c>
      <c r="Q16" s="87">
        <f>SUM(Q17:Q18)</f>
        <v>0</v>
      </c>
      <c r="R16" s="180">
        <f>SUM(R17:R18)</f>
        <v>0</v>
      </c>
      <c r="S16" s="14">
        <f t="shared" si="5"/>
        <v>0</v>
      </c>
      <c r="T16" s="87">
        <f>SUM(T17:T18)</f>
        <v>0</v>
      </c>
      <c r="U16" s="180">
        <f>SUM(U17:U18)</f>
        <v>0</v>
      </c>
      <c r="V16" s="14">
        <f t="shared" si="6"/>
        <v>0</v>
      </c>
      <c r="W16" s="87">
        <f>SUM(W17:W18)</f>
        <v>0</v>
      </c>
      <c r="X16" s="180">
        <f>SUM(X17:X18)</f>
        <v>0</v>
      </c>
      <c r="Y16" s="14">
        <f t="shared" si="7"/>
        <v>0</v>
      </c>
      <c r="Z16" s="87">
        <f>SUM(Z17:Z18)</f>
        <v>0</v>
      </c>
      <c r="AA16" s="180">
        <f>SUM(AA17:AA18)</f>
        <v>0</v>
      </c>
      <c r="AB16" s="14">
        <f t="shared" si="8"/>
        <v>0</v>
      </c>
      <c r="AC16" s="87">
        <f>SUM(AC17:AC18)</f>
        <v>0</v>
      </c>
      <c r="AD16" s="180">
        <f>SUM(AD17:AD18)</f>
        <v>0</v>
      </c>
      <c r="AE16" s="14">
        <f t="shared" si="9"/>
        <v>0</v>
      </c>
      <c r="AF16" s="181">
        <f t="shared" si="10"/>
        <v>0</v>
      </c>
      <c r="AG16" s="182">
        <f t="shared" si="11"/>
        <v>0</v>
      </c>
      <c r="AH16" s="183">
        <f t="shared" si="12"/>
        <v>0</v>
      </c>
      <c r="AI16" s="245">
        <f>SUM(AI17:AI18)</f>
        <v>0</v>
      </c>
      <c r="AJ16" s="51">
        <f>SUM(AJ17:AJ18)</f>
        <v>0</v>
      </c>
      <c r="AK16" s="14">
        <f t="shared" si="13"/>
        <v>0</v>
      </c>
      <c r="AL16" s="245">
        <f>SUM(AL17:AL18)</f>
        <v>0</v>
      </c>
      <c r="AM16" s="51">
        <f>SUM(AM17:AM18)</f>
        <v>0</v>
      </c>
      <c r="AN16" s="14">
        <f t="shared" si="14"/>
        <v>0</v>
      </c>
      <c r="AO16" s="245">
        <f>SUM(AO17:AO18)</f>
        <v>0</v>
      </c>
      <c r="AP16" s="51">
        <f>SUM(AP17:AP18)</f>
        <v>0</v>
      </c>
      <c r="AQ16" s="14">
        <f t="shared" si="15"/>
        <v>0</v>
      </c>
      <c r="AR16" s="184">
        <f t="shared" si="16"/>
        <v>0</v>
      </c>
      <c r="AS16" s="185">
        <f t="shared" si="17"/>
        <v>0</v>
      </c>
      <c r="AT16" s="186">
        <f t="shared" si="18"/>
        <v>0</v>
      </c>
      <c r="AU16" s="167">
        <f>SUM(AU17:AU18)</f>
        <v>0</v>
      </c>
      <c r="AV16" s="178">
        <f>SUM(AV17:AV18)</f>
        <v>0</v>
      </c>
      <c r="AW16" s="168">
        <f t="shared" si="19"/>
        <v>0</v>
      </c>
      <c r="AX16" s="87">
        <f>SUM(AX17:AX18)</f>
        <v>12720149</v>
      </c>
      <c r="AY16" s="187">
        <f>SUM(AY17:AY18)</f>
        <v>12720149</v>
      </c>
      <c r="AZ16" s="169">
        <f t="shared" si="20"/>
        <v>0</v>
      </c>
      <c r="BA16" s="170">
        <f>SUM(BA17:BA18)</f>
        <v>12720149</v>
      </c>
      <c r="BB16" s="171">
        <f>SUM(BB17:BB18)</f>
        <v>12720149</v>
      </c>
      <c r="BC16" s="168">
        <f t="shared" si="21"/>
        <v>0</v>
      </c>
      <c r="BD16" s="188">
        <f aca="true" t="shared" si="38" ref="BD16:BI16">SUM(BD17:BD18)</f>
        <v>12720149</v>
      </c>
      <c r="BE16" s="188">
        <f t="shared" si="38"/>
        <v>12720149</v>
      </c>
      <c r="BF16" s="188">
        <f t="shared" si="38"/>
        <v>0</v>
      </c>
      <c r="BG16" s="189">
        <f t="shared" si="38"/>
        <v>8218000</v>
      </c>
      <c r="BH16" s="190">
        <f t="shared" si="38"/>
        <v>8218000</v>
      </c>
      <c r="BI16" s="190">
        <f t="shared" si="38"/>
        <v>8218000</v>
      </c>
      <c r="BJ16" s="191">
        <f t="shared" si="23"/>
        <v>0</v>
      </c>
      <c r="BK16" s="192">
        <f aca="true" t="shared" si="39" ref="BK16:BR16">SUM(BK17:BK18)</f>
        <v>5139</v>
      </c>
      <c r="BL16" s="190">
        <f t="shared" si="39"/>
        <v>5139</v>
      </c>
      <c r="BM16" s="190">
        <f t="shared" si="39"/>
        <v>5139</v>
      </c>
      <c r="BN16" s="191">
        <f t="shared" si="39"/>
        <v>0</v>
      </c>
      <c r="BO16" s="189">
        <f t="shared" si="39"/>
        <v>0</v>
      </c>
      <c r="BP16" s="190">
        <f t="shared" si="39"/>
        <v>0</v>
      </c>
      <c r="BQ16" s="190">
        <f t="shared" si="39"/>
        <v>0</v>
      </c>
      <c r="BR16" s="191">
        <f t="shared" si="39"/>
        <v>0</v>
      </c>
      <c r="BS16" s="157"/>
      <c r="BT16" s="158">
        <f t="shared" si="25"/>
        <v>8223139</v>
      </c>
    </row>
    <row r="17" spans="1:72" s="5" customFormat="1" ht="26.25">
      <c r="A17" s="246" t="s">
        <v>125</v>
      </c>
      <c r="B17" s="86"/>
      <c r="C17" s="68"/>
      <c r="D17" s="66">
        <f t="shared" si="0"/>
        <v>0</v>
      </c>
      <c r="E17" s="160"/>
      <c r="F17" s="68"/>
      <c r="G17" s="66">
        <f t="shared" si="1"/>
        <v>0</v>
      </c>
      <c r="H17" s="68"/>
      <c r="I17" s="68"/>
      <c r="J17" s="66">
        <f t="shared" si="2"/>
        <v>0</v>
      </c>
      <c r="K17" s="86"/>
      <c r="L17" s="160"/>
      <c r="M17" s="66">
        <f t="shared" si="3"/>
        <v>0</v>
      </c>
      <c r="N17" s="86"/>
      <c r="O17" s="160"/>
      <c r="P17" s="66">
        <f t="shared" si="4"/>
        <v>0</v>
      </c>
      <c r="Q17" s="86"/>
      <c r="R17" s="160"/>
      <c r="S17" s="66">
        <f t="shared" si="5"/>
        <v>0</v>
      </c>
      <c r="T17" s="86"/>
      <c r="U17" s="160"/>
      <c r="V17" s="66">
        <f t="shared" si="6"/>
        <v>0</v>
      </c>
      <c r="W17" s="86"/>
      <c r="X17" s="160"/>
      <c r="Y17" s="66">
        <f t="shared" si="7"/>
        <v>0</v>
      </c>
      <c r="Z17" s="86"/>
      <c r="AA17" s="160"/>
      <c r="AB17" s="66">
        <f t="shared" si="8"/>
        <v>0</v>
      </c>
      <c r="AC17" s="86"/>
      <c r="AD17" s="160"/>
      <c r="AE17" s="66">
        <f t="shared" si="9"/>
        <v>0</v>
      </c>
      <c r="AF17" s="161">
        <f t="shared" si="10"/>
        <v>0</v>
      </c>
      <c r="AG17" s="162">
        <f t="shared" si="11"/>
        <v>0</v>
      </c>
      <c r="AH17" s="163">
        <f t="shared" si="12"/>
        <v>0</v>
      </c>
      <c r="AI17" s="86"/>
      <c r="AJ17" s="160"/>
      <c r="AK17" s="66">
        <f t="shared" si="13"/>
        <v>0</v>
      </c>
      <c r="AL17" s="86"/>
      <c r="AM17" s="160"/>
      <c r="AN17" s="66">
        <f t="shared" si="14"/>
        <v>0</v>
      </c>
      <c r="AO17" s="86"/>
      <c r="AP17" s="160"/>
      <c r="AQ17" s="66">
        <f t="shared" si="15"/>
        <v>0</v>
      </c>
      <c r="AR17" s="164">
        <f t="shared" si="16"/>
        <v>0</v>
      </c>
      <c r="AS17" s="165">
        <f t="shared" si="17"/>
        <v>0</v>
      </c>
      <c r="AT17" s="166">
        <f t="shared" si="18"/>
        <v>0</v>
      </c>
      <c r="AU17" s="167">
        <f>B17+E17+H17+K17+N17+AR17+AF17</f>
        <v>0</v>
      </c>
      <c r="AV17" s="178">
        <f>C17+F17+I17+L17+O17+AS17+AG17</f>
        <v>0</v>
      </c>
      <c r="AW17" s="168">
        <f t="shared" si="19"/>
        <v>0</v>
      </c>
      <c r="AX17" s="86">
        <v>12720149</v>
      </c>
      <c r="AY17" s="68">
        <v>12720149</v>
      </c>
      <c r="AZ17" s="169">
        <f t="shared" si="20"/>
        <v>0</v>
      </c>
      <c r="BA17" s="170">
        <f>AX17+AU17</f>
        <v>12720149</v>
      </c>
      <c r="BB17" s="171">
        <f>AY17+AV17</f>
        <v>12720149</v>
      </c>
      <c r="BC17" s="168">
        <f t="shared" si="21"/>
        <v>0</v>
      </c>
      <c r="BD17" s="172">
        <f aca="true" t="shared" si="40" ref="BD17:BF18">BA17</f>
        <v>12720149</v>
      </c>
      <c r="BE17" s="172">
        <f t="shared" si="40"/>
        <v>12720149</v>
      </c>
      <c r="BF17" s="172">
        <f t="shared" si="40"/>
        <v>0</v>
      </c>
      <c r="BG17" s="173">
        <v>8218000</v>
      </c>
      <c r="BH17" s="174">
        <v>8218000</v>
      </c>
      <c r="BI17" s="174">
        <v>8218000</v>
      </c>
      <c r="BJ17" s="175">
        <f t="shared" si="23"/>
        <v>0</v>
      </c>
      <c r="BK17" s="176">
        <v>5139</v>
      </c>
      <c r="BL17" s="174">
        <f>BK17</f>
        <v>5139</v>
      </c>
      <c r="BM17" s="174">
        <f>BL17</f>
        <v>5139</v>
      </c>
      <c r="BN17" s="175">
        <f>BL17-BK17</f>
        <v>0</v>
      </c>
      <c r="BO17" s="173"/>
      <c r="BP17" s="174">
        <f>BO17</f>
        <v>0</v>
      </c>
      <c r="BQ17" s="174">
        <f>BP17</f>
        <v>0</v>
      </c>
      <c r="BR17" s="175">
        <f>BP17-BO17</f>
        <v>0</v>
      </c>
      <c r="BS17" s="177"/>
      <c r="BT17" s="158">
        <f t="shared" si="25"/>
        <v>8223139</v>
      </c>
    </row>
    <row r="18" spans="1:72" s="5" customFormat="1" ht="14.25" thickBot="1">
      <c r="A18" s="246" t="s">
        <v>126</v>
      </c>
      <c r="B18" s="93"/>
      <c r="C18" s="94"/>
      <c r="D18" s="70">
        <f t="shared" si="0"/>
        <v>0</v>
      </c>
      <c r="E18" s="247">
        <v>0</v>
      </c>
      <c r="F18" s="94">
        <v>0</v>
      </c>
      <c r="G18" s="70">
        <f t="shared" si="1"/>
        <v>0</v>
      </c>
      <c r="H18" s="94"/>
      <c r="I18" s="94"/>
      <c r="J18" s="70">
        <f t="shared" si="2"/>
        <v>0</v>
      </c>
      <c r="K18" s="93"/>
      <c r="L18" s="247"/>
      <c r="M18" s="70">
        <f t="shared" si="3"/>
        <v>0</v>
      </c>
      <c r="N18" s="93"/>
      <c r="O18" s="247"/>
      <c r="P18" s="70">
        <f t="shared" si="4"/>
        <v>0</v>
      </c>
      <c r="Q18" s="93"/>
      <c r="R18" s="247"/>
      <c r="S18" s="70">
        <f t="shared" si="5"/>
        <v>0</v>
      </c>
      <c r="T18" s="93"/>
      <c r="U18" s="247"/>
      <c r="V18" s="70">
        <f t="shared" si="6"/>
        <v>0</v>
      </c>
      <c r="W18" s="93"/>
      <c r="X18" s="247"/>
      <c r="Y18" s="70">
        <f t="shared" si="7"/>
        <v>0</v>
      </c>
      <c r="Z18" s="93"/>
      <c r="AA18" s="247"/>
      <c r="AB18" s="70">
        <f t="shared" si="8"/>
        <v>0</v>
      </c>
      <c r="AC18" s="93"/>
      <c r="AD18" s="247"/>
      <c r="AE18" s="70">
        <f t="shared" si="9"/>
        <v>0</v>
      </c>
      <c r="AF18" s="248">
        <f t="shared" si="10"/>
        <v>0</v>
      </c>
      <c r="AG18" s="249">
        <f t="shared" si="11"/>
        <v>0</v>
      </c>
      <c r="AH18" s="250">
        <f t="shared" si="12"/>
        <v>0</v>
      </c>
      <c r="AI18" s="93"/>
      <c r="AJ18" s="247"/>
      <c r="AK18" s="70">
        <f t="shared" si="13"/>
        <v>0</v>
      </c>
      <c r="AL18" s="93"/>
      <c r="AM18" s="247"/>
      <c r="AN18" s="70">
        <f t="shared" si="14"/>
        <v>0</v>
      </c>
      <c r="AO18" s="93"/>
      <c r="AP18" s="247"/>
      <c r="AQ18" s="70">
        <f t="shared" si="15"/>
        <v>0</v>
      </c>
      <c r="AR18" s="251">
        <f t="shared" si="16"/>
        <v>0</v>
      </c>
      <c r="AS18" s="252">
        <f t="shared" si="17"/>
        <v>0</v>
      </c>
      <c r="AT18" s="253">
        <f t="shared" si="18"/>
        <v>0</v>
      </c>
      <c r="AU18" s="167">
        <f>B18+E18+H18+K18+N18+AR18+AF18</f>
        <v>0</v>
      </c>
      <c r="AV18" s="201">
        <f>C18+F18+I18+L18+O18+AS18+AG18</f>
        <v>0</v>
      </c>
      <c r="AW18" s="202">
        <f t="shared" si="19"/>
        <v>0</v>
      </c>
      <c r="AX18" s="93">
        <v>0</v>
      </c>
      <c r="AY18" s="94">
        <v>0</v>
      </c>
      <c r="AZ18" s="204">
        <f t="shared" si="20"/>
        <v>0</v>
      </c>
      <c r="BA18" s="205">
        <f>AX18+AU18</f>
        <v>0</v>
      </c>
      <c r="BB18" s="206">
        <f>AY18+AV18</f>
        <v>0</v>
      </c>
      <c r="BC18" s="202">
        <f t="shared" si="21"/>
        <v>0</v>
      </c>
      <c r="BD18" s="254">
        <f t="shared" si="40"/>
        <v>0</v>
      </c>
      <c r="BE18" s="254">
        <f t="shared" si="40"/>
        <v>0</v>
      </c>
      <c r="BF18" s="254">
        <f t="shared" si="40"/>
        <v>0</v>
      </c>
      <c r="BG18" s="255"/>
      <c r="BH18" s="256">
        <f>BG18</f>
        <v>0</v>
      </c>
      <c r="BI18" s="256">
        <f>BH18</f>
        <v>0</v>
      </c>
      <c r="BJ18" s="257">
        <f t="shared" si="23"/>
        <v>0</v>
      </c>
      <c r="BK18" s="258"/>
      <c r="BL18" s="256">
        <f>BK18</f>
        <v>0</v>
      </c>
      <c r="BM18" s="256">
        <f>BL18</f>
        <v>0</v>
      </c>
      <c r="BN18" s="257">
        <f>BL18-BK18</f>
        <v>0</v>
      </c>
      <c r="BO18" s="255"/>
      <c r="BP18" s="256">
        <f>BO18</f>
        <v>0</v>
      </c>
      <c r="BQ18" s="256">
        <f>BP18</f>
        <v>0</v>
      </c>
      <c r="BR18" s="257">
        <f>BP18-BO18</f>
        <v>0</v>
      </c>
      <c r="BS18" s="177"/>
      <c r="BT18" s="158">
        <f t="shared" si="25"/>
        <v>0</v>
      </c>
    </row>
    <row r="19" spans="1:72" s="7" customFormat="1" ht="14.25" customHeight="1" thickBot="1">
      <c r="A19" s="212" t="s">
        <v>98</v>
      </c>
      <c r="B19" s="213">
        <f>B16+B15+B13</f>
        <v>0</v>
      </c>
      <c r="C19" s="213">
        <f>C16+C15+C13</f>
        <v>0</v>
      </c>
      <c r="D19" s="214">
        <f t="shared" si="0"/>
        <v>0</v>
      </c>
      <c r="E19" s="215">
        <f>E16+E15+E13</f>
        <v>1478181</v>
      </c>
      <c r="F19" s="216">
        <f>F16+F15+F13</f>
        <v>1478181</v>
      </c>
      <c r="G19" s="214">
        <f t="shared" si="1"/>
        <v>0</v>
      </c>
      <c r="H19" s="216">
        <f>H16+H15+H13</f>
        <v>0</v>
      </c>
      <c r="I19" s="216">
        <f>I16+I15+I13</f>
        <v>0</v>
      </c>
      <c r="J19" s="214">
        <f t="shared" si="2"/>
        <v>0</v>
      </c>
      <c r="K19" s="213">
        <f>K16+K15+K13</f>
        <v>0</v>
      </c>
      <c r="L19" s="215">
        <f>L16+L15+L13</f>
        <v>0</v>
      </c>
      <c r="M19" s="214">
        <f t="shared" si="3"/>
        <v>0</v>
      </c>
      <c r="N19" s="213">
        <f>N16+N15+N13</f>
        <v>0</v>
      </c>
      <c r="O19" s="215">
        <f>O16+O15+O13</f>
        <v>0</v>
      </c>
      <c r="P19" s="214">
        <f t="shared" si="4"/>
        <v>0</v>
      </c>
      <c r="Q19" s="213">
        <f>Q16+Q15+Q13</f>
        <v>0</v>
      </c>
      <c r="R19" s="215">
        <f>R16+R15+R13</f>
        <v>0</v>
      </c>
      <c r="S19" s="214">
        <f t="shared" si="5"/>
        <v>0</v>
      </c>
      <c r="T19" s="213">
        <f>T16+T15+T13</f>
        <v>0</v>
      </c>
      <c r="U19" s="215">
        <f>U16+U15+U13</f>
        <v>0</v>
      </c>
      <c r="V19" s="214">
        <f t="shared" si="6"/>
        <v>0</v>
      </c>
      <c r="W19" s="213">
        <f>W16+W15+W13</f>
        <v>0</v>
      </c>
      <c r="X19" s="215">
        <f>X16+X15+X13</f>
        <v>0</v>
      </c>
      <c r="Y19" s="214">
        <f t="shared" si="7"/>
        <v>0</v>
      </c>
      <c r="Z19" s="213">
        <f>Z16+Z15+Z13</f>
        <v>0</v>
      </c>
      <c r="AA19" s="215">
        <f>AA16+AA15+AA13</f>
        <v>0</v>
      </c>
      <c r="AB19" s="214">
        <f t="shared" si="8"/>
        <v>0</v>
      </c>
      <c r="AC19" s="213">
        <f>AC16+AC15+AC13</f>
        <v>0</v>
      </c>
      <c r="AD19" s="215">
        <f>AD16+AD15+AD13</f>
        <v>0</v>
      </c>
      <c r="AE19" s="214">
        <f t="shared" si="9"/>
        <v>0</v>
      </c>
      <c r="AF19" s="217">
        <f t="shared" si="10"/>
        <v>0</v>
      </c>
      <c r="AG19" s="218">
        <f t="shared" si="11"/>
        <v>0</v>
      </c>
      <c r="AH19" s="219">
        <f t="shared" si="12"/>
        <v>0</v>
      </c>
      <c r="AI19" s="213">
        <f>AI16+AI15+AI13</f>
        <v>0</v>
      </c>
      <c r="AJ19" s="215">
        <f>AJ16+AJ15+AJ13</f>
        <v>0</v>
      </c>
      <c r="AK19" s="214">
        <f t="shared" si="13"/>
        <v>0</v>
      </c>
      <c r="AL19" s="213">
        <f>AL16+AL15+AL13</f>
        <v>0</v>
      </c>
      <c r="AM19" s="215">
        <f>AM16+AM15+AM13</f>
        <v>0</v>
      </c>
      <c r="AN19" s="214">
        <f t="shared" si="14"/>
        <v>0</v>
      </c>
      <c r="AO19" s="213">
        <f>AO16+AO15+AO13</f>
        <v>0</v>
      </c>
      <c r="AP19" s="215">
        <f>AP16+AP15+AP13</f>
        <v>0</v>
      </c>
      <c r="AQ19" s="214">
        <f t="shared" si="15"/>
        <v>0</v>
      </c>
      <c r="AR19" s="220">
        <f t="shared" si="16"/>
        <v>0</v>
      </c>
      <c r="AS19" s="221">
        <f t="shared" si="17"/>
        <v>0</v>
      </c>
      <c r="AT19" s="222">
        <f t="shared" si="18"/>
        <v>0</v>
      </c>
      <c r="AU19" s="223">
        <f>AU16+AU15+AU13</f>
        <v>1478181</v>
      </c>
      <c r="AV19" s="224">
        <f>AV16+AV15+AV13</f>
        <v>1478181</v>
      </c>
      <c r="AW19" s="225">
        <f t="shared" si="19"/>
        <v>0</v>
      </c>
      <c r="AX19" s="213">
        <f>AX16+AX15+AX13</f>
        <v>685286219</v>
      </c>
      <c r="AY19" s="226">
        <f>AY16+AY15+AY13</f>
        <v>716579262</v>
      </c>
      <c r="AZ19" s="227">
        <f t="shared" si="20"/>
        <v>31293043</v>
      </c>
      <c r="BA19" s="228">
        <f>BA16+BA15+BA13</f>
        <v>686764400</v>
      </c>
      <c r="BB19" s="226">
        <f>BB16+BB15+BB13</f>
        <v>718057443</v>
      </c>
      <c r="BC19" s="227">
        <f t="shared" si="21"/>
        <v>31293043</v>
      </c>
      <c r="BD19" s="229">
        <f aca="true" t="shared" si="41" ref="BD19:BI19">BD16+BD15+BD13</f>
        <v>686764400</v>
      </c>
      <c r="BE19" s="229">
        <f t="shared" si="41"/>
        <v>718057443</v>
      </c>
      <c r="BF19" s="229">
        <f t="shared" si="41"/>
        <v>31293043</v>
      </c>
      <c r="BG19" s="230">
        <f t="shared" si="41"/>
        <v>95567293</v>
      </c>
      <c r="BH19" s="231">
        <f t="shared" si="41"/>
        <v>96238404</v>
      </c>
      <c r="BI19" s="231">
        <f t="shared" si="41"/>
        <v>96909515</v>
      </c>
      <c r="BJ19" s="232">
        <f t="shared" si="23"/>
        <v>671111</v>
      </c>
      <c r="BK19" s="233">
        <f aca="true" t="shared" si="42" ref="BK19:BR19">BK16+BK15+BK13</f>
        <v>25379</v>
      </c>
      <c r="BL19" s="231">
        <f t="shared" si="42"/>
        <v>25379</v>
      </c>
      <c r="BM19" s="231">
        <f t="shared" si="42"/>
        <v>25379</v>
      </c>
      <c r="BN19" s="232">
        <f t="shared" si="42"/>
        <v>0</v>
      </c>
      <c r="BO19" s="230">
        <f t="shared" si="42"/>
        <v>0</v>
      </c>
      <c r="BP19" s="231">
        <f t="shared" si="42"/>
        <v>0</v>
      </c>
      <c r="BQ19" s="231">
        <f t="shared" si="42"/>
        <v>0</v>
      </c>
      <c r="BR19" s="232">
        <f t="shared" si="42"/>
        <v>0</v>
      </c>
      <c r="BS19" s="234"/>
      <c r="BT19" s="158">
        <f t="shared" si="25"/>
        <v>96263783</v>
      </c>
    </row>
    <row r="20" spans="1:72" s="7" customFormat="1" ht="15.75" customHeight="1" thickBot="1">
      <c r="A20" s="259" t="s">
        <v>96</v>
      </c>
      <c r="B20" s="213">
        <f>B19+B12</f>
        <v>1450000</v>
      </c>
      <c r="C20" s="213">
        <f>C19+C12</f>
        <v>1450000</v>
      </c>
      <c r="D20" s="214">
        <f t="shared" si="0"/>
        <v>0</v>
      </c>
      <c r="E20" s="260">
        <f>E19+E12</f>
        <v>106229228</v>
      </c>
      <c r="F20" s="216">
        <f>F19+F12</f>
        <v>104036428</v>
      </c>
      <c r="G20" s="214">
        <f t="shared" si="1"/>
        <v>-2192800</v>
      </c>
      <c r="H20" s="261">
        <f>H19+H12</f>
        <v>3100000</v>
      </c>
      <c r="I20" s="216">
        <f>I19+I12</f>
        <v>2976030</v>
      </c>
      <c r="J20" s="214">
        <f t="shared" si="2"/>
        <v>-123970</v>
      </c>
      <c r="K20" s="262">
        <f>K19+K12</f>
        <v>2200000</v>
      </c>
      <c r="L20" s="215">
        <f>L19+L12</f>
        <v>1994433</v>
      </c>
      <c r="M20" s="214">
        <f t="shared" si="3"/>
        <v>-205567</v>
      </c>
      <c r="N20" s="262">
        <f>N19+N12</f>
        <v>101460000</v>
      </c>
      <c r="O20" s="215">
        <f>O19+O12</f>
        <v>100905000</v>
      </c>
      <c r="P20" s="214">
        <f t="shared" si="4"/>
        <v>-555000</v>
      </c>
      <c r="Q20" s="262">
        <f>Q19+Q12</f>
        <v>400000</v>
      </c>
      <c r="R20" s="215">
        <f>R19+R12</f>
        <v>100000</v>
      </c>
      <c r="S20" s="214">
        <f t="shared" si="5"/>
        <v>-300000</v>
      </c>
      <c r="T20" s="262">
        <f>T19+T12</f>
        <v>0</v>
      </c>
      <c r="U20" s="215">
        <f>U19+U12</f>
        <v>0</v>
      </c>
      <c r="V20" s="214">
        <f t="shared" si="6"/>
        <v>0</v>
      </c>
      <c r="W20" s="262">
        <f>W19+W12</f>
        <v>436900</v>
      </c>
      <c r="X20" s="215">
        <f>X19+X12</f>
        <v>136900</v>
      </c>
      <c r="Y20" s="214">
        <f t="shared" si="7"/>
        <v>-300000</v>
      </c>
      <c r="Z20" s="262">
        <f>Z19+Z12</f>
        <v>120000</v>
      </c>
      <c r="AA20" s="215">
        <f>AA19+AA12</f>
        <v>120000</v>
      </c>
      <c r="AB20" s="214">
        <f t="shared" si="8"/>
        <v>0</v>
      </c>
      <c r="AC20" s="262">
        <f>AC19+AC12</f>
        <v>70000</v>
      </c>
      <c r="AD20" s="215">
        <f>AD19+AD12</f>
        <v>70000</v>
      </c>
      <c r="AE20" s="214">
        <f t="shared" si="9"/>
        <v>0</v>
      </c>
      <c r="AF20" s="263">
        <f t="shared" si="10"/>
        <v>1026900</v>
      </c>
      <c r="AG20" s="218">
        <f t="shared" si="11"/>
        <v>426900</v>
      </c>
      <c r="AH20" s="219">
        <f t="shared" si="12"/>
        <v>-600000</v>
      </c>
      <c r="AI20" s="262">
        <f>AI19+AI12</f>
        <v>700000</v>
      </c>
      <c r="AJ20" s="215">
        <f>AJ19+AJ12</f>
        <v>638217</v>
      </c>
      <c r="AK20" s="214">
        <f t="shared" si="13"/>
        <v>-61783</v>
      </c>
      <c r="AL20" s="262">
        <f>AL19+AL12</f>
        <v>100000</v>
      </c>
      <c r="AM20" s="215">
        <f>AM19+AM12</f>
        <v>214572</v>
      </c>
      <c r="AN20" s="214">
        <f t="shared" si="14"/>
        <v>114572</v>
      </c>
      <c r="AO20" s="262">
        <f>AO19+AO12</f>
        <v>60000</v>
      </c>
      <c r="AP20" s="215">
        <f>AP19+AP12</f>
        <v>60000</v>
      </c>
      <c r="AQ20" s="214">
        <f t="shared" si="15"/>
        <v>0</v>
      </c>
      <c r="AR20" s="264">
        <f t="shared" si="16"/>
        <v>860000</v>
      </c>
      <c r="AS20" s="221">
        <f t="shared" si="17"/>
        <v>912789</v>
      </c>
      <c r="AT20" s="222">
        <f t="shared" si="18"/>
        <v>52789</v>
      </c>
      <c r="AU20" s="265">
        <f>AU19+AU12</f>
        <v>216326128</v>
      </c>
      <c r="AV20" s="224">
        <f>AV19+AV12</f>
        <v>212701580</v>
      </c>
      <c r="AW20" s="225">
        <f t="shared" si="19"/>
        <v>-3624548</v>
      </c>
      <c r="AX20" s="262">
        <f>AX19+AX12</f>
        <v>2563695556</v>
      </c>
      <c r="AY20" s="226">
        <f>AY19+AY12</f>
        <v>2472852194</v>
      </c>
      <c r="AZ20" s="227">
        <f t="shared" si="20"/>
        <v>-90843362</v>
      </c>
      <c r="BA20" s="266">
        <f>BA19+BA12</f>
        <v>2780021684</v>
      </c>
      <c r="BB20" s="226">
        <f>BB19+BB12</f>
        <v>2685553774</v>
      </c>
      <c r="BC20" s="227">
        <f t="shared" si="21"/>
        <v>-94467910</v>
      </c>
      <c r="BD20" s="267">
        <f aca="true" t="shared" si="43" ref="BD20:BI20">BD19+BD12</f>
        <v>2780021684</v>
      </c>
      <c r="BE20" s="267">
        <f t="shared" si="43"/>
        <v>2685553774</v>
      </c>
      <c r="BF20" s="267">
        <f t="shared" si="43"/>
        <v>-94467910</v>
      </c>
      <c r="BG20" s="268">
        <f t="shared" si="43"/>
        <v>1632744583</v>
      </c>
      <c r="BH20" s="231">
        <f t="shared" si="43"/>
        <v>1694280694</v>
      </c>
      <c r="BI20" s="231">
        <f t="shared" si="43"/>
        <v>1694951805</v>
      </c>
      <c r="BJ20" s="232">
        <f t="shared" si="23"/>
        <v>671111</v>
      </c>
      <c r="BK20" s="269">
        <f aca="true" t="shared" si="44" ref="BK20:BR20">BK19+BK12</f>
        <v>137688</v>
      </c>
      <c r="BL20" s="231">
        <f t="shared" si="44"/>
        <v>138788</v>
      </c>
      <c r="BM20" s="231">
        <f t="shared" si="44"/>
        <v>139888</v>
      </c>
      <c r="BN20" s="232">
        <f t="shared" si="44"/>
        <v>1100</v>
      </c>
      <c r="BO20" s="268">
        <f t="shared" si="44"/>
        <v>0</v>
      </c>
      <c r="BP20" s="231">
        <f t="shared" si="44"/>
        <v>0</v>
      </c>
      <c r="BQ20" s="231">
        <f t="shared" si="44"/>
        <v>0</v>
      </c>
      <c r="BR20" s="232">
        <f t="shared" si="44"/>
        <v>0</v>
      </c>
      <c r="BS20" s="234"/>
      <c r="BT20" s="158">
        <f t="shared" si="25"/>
        <v>1694419482</v>
      </c>
    </row>
    <row r="21" spans="1:72" s="5" customFormat="1" ht="13.5">
      <c r="A21" s="270" t="s">
        <v>64</v>
      </c>
      <c r="B21" s="85">
        <f>SUM(B22:B23)</f>
        <v>2662305</v>
      </c>
      <c r="C21" s="52">
        <f>SUM(C22:C23)</f>
        <v>2662305</v>
      </c>
      <c r="D21" s="53">
        <f t="shared" si="0"/>
        <v>0</v>
      </c>
      <c r="E21" s="271">
        <f>SUM(E22:E23)</f>
        <v>41277028</v>
      </c>
      <c r="F21" s="52">
        <f>SUM(F22:F23)</f>
        <v>41277028</v>
      </c>
      <c r="G21" s="53">
        <f t="shared" si="1"/>
        <v>0</v>
      </c>
      <c r="H21" s="52">
        <f>SUM(H22:H23)</f>
        <v>1400000</v>
      </c>
      <c r="I21" s="52">
        <f>SUM(I22:I23)</f>
        <v>1400000</v>
      </c>
      <c r="J21" s="53">
        <f t="shared" si="2"/>
        <v>0</v>
      </c>
      <c r="K21" s="85">
        <f>SUM(K22:K23)</f>
        <v>0</v>
      </c>
      <c r="L21" s="271">
        <f>SUM(L22:L23)</f>
        <v>0</v>
      </c>
      <c r="M21" s="53">
        <f t="shared" si="3"/>
        <v>0</v>
      </c>
      <c r="N21" s="85">
        <f>SUM(N22:N23)</f>
        <v>0</v>
      </c>
      <c r="O21" s="271">
        <f>SUM(O22:O23)</f>
        <v>0</v>
      </c>
      <c r="P21" s="53">
        <f t="shared" si="4"/>
        <v>0</v>
      </c>
      <c r="Q21" s="85">
        <f>SUM(Q22:Q23)</f>
        <v>0</v>
      </c>
      <c r="R21" s="271">
        <f>SUM(R22:R23)</f>
        <v>0</v>
      </c>
      <c r="S21" s="53">
        <f t="shared" si="5"/>
        <v>0</v>
      </c>
      <c r="T21" s="85">
        <f>SUM(T22:T23)</f>
        <v>0</v>
      </c>
      <c r="U21" s="271">
        <f>SUM(U22:U23)</f>
        <v>0</v>
      </c>
      <c r="V21" s="53">
        <f t="shared" si="6"/>
        <v>0</v>
      </c>
      <c r="W21" s="85">
        <f>SUM(W22:W23)</f>
        <v>0</v>
      </c>
      <c r="X21" s="271">
        <f>SUM(X22:X23)</f>
        <v>0</v>
      </c>
      <c r="Y21" s="53">
        <f t="shared" si="7"/>
        <v>0</v>
      </c>
      <c r="Z21" s="85">
        <f>SUM(Z22:Z23)</f>
        <v>0</v>
      </c>
      <c r="AA21" s="271">
        <f>SUM(AA22:AA23)</f>
        <v>0</v>
      </c>
      <c r="AB21" s="53">
        <f t="shared" si="8"/>
        <v>0</v>
      </c>
      <c r="AC21" s="85">
        <f>SUM(AC22:AC23)</f>
        <v>0</v>
      </c>
      <c r="AD21" s="271">
        <f>SUM(AD22:AD23)</f>
        <v>0</v>
      </c>
      <c r="AE21" s="53">
        <f t="shared" si="9"/>
        <v>0</v>
      </c>
      <c r="AF21" s="272">
        <f t="shared" si="10"/>
        <v>0</v>
      </c>
      <c r="AG21" s="273">
        <f t="shared" si="11"/>
        <v>0</v>
      </c>
      <c r="AH21" s="274">
        <f t="shared" si="12"/>
        <v>0</v>
      </c>
      <c r="AI21" s="85">
        <f>SUM(AI22:AI23)</f>
        <v>0</v>
      </c>
      <c r="AJ21" s="271">
        <f>SUM(AJ22:AJ23)</f>
        <v>0</v>
      </c>
      <c r="AK21" s="53">
        <f t="shared" si="13"/>
        <v>0</v>
      </c>
      <c r="AL21" s="85">
        <f>SUM(AL22:AL23)</f>
        <v>0</v>
      </c>
      <c r="AM21" s="271">
        <f>SUM(AM22:AM23)</f>
        <v>0</v>
      </c>
      <c r="AN21" s="53">
        <f t="shared" si="14"/>
        <v>0</v>
      </c>
      <c r="AO21" s="85">
        <f>SUM(AO22:AO23)</f>
        <v>0</v>
      </c>
      <c r="AP21" s="271">
        <f>SUM(AP22:AP23)</f>
        <v>0</v>
      </c>
      <c r="AQ21" s="53">
        <f t="shared" si="15"/>
        <v>0</v>
      </c>
      <c r="AR21" s="275">
        <f t="shared" si="16"/>
        <v>0</v>
      </c>
      <c r="AS21" s="276">
        <f t="shared" si="17"/>
        <v>0</v>
      </c>
      <c r="AT21" s="277">
        <f t="shared" si="18"/>
        <v>0</v>
      </c>
      <c r="AU21" s="278">
        <f>SUM(AU22:AU23)</f>
        <v>45339333</v>
      </c>
      <c r="AV21" s="279">
        <f>SUM(AV22:AV23)</f>
        <v>45339333</v>
      </c>
      <c r="AW21" s="280">
        <f t="shared" si="19"/>
        <v>0</v>
      </c>
      <c r="AX21" s="85">
        <f>SUM(AX22:AX23)</f>
        <v>1210000000</v>
      </c>
      <c r="AY21" s="281">
        <f>SUM(AY22:AY23)</f>
        <v>1210000000</v>
      </c>
      <c r="AZ21" s="282">
        <f t="shared" si="20"/>
        <v>0</v>
      </c>
      <c r="BA21" s="283">
        <f>SUM(BA22:BA23)</f>
        <v>1255339333</v>
      </c>
      <c r="BB21" s="284">
        <f>SUM(BB22:BB23)</f>
        <v>1255339333</v>
      </c>
      <c r="BC21" s="280">
        <f t="shared" si="21"/>
        <v>0</v>
      </c>
      <c r="BD21" s="285">
        <f aca="true" t="shared" si="45" ref="BD21:BI21">SUM(BD22:BD23)</f>
        <v>1255339333</v>
      </c>
      <c r="BE21" s="285">
        <f t="shared" si="45"/>
        <v>1255339333</v>
      </c>
      <c r="BF21" s="285">
        <f t="shared" si="45"/>
        <v>0</v>
      </c>
      <c r="BG21" s="286">
        <f t="shared" si="45"/>
        <v>105275000</v>
      </c>
      <c r="BH21" s="287">
        <f t="shared" si="45"/>
        <v>160247720</v>
      </c>
      <c r="BI21" s="287">
        <f t="shared" si="45"/>
        <v>160247720</v>
      </c>
      <c r="BJ21" s="288">
        <f t="shared" si="23"/>
        <v>0</v>
      </c>
      <c r="BK21" s="289">
        <f aca="true" t="shared" si="46" ref="BK21:BR21">SUM(BK22:BK23)</f>
        <v>0</v>
      </c>
      <c r="BL21" s="287">
        <f t="shared" si="46"/>
        <v>0</v>
      </c>
      <c r="BM21" s="287">
        <f t="shared" si="46"/>
        <v>0</v>
      </c>
      <c r="BN21" s="288">
        <f t="shared" si="46"/>
        <v>0</v>
      </c>
      <c r="BO21" s="286">
        <f t="shared" si="46"/>
        <v>0</v>
      </c>
      <c r="BP21" s="287">
        <f t="shared" si="46"/>
        <v>0</v>
      </c>
      <c r="BQ21" s="287">
        <f t="shared" si="46"/>
        <v>0</v>
      </c>
      <c r="BR21" s="288">
        <f t="shared" si="46"/>
        <v>0</v>
      </c>
      <c r="BS21" s="157"/>
      <c r="BT21" s="158">
        <f t="shared" si="25"/>
        <v>160247720</v>
      </c>
    </row>
    <row r="22" spans="1:72" s="5" customFormat="1" ht="13.5">
      <c r="A22" s="238" t="s">
        <v>99</v>
      </c>
      <c r="B22" s="86">
        <v>495000</v>
      </c>
      <c r="C22" s="68">
        <v>495000</v>
      </c>
      <c r="D22" s="66">
        <f t="shared" si="0"/>
        <v>0</v>
      </c>
      <c r="E22" s="160">
        <v>41277028</v>
      </c>
      <c r="F22" s="68">
        <v>37277028</v>
      </c>
      <c r="G22" s="66">
        <f t="shared" si="1"/>
        <v>-4000000</v>
      </c>
      <c r="H22" s="68">
        <v>0</v>
      </c>
      <c r="I22" s="68">
        <v>0</v>
      </c>
      <c r="J22" s="66">
        <f t="shared" si="2"/>
        <v>0</v>
      </c>
      <c r="K22" s="86"/>
      <c r="L22" s="160"/>
      <c r="M22" s="66">
        <f t="shared" si="3"/>
        <v>0</v>
      </c>
      <c r="N22" s="86">
        <v>0</v>
      </c>
      <c r="O22" s="160">
        <v>0</v>
      </c>
      <c r="P22" s="66">
        <f t="shared" si="4"/>
        <v>0</v>
      </c>
      <c r="Q22" s="86"/>
      <c r="R22" s="160">
        <v>0</v>
      </c>
      <c r="S22" s="66">
        <f t="shared" si="5"/>
        <v>0</v>
      </c>
      <c r="T22" s="86"/>
      <c r="U22" s="160">
        <v>0</v>
      </c>
      <c r="V22" s="66">
        <f t="shared" si="6"/>
        <v>0</v>
      </c>
      <c r="W22" s="86"/>
      <c r="X22" s="160">
        <v>0</v>
      </c>
      <c r="Y22" s="66">
        <f t="shared" si="7"/>
        <v>0</v>
      </c>
      <c r="Z22" s="86"/>
      <c r="AA22" s="160">
        <v>0</v>
      </c>
      <c r="AB22" s="66">
        <f t="shared" si="8"/>
        <v>0</v>
      </c>
      <c r="AC22" s="86"/>
      <c r="AD22" s="160">
        <v>0</v>
      </c>
      <c r="AE22" s="66">
        <f t="shared" si="9"/>
        <v>0</v>
      </c>
      <c r="AF22" s="161">
        <f t="shared" si="10"/>
        <v>0</v>
      </c>
      <c r="AG22" s="162">
        <f t="shared" si="11"/>
        <v>0</v>
      </c>
      <c r="AH22" s="163">
        <f t="shared" si="12"/>
        <v>0</v>
      </c>
      <c r="AI22" s="86"/>
      <c r="AJ22" s="160">
        <v>0</v>
      </c>
      <c r="AK22" s="66">
        <f t="shared" si="13"/>
        <v>0</v>
      </c>
      <c r="AL22" s="86"/>
      <c r="AM22" s="160">
        <v>0</v>
      </c>
      <c r="AN22" s="66">
        <f t="shared" si="14"/>
        <v>0</v>
      </c>
      <c r="AO22" s="86"/>
      <c r="AP22" s="160">
        <v>0</v>
      </c>
      <c r="AQ22" s="66">
        <f t="shared" si="15"/>
        <v>0</v>
      </c>
      <c r="AR22" s="164">
        <f t="shared" si="16"/>
        <v>0</v>
      </c>
      <c r="AS22" s="165">
        <f t="shared" si="17"/>
        <v>0</v>
      </c>
      <c r="AT22" s="166">
        <f t="shared" si="18"/>
        <v>0</v>
      </c>
      <c r="AU22" s="167">
        <f aca="true" t="shared" si="47" ref="AU22:AV28">B22+E22+H22+K22+N22+AR22+AF22</f>
        <v>41772028</v>
      </c>
      <c r="AV22" s="178">
        <f t="shared" si="47"/>
        <v>37772028</v>
      </c>
      <c r="AW22" s="168">
        <f t="shared" si="19"/>
        <v>-4000000</v>
      </c>
      <c r="AX22" s="86">
        <v>333788817</v>
      </c>
      <c r="AY22" s="68">
        <v>333788817</v>
      </c>
      <c r="AZ22" s="169">
        <f t="shared" si="20"/>
        <v>0</v>
      </c>
      <c r="BA22" s="170">
        <f aca="true" t="shared" si="48" ref="BA22:BB28">AX22+AU22</f>
        <v>375560845</v>
      </c>
      <c r="BB22" s="171">
        <f t="shared" si="48"/>
        <v>371560845</v>
      </c>
      <c r="BC22" s="168">
        <f t="shared" si="21"/>
        <v>-4000000</v>
      </c>
      <c r="BD22" s="172">
        <f aca="true" t="shared" si="49" ref="BD22:BF23">BA22</f>
        <v>375560845</v>
      </c>
      <c r="BE22" s="172">
        <f t="shared" si="49"/>
        <v>371560845</v>
      </c>
      <c r="BF22" s="172">
        <f t="shared" si="49"/>
        <v>-4000000</v>
      </c>
      <c r="BG22" s="173">
        <v>85000000</v>
      </c>
      <c r="BH22" s="174">
        <f>BG22+54972720</f>
        <v>139972720</v>
      </c>
      <c r="BI22" s="174">
        <f>BH22+0</f>
        <v>139972720</v>
      </c>
      <c r="BJ22" s="175">
        <f t="shared" si="23"/>
        <v>0</v>
      </c>
      <c r="BK22" s="176"/>
      <c r="BL22" s="174">
        <f aca="true" t="shared" si="50" ref="BL22:BM28">BK22</f>
        <v>0</v>
      </c>
      <c r="BM22" s="174">
        <f t="shared" si="50"/>
        <v>0</v>
      </c>
      <c r="BN22" s="175">
        <f aca="true" t="shared" si="51" ref="BN22:BN28">BL22-BK22</f>
        <v>0</v>
      </c>
      <c r="BO22" s="173"/>
      <c r="BP22" s="174">
        <f aca="true" t="shared" si="52" ref="BP22:BQ28">BO22</f>
        <v>0</v>
      </c>
      <c r="BQ22" s="174">
        <f t="shared" si="52"/>
        <v>0</v>
      </c>
      <c r="BR22" s="175">
        <f aca="true" t="shared" si="53" ref="BR22:BR28">BP22-BO22</f>
        <v>0</v>
      </c>
      <c r="BS22" s="177"/>
      <c r="BT22" s="158">
        <f t="shared" si="25"/>
        <v>139972720</v>
      </c>
    </row>
    <row r="23" spans="1:72" s="5" customFormat="1" ht="13.5">
      <c r="A23" s="290" t="s">
        <v>100</v>
      </c>
      <c r="B23" s="86">
        <v>2167305</v>
      </c>
      <c r="C23" s="68">
        <v>2167305</v>
      </c>
      <c r="D23" s="66">
        <f t="shared" si="0"/>
        <v>0</v>
      </c>
      <c r="E23" s="247"/>
      <c r="F23" s="68">
        <v>4000000</v>
      </c>
      <c r="G23" s="66">
        <f t="shared" si="1"/>
        <v>4000000</v>
      </c>
      <c r="H23" s="94">
        <v>1400000</v>
      </c>
      <c r="I23" s="68">
        <v>1400000</v>
      </c>
      <c r="J23" s="66">
        <f t="shared" si="2"/>
        <v>0</v>
      </c>
      <c r="K23" s="93"/>
      <c r="L23" s="160"/>
      <c r="M23" s="66">
        <f t="shared" si="3"/>
        <v>0</v>
      </c>
      <c r="N23" s="93">
        <v>0</v>
      </c>
      <c r="O23" s="160">
        <v>0</v>
      </c>
      <c r="P23" s="66">
        <f t="shared" si="4"/>
        <v>0</v>
      </c>
      <c r="Q23" s="93"/>
      <c r="R23" s="160"/>
      <c r="S23" s="66">
        <f t="shared" si="5"/>
        <v>0</v>
      </c>
      <c r="T23" s="93"/>
      <c r="U23" s="160"/>
      <c r="V23" s="66">
        <f t="shared" si="6"/>
        <v>0</v>
      </c>
      <c r="W23" s="93"/>
      <c r="X23" s="160"/>
      <c r="Y23" s="66">
        <f t="shared" si="7"/>
        <v>0</v>
      </c>
      <c r="Z23" s="93"/>
      <c r="AA23" s="160"/>
      <c r="AB23" s="66">
        <f t="shared" si="8"/>
        <v>0</v>
      </c>
      <c r="AC23" s="93"/>
      <c r="AD23" s="160"/>
      <c r="AE23" s="66">
        <f t="shared" si="9"/>
        <v>0</v>
      </c>
      <c r="AF23" s="248">
        <f t="shared" si="10"/>
        <v>0</v>
      </c>
      <c r="AG23" s="162">
        <f t="shared" si="11"/>
        <v>0</v>
      </c>
      <c r="AH23" s="163">
        <f t="shared" si="12"/>
        <v>0</v>
      </c>
      <c r="AI23" s="93"/>
      <c r="AJ23" s="160"/>
      <c r="AK23" s="66">
        <f t="shared" si="13"/>
        <v>0</v>
      </c>
      <c r="AL23" s="93"/>
      <c r="AM23" s="160"/>
      <c r="AN23" s="66">
        <f t="shared" si="14"/>
        <v>0</v>
      </c>
      <c r="AO23" s="93"/>
      <c r="AP23" s="160"/>
      <c r="AQ23" s="66">
        <f t="shared" si="15"/>
        <v>0</v>
      </c>
      <c r="AR23" s="251">
        <f t="shared" si="16"/>
        <v>0</v>
      </c>
      <c r="AS23" s="165">
        <f t="shared" si="17"/>
        <v>0</v>
      </c>
      <c r="AT23" s="166">
        <f t="shared" si="18"/>
        <v>0</v>
      </c>
      <c r="AU23" s="291">
        <f t="shared" si="47"/>
        <v>3567305</v>
      </c>
      <c r="AV23" s="178">
        <f t="shared" si="47"/>
        <v>7567305</v>
      </c>
      <c r="AW23" s="168">
        <f t="shared" si="19"/>
        <v>4000000</v>
      </c>
      <c r="AX23" s="93">
        <v>876211183</v>
      </c>
      <c r="AY23" s="68">
        <v>876211183</v>
      </c>
      <c r="AZ23" s="169">
        <f t="shared" si="20"/>
        <v>0</v>
      </c>
      <c r="BA23" s="205">
        <f t="shared" si="48"/>
        <v>879778488</v>
      </c>
      <c r="BB23" s="171">
        <f t="shared" si="48"/>
        <v>883778488</v>
      </c>
      <c r="BC23" s="168">
        <f t="shared" si="21"/>
        <v>4000000</v>
      </c>
      <c r="BD23" s="254">
        <f t="shared" si="49"/>
        <v>879778488</v>
      </c>
      <c r="BE23" s="254">
        <f t="shared" si="49"/>
        <v>883778488</v>
      </c>
      <c r="BF23" s="254">
        <f t="shared" si="49"/>
        <v>4000000</v>
      </c>
      <c r="BG23" s="255">
        <v>20275000</v>
      </c>
      <c r="BH23" s="174">
        <f aca="true" t="shared" si="54" ref="BH23:BI28">BG23</f>
        <v>20275000</v>
      </c>
      <c r="BI23" s="174">
        <f t="shared" si="54"/>
        <v>20275000</v>
      </c>
      <c r="BJ23" s="175">
        <f t="shared" si="23"/>
        <v>0</v>
      </c>
      <c r="BK23" s="258"/>
      <c r="BL23" s="174">
        <f t="shared" si="50"/>
        <v>0</v>
      </c>
      <c r="BM23" s="174">
        <f t="shared" si="50"/>
        <v>0</v>
      </c>
      <c r="BN23" s="175">
        <f t="shared" si="51"/>
        <v>0</v>
      </c>
      <c r="BO23" s="255"/>
      <c r="BP23" s="174">
        <f t="shared" si="52"/>
        <v>0</v>
      </c>
      <c r="BQ23" s="174">
        <f t="shared" si="52"/>
        <v>0</v>
      </c>
      <c r="BR23" s="175">
        <f t="shared" si="53"/>
        <v>0</v>
      </c>
      <c r="BS23" s="177"/>
      <c r="BT23" s="158">
        <f t="shared" si="25"/>
        <v>20275000</v>
      </c>
    </row>
    <row r="24" spans="1:72" s="5" customFormat="1" ht="14.25" thickBot="1">
      <c r="A24" s="179" t="s">
        <v>123</v>
      </c>
      <c r="B24" s="87">
        <f>B25+B26+B27</f>
        <v>45390952</v>
      </c>
      <c r="C24" s="51">
        <f>C25+C26+C27</f>
        <v>42529165</v>
      </c>
      <c r="D24" s="14">
        <f t="shared" si="0"/>
        <v>-2861787</v>
      </c>
      <c r="E24" s="180">
        <f>E25+E26+E27</f>
        <v>68051670</v>
      </c>
      <c r="F24" s="51">
        <f>F25+F26+F27</f>
        <v>46609796</v>
      </c>
      <c r="G24" s="14">
        <f t="shared" si="1"/>
        <v>-21441874</v>
      </c>
      <c r="H24" s="51">
        <f>H25+H26+H27</f>
        <v>52954784</v>
      </c>
      <c r="I24" s="51">
        <f>I25+I26+I27</f>
        <v>47954169</v>
      </c>
      <c r="J24" s="14">
        <f t="shared" si="2"/>
        <v>-5000615</v>
      </c>
      <c r="K24" s="87">
        <f>K25+K26+K27</f>
        <v>384068859</v>
      </c>
      <c r="L24" s="180">
        <f>L25+L26+L27</f>
        <v>360869143</v>
      </c>
      <c r="M24" s="14">
        <f t="shared" si="3"/>
        <v>-23199716</v>
      </c>
      <c r="N24" s="87">
        <f>N25+N26+N27</f>
        <v>178263177</v>
      </c>
      <c r="O24" s="180">
        <f>O25+O26+O27</f>
        <v>194236796</v>
      </c>
      <c r="P24" s="14">
        <f t="shared" si="4"/>
        <v>15973619</v>
      </c>
      <c r="Q24" s="87">
        <f>Q25+Q26+Q27</f>
        <v>92486622</v>
      </c>
      <c r="R24" s="180">
        <f>R25+R26+R27</f>
        <v>84151064</v>
      </c>
      <c r="S24" s="14">
        <f t="shared" si="5"/>
        <v>-8335558</v>
      </c>
      <c r="T24" s="87">
        <f>T25+T26+T27</f>
        <v>23934867</v>
      </c>
      <c r="U24" s="180">
        <f>U25+U26+U27</f>
        <v>23589984</v>
      </c>
      <c r="V24" s="14">
        <f t="shared" si="6"/>
        <v>-344883</v>
      </c>
      <c r="W24" s="87">
        <f>W25+W26+W27</f>
        <v>53928603</v>
      </c>
      <c r="X24" s="180">
        <f>X25+X26+X27</f>
        <v>51121756</v>
      </c>
      <c r="Y24" s="14">
        <f t="shared" si="7"/>
        <v>-2806847</v>
      </c>
      <c r="Z24" s="87">
        <f>Z25+Z26+Z27</f>
        <v>20610600</v>
      </c>
      <c r="AA24" s="180">
        <f>AA25+AA26+AA27</f>
        <v>20610600</v>
      </c>
      <c r="AB24" s="14">
        <f t="shared" si="8"/>
        <v>0</v>
      </c>
      <c r="AC24" s="87">
        <f>AC25+AC26+AC27</f>
        <v>17257369</v>
      </c>
      <c r="AD24" s="180">
        <f>AD25+AD26+AD27</f>
        <v>17257369</v>
      </c>
      <c r="AE24" s="14">
        <f t="shared" si="9"/>
        <v>0</v>
      </c>
      <c r="AF24" s="181">
        <f t="shared" si="10"/>
        <v>208218061</v>
      </c>
      <c r="AG24" s="182">
        <f t="shared" si="11"/>
        <v>196730773</v>
      </c>
      <c r="AH24" s="183">
        <f t="shared" si="12"/>
        <v>-11487288</v>
      </c>
      <c r="AI24" s="87">
        <f>AI25+AI26+AI27</f>
        <v>87797311</v>
      </c>
      <c r="AJ24" s="180">
        <f>AJ25+AJ26+AJ27</f>
        <v>82822879</v>
      </c>
      <c r="AK24" s="14">
        <f t="shared" si="13"/>
        <v>-4974432</v>
      </c>
      <c r="AL24" s="87">
        <f>AL25+AL26+AL27</f>
        <v>19714529</v>
      </c>
      <c r="AM24" s="180">
        <f>AM25+AM26+AM27</f>
        <v>18679784</v>
      </c>
      <c r="AN24" s="14">
        <f t="shared" si="14"/>
        <v>-1034745</v>
      </c>
      <c r="AO24" s="87">
        <f>AO25+AO26+AO27</f>
        <v>15364650</v>
      </c>
      <c r="AP24" s="180">
        <f>AP25+AP26+AP27</f>
        <v>15364650</v>
      </c>
      <c r="AQ24" s="14">
        <f t="shared" si="15"/>
        <v>0</v>
      </c>
      <c r="AR24" s="184">
        <f t="shared" si="16"/>
        <v>122876490</v>
      </c>
      <c r="AS24" s="185">
        <f t="shared" si="17"/>
        <v>116867313</v>
      </c>
      <c r="AT24" s="186">
        <f t="shared" si="18"/>
        <v>-6009177</v>
      </c>
      <c r="AU24" s="167">
        <f t="shared" si="47"/>
        <v>1059823993</v>
      </c>
      <c r="AV24" s="178">
        <f t="shared" si="47"/>
        <v>1005797155</v>
      </c>
      <c r="AW24" s="168">
        <f t="shared" si="19"/>
        <v>-54026838</v>
      </c>
      <c r="AX24" s="87">
        <f>AX25+AX26+AX27</f>
        <v>0</v>
      </c>
      <c r="AY24" s="187">
        <f>AY25+AY26+AY27</f>
        <v>0</v>
      </c>
      <c r="AZ24" s="169">
        <f t="shared" si="20"/>
        <v>0</v>
      </c>
      <c r="BA24" s="170">
        <f t="shared" si="48"/>
        <v>1059823993</v>
      </c>
      <c r="BB24" s="171">
        <f t="shared" si="48"/>
        <v>1005797155</v>
      </c>
      <c r="BC24" s="168">
        <f t="shared" si="21"/>
        <v>-54026838</v>
      </c>
      <c r="BD24" s="188">
        <f>AU24-BA24</f>
        <v>0</v>
      </c>
      <c r="BE24" s="188">
        <f aca="true" t="shared" si="55" ref="BE24:BF28">BB24-AV24</f>
        <v>0</v>
      </c>
      <c r="BF24" s="188">
        <f t="shared" si="55"/>
        <v>0</v>
      </c>
      <c r="BG24" s="303"/>
      <c r="BH24" s="304">
        <f t="shared" si="54"/>
        <v>0</v>
      </c>
      <c r="BI24" s="304">
        <f t="shared" si="54"/>
        <v>0</v>
      </c>
      <c r="BJ24" s="305">
        <f t="shared" si="23"/>
        <v>0</v>
      </c>
      <c r="BK24" s="306"/>
      <c r="BL24" s="304">
        <f t="shared" si="50"/>
        <v>0</v>
      </c>
      <c r="BM24" s="304">
        <f t="shared" si="50"/>
        <v>0</v>
      </c>
      <c r="BN24" s="305">
        <f t="shared" si="51"/>
        <v>0</v>
      </c>
      <c r="BO24" s="303"/>
      <c r="BP24" s="304">
        <f t="shared" si="52"/>
        <v>0</v>
      </c>
      <c r="BQ24" s="304">
        <f t="shared" si="52"/>
        <v>0</v>
      </c>
      <c r="BR24" s="305">
        <f t="shared" si="53"/>
        <v>0</v>
      </c>
      <c r="BS24" s="157"/>
      <c r="BT24" s="158">
        <f t="shared" si="25"/>
        <v>0</v>
      </c>
    </row>
    <row r="25" spans="1:72" s="5" customFormat="1" ht="14.25" thickBot="1">
      <c r="A25" s="458" t="s">
        <v>239</v>
      </c>
      <c r="B25" s="87">
        <v>7186995</v>
      </c>
      <c r="C25" s="51">
        <v>10279898</v>
      </c>
      <c r="D25" s="14">
        <f t="shared" si="0"/>
        <v>3092903</v>
      </c>
      <c r="E25" s="180">
        <v>7186995</v>
      </c>
      <c r="F25" s="51">
        <v>8547639</v>
      </c>
      <c r="G25" s="14">
        <f t="shared" si="1"/>
        <v>1360644</v>
      </c>
      <c r="H25" s="51">
        <v>32369000</v>
      </c>
      <c r="I25" s="51">
        <v>33588909</v>
      </c>
      <c r="J25" s="14">
        <f t="shared" si="2"/>
        <v>1219909</v>
      </c>
      <c r="K25" s="87">
        <v>191186000</v>
      </c>
      <c r="L25" s="180">
        <v>193796237</v>
      </c>
      <c r="M25" s="14">
        <f t="shared" si="3"/>
        <v>2610237</v>
      </c>
      <c r="N25" s="87">
        <v>118826345</v>
      </c>
      <c r="O25" s="180">
        <f>118826345+950000+15228200</f>
        <v>135004545</v>
      </c>
      <c r="P25" s="14">
        <f t="shared" si="4"/>
        <v>16178200</v>
      </c>
      <c r="Q25" s="87">
        <v>75903617</v>
      </c>
      <c r="R25" s="180">
        <v>75979758</v>
      </c>
      <c r="S25" s="14">
        <f t="shared" si="5"/>
        <v>76141</v>
      </c>
      <c r="T25" s="87">
        <v>17410700</v>
      </c>
      <c r="U25" s="180">
        <v>17410700</v>
      </c>
      <c r="V25" s="14">
        <f t="shared" si="6"/>
        <v>0</v>
      </c>
      <c r="W25" s="87">
        <v>41035824</v>
      </c>
      <c r="X25" s="180">
        <v>41035824</v>
      </c>
      <c r="Y25" s="14">
        <f t="shared" si="7"/>
        <v>0</v>
      </c>
      <c r="Z25" s="87">
        <v>19544600</v>
      </c>
      <c r="AA25" s="180">
        <v>19544600</v>
      </c>
      <c r="AB25" s="14">
        <f t="shared" si="8"/>
        <v>0</v>
      </c>
      <c r="AC25" s="87">
        <v>12297483</v>
      </c>
      <c r="AD25" s="180">
        <v>12297483</v>
      </c>
      <c r="AE25" s="14">
        <f t="shared" si="9"/>
        <v>0</v>
      </c>
      <c r="AF25" s="181">
        <f t="shared" si="10"/>
        <v>166192224</v>
      </c>
      <c r="AG25" s="182">
        <f t="shared" si="11"/>
        <v>166268365</v>
      </c>
      <c r="AH25" s="183">
        <f t="shared" si="12"/>
        <v>76141</v>
      </c>
      <c r="AI25" s="87">
        <v>84457383</v>
      </c>
      <c r="AJ25" s="180">
        <v>84510259</v>
      </c>
      <c r="AK25" s="14">
        <f t="shared" si="13"/>
        <v>52876</v>
      </c>
      <c r="AL25" s="87">
        <v>16363992</v>
      </c>
      <c r="AM25" s="180">
        <v>16363992</v>
      </c>
      <c r="AN25" s="14">
        <f t="shared" si="14"/>
        <v>0</v>
      </c>
      <c r="AO25" s="87">
        <v>11115133</v>
      </c>
      <c r="AP25" s="180">
        <v>11115133</v>
      </c>
      <c r="AQ25" s="14">
        <f t="shared" si="15"/>
        <v>0</v>
      </c>
      <c r="AR25" s="184">
        <f t="shared" si="16"/>
        <v>111936508</v>
      </c>
      <c r="AS25" s="185">
        <f t="shared" si="17"/>
        <v>111989384</v>
      </c>
      <c r="AT25" s="186">
        <f t="shared" si="18"/>
        <v>52876</v>
      </c>
      <c r="AU25" s="167">
        <f t="shared" si="47"/>
        <v>634884067</v>
      </c>
      <c r="AV25" s="178">
        <f t="shared" si="47"/>
        <v>659474977</v>
      </c>
      <c r="AW25" s="168">
        <f t="shared" si="19"/>
        <v>24590910</v>
      </c>
      <c r="AX25" s="87"/>
      <c r="AY25" s="187">
        <f>AX25</f>
        <v>0</v>
      </c>
      <c r="AZ25" s="169">
        <f t="shared" si="20"/>
        <v>0</v>
      </c>
      <c r="BA25" s="170">
        <f t="shared" si="48"/>
        <v>634884067</v>
      </c>
      <c r="BB25" s="171">
        <f t="shared" si="48"/>
        <v>659474977</v>
      </c>
      <c r="BC25" s="168">
        <f t="shared" si="21"/>
        <v>24590910</v>
      </c>
      <c r="BD25" s="188">
        <f>AU25-BA25</f>
        <v>0</v>
      </c>
      <c r="BE25" s="188">
        <f t="shared" si="55"/>
        <v>0</v>
      </c>
      <c r="BF25" s="188">
        <f t="shared" si="55"/>
        <v>0</v>
      </c>
      <c r="BG25" s="303"/>
      <c r="BH25" s="304">
        <f t="shared" si="54"/>
        <v>0</v>
      </c>
      <c r="BI25" s="304">
        <f t="shared" si="54"/>
        <v>0</v>
      </c>
      <c r="BJ25" s="305">
        <f t="shared" si="23"/>
        <v>0</v>
      </c>
      <c r="BK25" s="306"/>
      <c r="BL25" s="304">
        <f t="shared" si="50"/>
        <v>0</v>
      </c>
      <c r="BM25" s="304">
        <f t="shared" si="50"/>
        <v>0</v>
      </c>
      <c r="BN25" s="305">
        <f t="shared" si="51"/>
        <v>0</v>
      </c>
      <c r="BO25" s="303"/>
      <c r="BP25" s="304">
        <f t="shared" si="52"/>
        <v>0</v>
      </c>
      <c r="BQ25" s="304">
        <f t="shared" si="52"/>
        <v>0</v>
      </c>
      <c r="BR25" s="305">
        <f t="shared" si="53"/>
        <v>0</v>
      </c>
      <c r="BS25" s="157"/>
      <c r="BT25" s="158">
        <f t="shared" si="25"/>
        <v>0</v>
      </c>
    </row>
    <row r="26" spans="1:72" s="5" customFormat="1" ht="14.25" thickBot="1">
      <c r="A26" s="458" t="s">
        <v>240</v>
      </c>
      <c r="B26" s="87">
        <v>37346427</v>
      </c>
      <c r="C26" s="51">
        <v>31391737</v>
      </c>
      <c r="D26" s="14">
        <f t="shared" si="0"/>
        <v>-5954690</v>
      </c>
      <c r="E26" s="180">
        <v>59492775</v>
      </c>
      <c r="F26" s="51">
        <v>36690257</v>
      </c>
      <c r="G26" s="14">
        <f t="shared" si="1"/>
        <v>-22802518</v>
      </c>
      <c r="H26" s="51">
        <v>19445784</v>
      </c>
      <c r="I26" s="51">
        <v>13225260</v>
      </c>
      <c r="J26" s="14">
        <f t="shared" si="2"/>
        <v>-6220524</v>
      </c>
      <c r="K26" s="87">
        <v>187632859</v>
      </c>
      <c r="L26" s="180">
        <v>163072906</v>
      </c>
      <c r="M26" s="14">
        <f t="shared" si="3"/>
        <v>-24559953</v>
      </c>
      <c r="N26" s="87">
        <v>57435832</v>
      </c>
      <c r="O26" s="180">
        <v>57231251</v>
      </c>
      <c r="P26" s="14">
        <f t="shared" si="4"/>
        <v>-204581</v>
      </c>
      <c r="Q26" s="87">
        <v>15533005</v>
      </c>
      <c r="R26" s="180">
        <v>8171306</v>
      </c>
      <c r="S26" s="14">
        <f t="shared" si="5"/>
        <v>-7361699</v>
      </c>
      <c r="T26" s="87">
        <v>5538583</v>
      </c>
      <c r="U26" s="180">
        <v>5244500</v>
      </c>
      <c r="V26" s="14">
        <f t="shared" si="6"/>
        <v>-294083</v>
      </c>
      <c r="W26" s="87">
        <v>8762779</v>
      </c>
      <c r="X26" s="180">
        <v>5955932</v>
      </c>
      <c r="Y26" s="14">
        <f t="shared" si="7"/>
        <v>-2806847</v>
      </c>
      <c r="Z26" s="87">
        <v>0</v>
      </c>
      <c r="AA26" s="180">
        <v>0</v>
      </c>
      <c r="AB26" s="14">
        <f t="shared" si="8"/>
        <v>0</v>
      </c>
      <c r="AC26" s="87">
        <v>4655086</v>
      </c>
      <c r="AD26" s="180">
        <v>4655086</v>
      </c>
      <c r="AE26" s="14">
        <f t="shared" si="9"/>
        <v>0</v>
      </c>
      <c r="AF26" s="181">
        <f t="shared" si="10"/>
        <v>34489453</v>
      </c>
      <c r="AG26" s="182">
        <f t="shared" si="11"/>
        <v>24026824</v>
      </c>
      <c r="AH26" s="183">
        <f t="shared" si="12"/>
        <v>-10462629</v>
      </c>
      <c r="AI26" s="87">
        <v>1869928</v>
      </c>
      <c r="AJ26" s="180">
        <v>-2454346</v>
      </c>
      <c r="AK26" s="14">
        <f t="shared" si="13"/>
        <v>-4324274</v>
      </c>
      <c r="AL26" s="87">
        <v>2870537</v>
      </c>
      <c r="AM26" s="180">
        <v>1835792</v>
      </c>
      <c r="AN26" s="14">
        <f t="shared" si="14"/>
        <v>-1034745</v>
      </c>
      <c r="AO26" s="87">
        <v>4249517</v>
      </c>
      <c r="AP26" s="180">
        <v>4249517</v>
      </c>
      <c r="AQ26" s="14">
        <f t="shared" si="15"/>
        <v>0</v>
      </c>
      <c r="AR26" s="184">
        <f t="shared" si="16"/>
        <v>8989982</v>
      </c>
      <c r="AS26" s="185">
        <f t="shared" si="17"/>
        <v>3630963</v>
      </c>
      <c r="AT26" s="186">
        <f t="shared" si="18"/>
        <v>-5359019</v>
      </c>
      <c r="AU26" s="167">
        <f t="shared" si="47"/>
        <v>404833112</v>
      </c>
      <c r="AV26" s="178">
        <f t="shared" si="47"/>
        <v>329269198</v>
      </c>
      <c r="AW26" s="168">
        <f t="shared" si="19"/>
        <v>-75563914</v>
      </c>
      <c r="AX26" s="87"/>
      <c r="AY26" s="187">
        <f>AX26</f>
        <v>0</v>
      </c>
      <c r="AZ26" s="169">
        <f t="shared" si="20"/>
        <v>0</v>
      </c>
      <c r="BA26" s="170">
        <f t="shared" si="48"/>
        <v>404833112</v>
      </c>
      <c r="BB26" s="171">
        <f t="shared" si="48"/>
        <v>329269198</v>
      </c>
      <c r="BC26" s="168">
        <f t="shared" si="21"/>
        <v>-75563914</v>
      </c>
      <c r="BD26" s="188">
        <f>AU26-BA26</f>
        <v>0</v>
      </c>
      <c r="BE26" s="188">
        <f t="shared" si="55"/>
        <v>0</v>
      </c>
      <c r="BF26" s="188">
        <f t="shared" si="55"/>
        <v>0</v>
      </c>
      <c r="BG26" s="303"/>
      <c r="BH26" s="304">
        <f t="shared" si="54"/>
        <v>0</v>
      </c>
      <c r="BI26" s="304">
        <f t="shared" si="54"/>
        <v>0</v>
      </c>
      <c r="BJ26" s="305">
        <f t="shared" si="23"/>
        <v>0</v>
      </c>
      <c r="BK26" s="306"/>
      <c r="BL26" s="304">
        <f t="shared" si="50"/>
        <v>0</v>
      </c>
      <c r="BM26" s="304">
        <f t="shared" si="50"/>
        <v>0</v>
      </c>
      <c r="BN26" s="305">
        <f t="shared" si="51"/>
        <v>0</v>
      </c>
      <c r="BO26" s="303"/>
      <c r="BP26" s="304">
        <f t="shared" si="52"/>
        <v>0</v>
      </c>
      <c r="BQ26" s="304">
        <f t="shared" si="52"/>
        <v>0</v>
      </c>
      <c r="BR26" s="305">
        <f t="shared" si="53"/>
        <v>0</v>
      </c>
      <c r="BS26" s="157"/>
      <c r="BT26" s="158">
        <f t="shared" si="25"/>
        <v>0</v>
      </c>
    </row>
    <row r="27" spans="1:72" s="5" customFormat="1" ht="14.25" thickBot="1">
      <c r="A27" s="458" t="s">
        <v>241</v>
      </c>
      <c r="B27" s="87">
        <v>857530</v>
      </c>
      <c r="C27" s="51">
        <v>857530</v>
      </c>
      <c r="D27" s="14">
        <f t="shared" si="0"/>
        <v>0</v>
      </c>
      <c r="E27" s="180">
        <v>1371900</v>
      </c>
      <c r="F27" s="51">
        <v>1371900</v>
      </c>
      <c r="G27" s="14">
        <f t="shared" si="1"/>
        <v>0</v>
      </c>
      <c r="H27" s="51">
        <v>1140000</v>
      </c>
      <c r="I27" s="51">
        <v>1140000</v>
      </c>
      <c r="J27" s="14">
        <f t="shared" si="2"/>
        <v>0</v>
      </c>
      <c r="K27" s="87">
        <v>5250000</v>
      </c>
      <c r="L27" s="180">
        <v>4000000</v>
      </c>
      <c r="M27" s="14">
        <f t="shared" si="3"/>
        <v>-1250000</v>
      </c>
      <c r="N27" s="87">
        <v>2001000</v>
      </c>
      <c r="O27" s="180">
        <v>2001000</v>
      </c>
      <c r="P27" s="14">
        <f t="shared" si="4"/>
        <v>0</v>
      </c>
      <c r="Q27" s="87">
        <v>1050000</v>
      </c>
      <c r="R27" s="180">
        <v>0</v>
      </c>
      <c r="S27" s="14">
        <f t="shared" si="5"/>
        <v>-1050000</v>
      </c>
      <c r="T27" s="87">
        <v>985584</v>
      </c>
      <c r="U27" s="180">
        <v>934784</v>
      </c>
      <c r="V27" s="14">
        <f t="shared" si="6"/>
        <v>-50800</v>
      </c>
      <c r="W27" s="87">
        <v>4130000</v>
      </c>
      <c r="X27" s="180">
        <v>4130000</v>
      </c>
      <c r="Y27" s="14">
        <f t="shared" si="7"/>
        <v>0</v>
      </c>
      <c r="Z27" s="87">
        <v>1066000</v>
      </c>
      <c r="AA27" s="180">
        <v>1066000</v>
      </c>
      <c r="AB27" s="14">
        <f t="shared" si="8"/>
        <v>0</v>
      </c>
      <c r="AC27" s="87">
        <v>304800</v>
      </c>
      <c r="AD27" s="180">
        <v>304800</v>
      </c>
      <c r="AE27" s="14">
        <f t="shared" si="9"/>
        <v>0</v>
      </c>
      <c r="AF27" s="181">
        <f t="shared" si="10"/>
        <v>7536384</v>
      </c>
      <c r="AG27" s="182">
        <f t="shared" si="11"/>
        <v>6435584</v>
      </c>
      <c r="AH27" s="183">
        <f t="shared" si="12"/>
        <v>-1100800</v>
      </c>
      <c r="AI27" s="87">
        <v>1470000</v>
      </c>
      <c r="AJ27" s="180">
        <v>766966</v>
      </c>
      <c r="AK27" s="14">
        <f t="shared" si="13"/>
        <v>-703034</v>
      </c>
      <c r="AL27" s="87">
        <v>480000</v>
      </c>
      <c r="AM27" s="180">
        <v>480000</v>
      </c>
      <c r="AN27" s="14">
        <f t="shared" si="14"/>
        <v>0</v>
      </c>
      <c r="AO27" s="87">
        <v>0</v>
      </c>
      <c r="AP27" s="180">
        <v>0</v>
      </c>
      <c r="AQ27" s="14">
        <f t="shared" si="15"/>
        <v>0</v>
      </c>
      <c r="AR27" s="184">
        <f t="shared" si="16"/>
        <v>1950000</v>
      </c>
      <c r="AS27" s="185">
        <f t="shared" si="17"/>
        <v>1246966</v>
      </c>
      <c r="AT27" s="186">
        <f t="shared" si="18"/>
        <v>-703034</v>
      </c>
      <c r="AU27" s="167">
        <f t="shared" si="47"/>
        <v>20106814</v>
      </c>
      <c r="AV27" s="178">
        <f t="shared" si="47"/>
        <v>17052980</v>
      </c>
      <c r="AW27" s="168">
        <f t="shared" si="19"/>
        <v>-3053834</v>
      </c>
      <c r="AX27" s="87"/>
      <c r="AY27" s="187">
        <f>AX27</f>
        <v>0</v>
      </c>
      <c r="AZ27" s="169">
        <f t="shared" si="20"/>
        <v>0</v>
      </c>
      <c r="BA27" s="170">
        <f t="shared" si="48"/>
        <v>20106814</v>
      </c>
      <c r="BB27" s="171">
        <f t="shared" si="48"/>
        <v>17052980</v>
      </c>
      <c r="BC27" s="168">
        <f t="shared" si="21"/>
        <v>-3053834</v>
      </c>
      <c r="BD27" s="188">
        <f>AU27-BA27</f>
        <v>0</v>
      </c>
      <c r="BE27" s="188">
        <f t="shared" si="55"/>
        <v>0</v>
      </c>
      <c r="BF27" s="188">
        <f t="shared" si="55"/>
        <v>0</v>
      </c>
      <c r="BG27" s="303"/>
      <c r="BH27" s="304">
        <f t="shared" si="54"/>
        <v>0</v>
      </c>
      <c r="BI27" s="304">
        <f t="shared" si="54"/>
        <v>0</v>
      </c>
      <c r="BJ27" s="305">
        <f t="shared" si="23"/>
        <v>0</v>
      </c>
      <c r="BK27" s="306"/>
      <c r="BL27" s="304">
        <f t="shared" si="50"/>
        <v>0</v>
      </c>
      <c r="BM27" s="304">
        <f t="shared" si="50"/>
        <v>0</v>
      </c>
      <c r="BN27" s="305">
        <f t="shared" si="51"/>
        <v>0</v>
      </c>
      <c r="BO27" s="303"/>
      <c r="BP27" s="304">
        <f t="shared" si="52"/>
        <v>0</v>
      </c>
      <c r="BQ27" s="304">
        <f t="shared" si="52"/>
        <v>0</v>
      </c>
      <c r="BR27" s="305">
        <f t="shared" si="53"/>
        <v>0</v>
      </c>
      <c r="BS27" s="157"/>
      <c r="BT27" s="158">
        <f t="shared" si="25"/>
        <v>0</v>
      </c>
    </row>
    <row r="28" spans="1:72" s="5" customFormat="1" ht="14.25" thickBot="1">
      <c r="A28" s="462" t="s">
        <v>198</v>
      </c>
      <c r="B28" s="459">
        <v>0</v>
      </c>
      <c r="C28" s="460"/>
      <c r="D28" s="461">
        <f t="shared" si="0"/>
        <v>0</v>
      </c>
      <c r="E28" s="463"/>
      <c r="F28" s="460"/>
      <c r="G28" s="461">
        <f t="shared" si="1"/>
        <v>0</v>
      </c>
      <c r="H28" s="460"/>
      <c r="I28" s="460"/>
      <c r="J28" s="461">
        <f t="shared" si="2"/>
        <v>0</v>
      </c>
      <c r="K28" s="459"/>
      <c r="L28" s="463"/>
      <c r="M28" s="461">
        <f t="shared" si="3"/>
        <v>0</v>
      </c>
      <c r="N28" s="459"/>
      <c r="O28" s="463"/>
      <c r="P28" s="461">
        <f t="shared" si="4"/>
        <v>0</v>
      </c>
      <c r="Q28" s="459"/>
      <c r="R28" s="463"/>
      <c r="S28" s="461">
        <f t="shared" si="5"/>
        <v>0</v>
      </c>
      <c r="T28" s="459"/>
      <c r="U28" s="463"/>
      <c r="V28" s="461">
        <f t="shared" si="6"/>
        <v>0</v>
      </c>
      <c r="W28" s="459"/>
      <c r="X28" s="463"/>
      <c r="Y28" s="461">
        <f t="shared" si="7"/>
        <v>0</v>
      </c>
      <c r="Z28" s="459"/>
      <c r="AA28" s="463"/>
      <c r="AB28" s="461">
        <f t="shared" si="8"/>
        <v>0</v>
      </c>
      <c r="AC28" s="459"/>
      <c r="AD28" s="463"/>
      <c r="AE28" s="461">
        <f t="shared" si="9"/>
        <v>0</v>
      </c>
      <c r="AF28" s="464">
        <f t="shared" si="10"/>
        <v>0</v>
      </c>
      <c r="AG28" s="465">
        <f t="shared" si="11"/>
        <v>0</v>
      </c>
      <c r="AH28" s="466">
        <f t="shared" si="12"/>
        <v>0</v>
      </c>
      <c r="AI28" s="459"/>
      <c r="AJ28" s="463"/>
      <c r="AK28" s="461">
        <f t="shared" si="13"/>
        <v>0</v>
      </c>
      <c r="AL28" s="459"/>
      <c r="AM28" s="463"/>
      <c r="AN28" s="461">
        <f t="shared" si="14"/>
        <v>0</v>
      </c>
      <c r="AO28" s="459"/>
      <c r="AP28" s="463"/>
      <c r="AQ28" s="461">
        <f t="shared" si="15"/>
        <v>0</v>
      </c>
      <c r="AR28" s="467">
        <f t="shared" si="16"/>
        <v>0</v>
      </c>
      <c r="AS28" s="468">
        <f t="shared" si="17"/>
        <v>0</v>
      </c>
      <c r="AT28" s="469">
        <f t="shared" si="18"/>
        <v>0</v>
      </c>
      <c r="AU28" s="313">
        <f t="shared" si="47"/>
        <v>0</v>
      </c>
      <c r="AV28" s="374">
        <f t="shared" si="47"/>
        <v>0</v>
      </c>
      <c r="AW28" s="470">
        <f t="shared" si="19"/>
        <v>0</v>
      </c>
      <c r="AX28" s="459">
        <v>0</v>
      </c>
      <c r="AY28" s="471">
        <v>0</v>
      </c>
      <c r="AZ28" s="472">
        <f t="shared" si="20"/>
        <v>0</v>
      </c>
      <c r="BA28" s="314">
        <f t="shared" si="48"/>
        <v>0</v>
      </c>
      <c r="BB28" s="375">
        <f t="shared" si="48"/>
        <v>0</v>
      </c>
      <c r="BC28" s="470">
        <f t="shared" si="21"/>
        <v>0</v>
      </c>
      <c r="BD28" s="473">
        <f>BA28-AU28</f>
        <v>0</v>
      </c>
      <c r="BE28" s="473">
        <f t="shared" si="55"/>
        <v>0</v>
      </c>
      <c r="BF28" s="473">
        <f t="shared" si="55"/>
        <v>0</v>
      </c>
      <c r="BG28" s="303"/>
      <c r="BH28" s="304">
        <f t="shared" si="54"/>
        <v>0</v>
      </c>
      <c r="BI28" s="304">
        <f t="shared" si="54"/>
        <v>0</v>
      </c>
      <c r="BJ28" s="305">
        <f t="shared" si="23"/>
        <v>0</v>
      </c>
      <c r="BK28" s="306"/>
      <c r="BL28" s="304">
        <f t="shared" si="50"/>
        <v>0</v>
      </c>
      <c r="BM28" s="304">
        <f t="shared" si="50"/>
        <v>0</v>
      </c>
      <c r="BN28" s="305">
        <f t="shared" si="51"/>
        <v>0</v>
      </c>
      <c r="BO28" s="303"/>
      <c r="BP28" s="304">
        <f t="shared" si="52"/>
        <v>0</v>
      </c>
      <c r="BQ28" s="304">
        <f t="shared" si="52"/>
        <v>0</v>
      </c>
      <c r="BR28" s="305">
        <f t="shared" si="53"/>
        <v>0</v>
      </c>
      <c r="BS28" s="157"/>
      <c r="BT28" s="158">
        <f t="shared" si="25"/>
        <v>0</v>
      </c>
    </row>
    <row r="29" spans="1:72" s="7" customFormat="1" ht="15.75" customHeight="1" thickBot="1">
      <c r="A29" s="212" t="s">
        <v>101</v>
      </c>
      <c r="B29" s="213">
        <f>SUM(B21+B24+B28)</f>
        <v>48053257</v>
      </c>
      <c r="C29" s="213">
        <f>SUM(C21+C24+C28)</f>
        <v>45191470</v>
      </c>
      <c r="D29" s="214">
        <f t="shared" si="0"/>
        <v>-2861787</v>
      </c>
      <c r="E29" s="215">
        <f>SUM(E21+E24+E28)</f>
        <v>109328698</v>
      </c>
      <c r="F29" s="216">
        <f>SUM(F21+F24+F28)</f>
        <v>87886824</v>
      </c>
      <c r="G29" s="214">
        <f t="shared" si="1"/>
        <v>-21441874</v>
      </c>
      <c r="H29" s="216">
        <f>SUM(H21+H24+H28)</f>
        <v>54354784</v>
      </c>
      <c r="I29" s="216">
        <f>SUM(I21+I24+I28)</f>
        <v>49354169</v>
      </c>
      <c r="J29" s="214">
        <f t="shared" si="2"/>
        <v>-5000615</v>
      </c>
      <c r="K29" s="213">
        <f>SUM(K21+K24+K28)</f>
        <v>384068859</v>
      </c>
      <c r="L29" s="215">
        <f>SUM(L21+L24+L28)</f>
        <v>360869143</v>
      </c>
      <c r="M29" s="214">
        <f t="shared" si="3"/>
        <v>-23199716</v>
      </c>
      <c r="N29" s="213">
        <f>SUM(N21+N24+N28)</f>
        <v>178263177</v>
      </c>
      <c r="O29" s="215">
        <f>SUM(O21+O24+O28)</f>
        <v>194236796</v>
      </c>
      <c r="P29" s="214">
        <f t="shared" si="4"/>
        <v>15973619</v>
      </c>
      <c r="Q29" s="213">
        <f>SUM(Q21+Q24+Q28)</f>
        <v>92486622</v>
      </c>
      <c r="R29" s="215">
        <f>SUM(R21+R24+R28)</f>
        <v>84151064</v>
      </c>
      <c r="S29" s="214">
        <f t="shared" si="5"/>
        <v>-8335558</v>
      </c>
      <c r="T29" s="213">
        <f>SUM(T21+T24+T28)</f>
        <v>23934867</v>
      </c>
      <c r="U29" s="215">
        <f>SUM(U21+U24+U28)</f>
        <v>23589984</v>
      </c>
      <c r="V29" s="214">
        <f t="shared" si="6"/>
        <v>-344883</v>
      </c>
      <c r="W29" s="213">
        <f>SUM(W21+W24+W28)</f>
        <v>53928603</v>
      </c>
      <c r="X29" s="215">
        <f>SUM(X21+X24+X28)</f>
        <v>51121756</v>
      </c>
      <c r="Y29" s="214">
        <f t="shared" si="7"/>
        <v>-2806847</v>
      </c>
      <c r="Z29" s="213">
        <f>SUM(Z21+Z24+Z28)</f>
        <v>20610600</v>
      </c>
      <c r="AA29" s="215">
        <f>SUM(AA21+AA24+AA28)</f>
        <v>20610600</v>
      </c>
      <c r="AB29" s="214">
        <f t="shared" si="8"/>
        <v>0</v>
      </c>
      <c r="AC29" s="213">
        <f>SUM(AC21+AC24+AC28)</f>
        <v>17257369</v>
      </c>
      <c r="AD29" s="215">
        <f>SUM(AD21+AD24+AD28)</f>
        <v>17257369</v>
      </c>
      <c r="AE29" s="214">
        <f t="shared" si="9"/>
        <v>0</v>
      </c>
      <c r="AF29" s="217">
        <f t="shared" si="10"/>
        <v>208218061</v>
      </c>
      <c r="AG29" s="218">
        <f t="shared" si="11"/>
        <v>196730773</v>
      </c>
      <c r="AH29" s="219">
        <f t="shared" si="12"/>
        <v>-11487288</v>
      </c>
      <c r="AI29" s="213">
        <f>SUM(AI21+AI24+AI28)</f>
        <v>87797311</v>
      </c>
      <c r="AJ29" s="215">
        <f>SUM(AJ21+AJ24+AJ28)</f>
        <v>82822879</v>
      </c>
      <c r="AK29" s="214">
        <f t="shared" si="13"/>
        <v>-4974432</v>
      </c>
      <c r="AL29" s="213">
        <f>SUM(AL21+AL24+AL28)</f>
        <v>19714529</v>
      </c>
      <c r="AM29" s="215">
        <f>SUM(AM21+AM24+AM28)</f>
        <v>18679784</v>
      </c>
      <c r="AN29" s="214">
        <f t="shared" si="14"/>
        <v>-1034745</v>
      </c>
      <c r="AO29" s="213">
        <f>SUM(AO21+AO24+AO28)</f>
        <v>15364650</v>
      </c>
      <c r="AP29" s="215">
        <f>SUM(AP21+AP24+AP28)</f>
        <v>15364650</v>
      </c>
      <c r="AQ29" s="214">
        <f t="shared" si="15"/>
        <v>0</v>
      </c>
      <c r="AR29" s="220">
        <f t="shared" si="16"/>
        <v>122876490</v>
      </c>
      <c r="AS29" s="221">
        <f t="shared" si="17"/>
        <v>116867313</v>
      </c>
      <c r="AT29" s="222">
        <f t="shared" si="18"/>
        <v>-6009177</v>
      </c>
      <c r="AU29" s="223">
        <f>SUM(AU21+AU24+AU28)</f>
        <v>1105163326</v>
      </c>
      <c r="AV29" s="224">
        <f>SUM(AV21+AV24+AV28)</f>
        <v>1051136488</v>
      </c>
      <c r="AW29" s="225">
        <f t="shared" si="19"/>
        <v>-54026838</v>
      </c>
      <c r="AX29" s="213">
        <f>SUM(AX21+AX24+AX28)</f>
        <v>1210000000</v>
      </c>
      <c r="AY29" s="226">
        <f>SUM(AY21+AY24+AY28)</f>
        <v>1210000000</v>
      </c>
      <c r="AZ29" s="227">
        <f t="shared" si="20"/>
        <v>0</v>
      </c>
      <c r="BA29" s="228">
        <f>SUM(BA21+BA24+BA28)</f>
        <v>2315163326</v>
      </c>
      <c r="BB29" s="226">
        <f>SUM(BB21+BB24+BB28)</f>
        <v>2261136488</v>
      </c>
      <c r="BC29" s="227">
        <f t="shared" si="21"/>
        <v>-54026838</v>
      </c>
      <c r="BD29" s="229">
        <f>SUM(BD21+BD24+BD28)</f>
        <v>1255339333</v>
      </c>
      <c r="BE29" s="229">
        <f>SUM(BE21+BE24+BE28)</f>
        <v>1255339333</v>
      </c>
      <c r="BF29" s="229">
        <f>SUM(BF21+BF24+BF28)</f>
        <v>0</v>
      </c>
      <c r="BG29" s="230">
        <f>SUM(BG21+BG28)</f>
        <v>105275000</v>
      </c>
      <c r="BH29" s="231">
        <f>SUM(BH21+BH28)</f>
        <v>160247720</v>
      </c>
      <c r="BI29" s="231">
        <f>SUM(BI21+BI28)</f>
        <v>160247720</v>
      </c>
      <c r="BJ29" s="232">
        <f t="shared" si="23"/>
        <v>0</v>
      </c>
      <c r="BK29" s="233">
        <f aca="true" t="shared" si="56" ref="BK29:BR29">SUM(BK21+BK28)</f>
        <v>0</v>
      </c>
      <c r="BL29" s="231">
        <f t="shared" si="56"/>
        <v>0</v>
      </c>
      <c r="BM29" s="231">
        <f t="shared" si="56"/>
        <v>0</v>
      </c>
      <c r="BN29" s="232">
        <f t="shared" si="56"/>
        <v>0</v>
      </c>
      <c r="BO29" s="230">
        <f t="shared" si="56"/>
        <v>0</v>
      </c>
      <c r="BP29" s="231">
        <f t="shared" si="56"/>
        <v>0</v>
      </c>
      <c r="BQ29" s="231">
        <f t="shared" si="56"/>
        <v>0</v>
      </c>
      <c r="BR29" s="232">
        <f t="shared" si="56"/>
        <v>0</v>
      </c>
      <c r="BS29" s="234"/>
      <c r="BT29" s="158">
        <f t="shared" si="25"/>
        <v>160247720</v>
      </c>
    </row>
    <row r="30" spans="1:72" s="7" customFormat="1" ht="15.75" customHeight="1" thickBot="1">
      <c r="A30" s="307" t="s">
        <v>25</v>
      </c>
      <c r="B30" s="213">
        <f>B29+B20</f>
        <v>49503257</v>
      </c>
      <c r="C30" s="213">
        <f>C29+C20</f>
        <v>46641470</v>
      </c>
      <c r="D30" s="214">
        <f t="shared" si="0"/>
        <v>-2861787</v>
      </c>
      <c r="E30" s="308">
        <f>E29+E20</f>
        <v>215557926</v>
      </c>
      <c r="F30" s="216">
        <f>F29+F20</f>
        <v>191923252</v>
      </c>
      <c r="G30" s="214">
        <f t="shared" si="1"/>
        <v>-23634674</v>
      </c>
      <c r="H30" s="309">
        <f>H29+H20</f>
        <v>57454784</v>
      </c>
      <c r="I30" s="216">
        <f>I29+I20</f>
        <v>52330199</v>
      </c>
      <c r="J30" s="214">
        <f t="shared" si="2"/>
        <v>-5124585</v>
      </c>
      <c r="K30" s="310">
        <f>K29+K20</f>
        <v>386268859</v>
      </c>
      <c r="L30" s="215">
        <f>L29+L20</f>
        <v>362863576</v>
      </c>
      <c r="M30" s="214">
        <f t="shared" si="3"/>
        <v>-23405283</v>
      </c>
      <c r="N30" s="310">
        <f>N29+N20</f>
        <v>279723177</v>
      </c>
      <c r="O30" s="215">
        <f>O29+O20</f>
        <v>295141796</v>
      </c>
      <c r="P30" s="214">
        <f t="shared" si="4"/>
        <v>15418619</v>
      </c>
      <c r="Q30" s="310">
        <f>Q29+Q20</f>
        <v>92886622</v>
      </c>
      <c r="R30" s="215">
        <f>R29+R20</f>
        <v>84251064</v>
      </c>
      <c r="S30" s="214">
        <f t="shared" si="5"/>
        <v>-8635558</v>
      </c>
      <c r="T30" s="310">
        <f>T29+T20</f>
        <v>23934867</v>
      </c>
      <c r="U30" s="215">
        <f>U29+U20</f>
        <v>23589984</v>
      </c>
      <c r="V30" s="214">
        <f t="shared" si="6"/>
        <v>-344883</v>
      </c>
      <c r="W30" s="310">
        <f>W29+W20</f>
        <v>54365503</v>
      </c>
      <c r="X30" s="215">
        <f>X29+X20</f>
        <v>51258656</v>
      </c>
      <c r="Y30" s="214">
        <f t="shared" si="7"/>
        <v>-3106847</v>
      </c>
      <c r="Z30" s="310">
        <f>Z29+Z20</f>
        <v>20730600</v>
      </c>
      <c r="AA30" s="215">
        <f>AA29+AA20</f>
        <v>20730600</v>
      </c>
      <c r="AB30" s="214">
        <f t="shared" si="8"/>
        <v>0</v>
      </c>
      <c r="AC30" s="310">
        <f>AC29+AC20</f>
        <v>17327369</v>
      </c>
      <c r="AD30" s="215">
        <f>AD29+AD20</f>
        <v>17327369</v>
      </c>
      <c r="AE30" s="214">
        <f t="shared" si="9"/>
        <v>0</v>
      </c>
      <c r="AF30" s="311">
        <f t="shared" si="10"/>
        <v>209244961</v>
      </c>
      <c r="AG30" s="218">
        <f t="shared" si="11"/>
        <v>197157673</v>
      </c>
      <c r="AH30" s="219">
        <f t="shared" si="12"/>
        <v>-12087288</v>
      </c>
      <c r="AI30" s="310">
        <f>AI29+AI20</f>
        <v>88497311</v>
      </c>
      <c r="AJ30" s="215">
        <f>AJ29+AJ20</f>
        <v>83461096</v>
      </c>
      <c r="AK30" s="214">
        <f t="shared" si="13"/>
        <v>-5036215</v>
      </c>
      <c r="AL30" s="310">
        <f>AL29+AL20</f>
        <v>19814529</v>
      </c>
      <c r="AM30" s="215">
        <f>AM29+AM20</f>
        <v>18894356</v>
      </c>
      <c r="AN30" s="214">
        <f t="shared" si="14"/>
        <v>-920173</v>
      </c>
      <c r="AO30" s="310">
        <f>AO29+AO20</f>
        <v>15424650</v>
      </c>
      <c r="AP30" s="215">
        <f>AP29+AP20</f>
        <v>15424650</v>
      </c>
      <c r="AQ30" s="214">
        <f t="shared" si="15"/>
        <v>0</v>
      </c>
      <c r="AR30" s="312">
        <f t="shared" si="16"/>
        <v>123736490</v>
      </c>
      <c r="AS30" s="221">
        <f t="shared" si="17"/>
        <v>117780102</v>
      </c>
      <c r="AT30" s="222">
        <f t="shared" si="18"/>
        <v>-5956388</v>
      </c>
      <c r="AU30" s="313">
        <f>AU29+AU20</f>
        <v>1321489454</v>
      </c>
      <c r="AV30" s="224">
        <f>AV29+AV20</f>
        <v>1263838068</v>
      </c>
      <c r="AW30" s="225">
        <f t="shared" si="19"/>
        <v>-57651386</v>
      </c>
      <c r="AX30" s="310">
        <f>AX29+AX20</f>
        <v>3773695556</v>
      </c>
      <c r="AY30" s="226">
        <f>AY29+AY20</f>
        <v>3682852194</v>
      </c>
      <c r="AZ30" s="227">
        <f t="shared" si="20"/>
        <v>-90843362</v>
      </c>
      <c r="BA30" s="314">
        <f>BA29+BA20</f>
        <v>5095185010</v>
      </c>
      <c r="BB30" s="226">
        <f>BB29+BB20</f>
        <v>4946690262</v>
      </c>
      <c r="BC30" s="227">
        <f t="shared" si="21"/>
        <v>-148494748</v>
      </c>
      <c r="BD30" s="315">
        <f>BD29+BD20</f>
        <v>4035361017</v>
      </c>
      <c r="BE30" s="315">
        <f>BE29+BE20</f>
        <v>3940893107</v>
      </c>
      <c r="BF30" s="315">
        <f>BE30-BD30</f>
        <v>-94467910</v>
      </c>
      <c r="BG30" s="316">
        <f>BG29+BG20</f>
        <v>1738019583</v>
      </c>
      <c r="BH30" s="231">
        <f>BH29+BH20</f>
        <v>1854528414</v>
      </c>
      <c r="BI30" s="231">
        <f>BI29+BI20</f>
        <v>1855199525</v>
      </c>
      <c r="BJ30" s="232">
        <f t="shared" si="23"/>
        <v>671111</v>
      </c>
      <c r="BK30" s="317">
        <f aca="true" t="shared" si="57" ref="BK30:BR30">BK29+BK20</f>
        <v>137688</v>
      </c>
      <c r="BL30" s="231">
        <f t="shared" si="57"/>
        <v>138788</v>
      </c>
      <c r="BM30" s="231">
        <f t="shared" si="57"/>
        <v>139888</v>
      </c>
      <c r="BN30" s="232">
        <f t="shared" si="57"/>
        <v>1100</v>
      </c>
      <c r="BO30" s="316">
        <f t="shared" si="57"/>
        <v>0</v>
      </c>
      <c r="BP30" s="231">
        <f t="shared" si="57"/>
        <v>0</v>
      </c>
      <c r="BQ30" s="231">
        <f t="shared" si="57"/>
        <v>0</v>
      </c>
      <c r="BR30" s="232">
        <f t="shared" si="57"/>
        <v>0</v>
      </c>
      <c r="BS30" s="234"/>
      <c r="BT30" s="158">
        <f t="shared" si="25"/>
        <v>1854667202</v>
      </c>
    </row>
    <row r="31" spans="5:72" s="5" customFormat="1" ht="7.5" customHeight="1" thickBot="1">
      <c r="E31" s="318"/>
      <c r="F31" s="319"/>
      <c r="G31" s="320"/>
      <c r="AU31" s="80"/>
      <c r="BA31" s="78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158">
        <f>SUM(BG31:BO31)</f>
        <v>0</v>
      </c>
    </row>
    <row r="32" spans="1:72" s="5" customFormat="1" ht="25.5" customHeight="1">
      <c r="A32" s="540" t="s">
        <v>152</v>
      </c>
      <c r="B32" s="542" t="s">
        <v>53</v>
      </c>
      <c r="C32" s="543"/>
      <c r="D32" s="544"/>
      <c r="E32" s="515" t="s">
        <v>118</v>
      </c>
      <c r="F32" s="516"/>
      <c r="G32" s="517"/>
      <c r="H32" s="545" t="s">
        <v>63</v>
      </c>
      <c r="I32" s="546"/>
      <c r="J32" s="547"/>
      <c r="K32" s="515" t="s">
        <v>39</v>
      </c>
      <c r="L32" s="516"/>
      <c r="M32" s="517"/>
      <c r="N32" s="521" t="s">
        <v>137</v>
      </c>
      <c r="O32" s="522"/>
      <c r="P32" s="523"/>
      <c r="Q32" s="528" t="s">
        <v>156</v>
      </c>
      <c r="R32" s="529"/>
      <c r="S32" s="530"/>
      <c r="T32" s="528" t="s">
        <v>181</v>
      </c>
      <c r="U32" s="529"/>
      <c r="V32" s="530"/>
      <c r="W32" s="528" t="s">
        <v>182</v>
      </c>
      <c r="X32" s="529"/>
      <c r="Y32" s="530"/>
      <c r="Z32" s="528" t="s">
        <v>153</v>
      </c>
      <c r="AA32" s="529"/>
      <c r="AB32" s="530"/>
      <c r="AC32" s="528" t="s">
        <v>183</v>
      </c>
      <c r="AD32" s="529"/>
      <c r="AE32" s="530"/>
      <c r="AF32" s="528" t="s">
        <v>154</v>
      </c>
      <c r="AG32" s="529"/>
      <c r="AH32" s="530"/>
      <c r="AI32" s="531" t="s">
        <v>184</v>
      </c>
      <c r="AJ32" s="532"/>
      <c r="AK32" s="533"/>
      <c r="AL32" s="531" t="s">
        <v>185</v>
      </c>
      <c r="AM32" s="532"/>
      <c r="AN32" s="533"/>
      <c r="AO32" s="531" t="s">
        <v>186</v>
      </c>
      <c r="AP32" s="532"/>
      <c r="AQ32" s="533"/>
      <c r="AR32" s="531" t="s">
        <v>155</v>
      </c>
      <c r="AS32" s="532"/>
      <c r="AT32" s="533"/>
      <c r="AU32" s="534" t="s">
        <v>16</v>
      </c>
      <c r="AV32" s="535"/>
      <c r="AW32" s="536"/>
      <c r="AX32" s="515" t="s">
        <v>34</v>
      </c>
      <c r="AY32" s="516"/>
      <c r="AZ32" s="517"/>
      <c r="BA32" s="518" t="s">
        <v>124</v>
      </c>
      <c r="BB32" s="519"/>
      <c r="BC32" s="520"/>
      <c r="BD32" s="521" t="s">
        <v>132</v>
      </c>
      <c r="BE32" s="522"/>
      <c r="BF32" s="523"/>
      <c r="BG32" s="524" t="s">
        <v>133</v>
      </c>
      <c r="BH32" s="525"/>
      <c r="BI32" s="526"/>
      <c r="BJ32" s="527"/>
      <c r="BK32" s="524" t="s">
        <v>135</v>
      </c>
      <c r="BL32" s="525"/>
      <c r="BM32" s="526"/>
      <c r="BN32" s="527"/>
      <c r="BO32" s="524" t="s">
        <v>136</v>
      </c>
      <c r="BP32" s="525"/>
      <c r="BQ32" s="526"/>
      <c r="BR32" s="527"/>
      <c r="BS32" s="115"/>
      <c r="BT32" s="158">
        <f>SUM(BG32:BO32)</f>
        <v>0</v>
      </c>
    </row>
    <row r="33" spans="1:72" s="5" customFormat="1" ht="26.25" thickBot="1">
      <c r="A33" s="541"/>
      <c r="B33" s="117" t="s">
        <v>187</v>
      </c>
      <c r="C33" s="118" t="s">
        <v>255</v>
      </c>
      <c r="D33" s="119" t="s">
        <v>189</v>
      </c>
      <c r="E33" s="117" t="s">
        <v>187</v>
      </c>
      <c r="F33" s="118" t="s">
        <v>255</v>
      </c>
      <c r="G33" s="119" t="s">
        <v>189</v>
      </c>
      <c r="H33" s="322" t="s">
        <v>187</v>
      </c>
      <c r="I33" s="118" t="s">
        <v>255</v>
      </c>
      <c r="J33" s="119" t="s">
        <v>189</v>
      </c>
      <c r="K33" s="133" t="s">
        <v>187</v>
      </c>
      <c r="L33" s="118" t="s">
        <v>255</v>
      </c>
      <c r="M33" s="119" t="s">
        <v>189</v>
      </c>
      <c r="N33" s="133" t="s">
        <v>187</v>
      </c>
      <c r="O33" s="118" t="s">
        <v>255</v>
      </c>
      <c r="P33" s="119" t="s">
        <v>189</v>
      </c>
      <c r="Q33" s="133" t="s">
        <v>187</v>
      </c>
      <c r="R33" s="118" t="s">
        <v>255</v>
      </c>
      <c r="S33" s="119" t="s">
        <v>189</v>
      </c>
      <c r="T33" s="133" t="s">
        <v>187</v>
      </c>
      <c r="U33" s="118" t="s">
        <v>255</v>
      </c>
      <c r="V33" s="119" t="s">
        <v>189</v>
      </c>
      <c r="W33" s="133" t="s">
        <v>187</v>
      </c>
      <c r="X33" s="118" t="s">
        <v>255</v>
      </c>
      <c r="Y33" s="119" t="s">
        <v>189</v>
      </c>
      <c r="Z33" s="133" t="s">
        <v>187</v>
      </c>
      <c r="AA33" s="118" t="s">
        <v>255</v>
      </c>
      <c r="AB33" s="119" t="s">
        <v>189</v>
      </c>
      <c r="AC33" s="133" t="s">
        <v>187</v>
      </c>
      <c r="AD33" s="118" t="s">
        <v>255</v>
      </c>
      <c r="AE33" s="119" t="s">
        <v>189</v>
      </c>
      <c r="AF33" s="124" t="s">
        <v>187</v>
      </c>
      <c r="AG33" s="125" t="s">
        <v>255</v>
      </c>
      <c r="AH33" s="126" t="s">
        <v>189</v>
      </c>
      <c r="AI33" s="133" t="s">
        <v>187</v>
      </c>
      <c r="AJ33" s="118" t="s">
        <v>255</v>
      </c>
      <c r="AK33" s="119" t="s">
        <v>189</v>
      </c>
      <c r="AL33" s="133" t="s">
        <v>187</v>
      </c>
      <c r="AM33" s="118" t="s">
        <v>255</v>
      </c>
      <c r="AN33" s="119" t="s">
        <v>189</v>
      </c>
      <c r="AO33" s="133" t="s">
        <v>187</v>
      </c>
      <c r="AP33" s="118" t="s">
        <v>255</v>
      </c>
      <c r="AQ33" s="119" t="s">
        <v>189</v>
      </c>
      <c r="AR33" s="127" t="s">
        <v>187</v>
      </c>
      <c r="AS33" s="128" t="s">
        <v>255</v>
      </c>
      <c r="AT33" s="129" t="s">
        <v>189</v>
      </c>
      <c r="AU33" s="130" t="s">
        <v>187</v>
      </c>
      <c r="AV33" s="131" t="s">
        <v>255</v>
      </c>
      <c r="AW33" s="132" t="s">
        <v>189</v>
      </c>
      <c r="AX33" s="133" t="s">
        <v>187</v>
      </c>
      <c r="AY33" s="118" t="s">
        <v>255</v>
      </c>
      <c r="AZ33" s="119" t="s">
        <v>189</v>
      </c>
      <c r="BA33" s="134" t="s">
        <v>187</v>
      </c>
      <c r="BB33" s="131" t="s">
        <v>255</v>
      </c>
      <c r="BC33" s="132" t="s">
        <v>189</v>
      </c>
      <c r="BD33" s="117" t="s">
        <v>187</v>
      </c>
      <c r="BE33" s="118" t="s">
        <v>255</v>
      </c>
      <c r="BF33" s="119" t="s">
        <v>189</v>
      </c>
      <c r="BG33" s="135" t="s">
        <v>187</v>
      </c>
      <c r="BH33" s="122" t="s">
        <v>190</v>
      </c>
      <c r="BI33" s="122" t="s">
        <v>188</v>
      </c>
      <c r="BJ33" s="123" t="s">
        <v>189</v>
      </c>
      <c r="BK33" s="136" t="s">
        <v>187</v>
      </c>
      <c r="BL33" s="122" t="s">
        <v>190</v>
      </c>
      <c r="BM33" s="122" t="s">
        <v>188</v>
      </c>
      <c r="BN33" s="123" t="s">
        <v>189</v>
      </c>
      <c r="BO33" s="136" t="s">
        <v>187</v>
      </c>
      <c r="BP33" s="122" t="s">
        <v>190</v>
      </c>
      <c r="BQ33" s="122" t="s">
        <v>188</v>
      </c>
      <c r="BR33" s="123" t="s">
        <v>189</v>
      </c>
      <c r="BS33" s="137"/>
      <c r="BT33" s="158"/>
    </row>
    <row r="34" spans="1:72" s="5" customFormat="1" ht="13.5">
      <c r="A34" s="64" t="s">
        <v>26</v>
      </c>
      <c r="B34" s="89">
        <v>26832449</v>
      </c>
      <c r="C34" s="90">
        <v>24408806</v>
      </c>
      <c r="D34" s="152">
        <f aca="true" t="shared" si="58" ref="D34:D53">C34-B34</f>
        <v>-2423643</v>
      </c>
      <c r="E34" s="90">
        <v>60499780</v>
      </c>
      <c r="F34" s="90">
        <v>62469099</v>
      </c>
      <c r="G34" s="13">
        <f aca="true" t="shared" si="59" ref="G34:G53">F34-E34</f>
        <v>1969319</v>
      </c>
      <c r="H34" s="90">
        <v>36619513</v>
      </c>
      <c r="I34" s="90">
        <v>33228375</v>
      </c>
      <c r="J34" s="13">
        <f aca="true" t="shared" si="60" ref="J34:J53">I34-H34</f>
        <v>-3391138</v>
      </c>
      <c r="K34" s="89">
        <v>253482614</v>
      </c>
      <c r="L34" s="235">
        <v>236739628</v>
      </c>
      <c r="M34" s="13">
        <f aca="true" t="shared" si="61" ref="M34:M53">L34-K34</f>
        <v>-16742986</v>
      </c>
      <c r="N34" s="89">
        <v>168524508</v>
      </c>
      <c r="O34" s="235">
        <v>170796092</v>
      </c>
      <c r="P34" s="13">
        <f aca="true" t="shared" si="62" ref="P34:P53">O34-N34</f>
        <v>2271584</v>
      </c>
      <c r="Q34" s="89">
        <v>69158924</v>
      </c>
      <c r="R34" s="235">
        <v>63725761</v>
      </c>
      <c r="S34" s="13">
        <f aca="true" t="shared" si="63" ref="S34:S53">R34-Q34</f>
        <v>-5433163</v>
      </c>
      <c r="T34" s="89">
        <v>16849970</v>
      </c>
      <c r="U34" s="235">
        <v>16583561</v>
      </c>
      <c r="V34" s="13">
        <f aca="true" t="shared" si="64" ref="V34:V53">U34-T34</f>
        <v>-266409</v>
      </c>
      <c r="W34" s="89">
        <v>38979188</v>
      </c>
      <c r="X34" s="235">
        <v>36363826</v>
      </c>
      <c r="Y34" s="13">
        <f aca="true" t="shared" si="65" ref="Y34:Y53">X34-W34</f>
        <v>-2615362</v>
      </c>
      <c r="Z34" s="89">
        <v>13891564</v>
      </c>
      <c r="AA34" s="235">
        <v>13891564</v>
      </c>
      <c r="AB34" s="13">
        <f aca="true" t="shared" si="66" ref="AB34:AB53">AA34-Z34</f>
        <v>0</v>
      </c>
      <c r="AC34" s="89">
        <v>12944416</v>
      </c>
      <c r="AD34" s="235">
        <v>12944416</v>
      </c>
      <c r="AE34" s="13">
        <f aca="true" t="shared" si="67" ref="AE34:AE53">AD34-AC34</f>
        <v>0</v>
      </c>
      <c r="AF34" s="139">
        <f aca="true" t="shared" si="68" ref="AF34:AF53">Q34+T34+W34+Z34+AC34</f>
        <v>151824062</v>
      </c>
      <c r="AG34" s="236">
        <f aca="true" t="shared" si="69" ref="AG34:AG53">R34+U34+X34+AA34+AD34</f>
        <v>143509128</v>
      </c>
      <c r="AH34" s="141">
        <f aca="true" t="shared" si="70" ref="AH34:AH53">AG34-AF34</f>
        <v>-8314934</v>
      </c>
      <c r="AI34" s="89">
        <v>65047136</v>
      </c>
      <c r="AJ34" s="235">
        <v>61413822</v>
      </c>
      <c r="AK34" s="13">
        <f aca="true" t="shared" si="71" ref="AK34:AK53">AJ34-AI34</f>
        <v>-3633314</v>
      </c>
      <c r="AL34" s="89">
        <v>14223619</v>
      </c>
      <c r="AM34" s="235">
        <v>13447858</v>
      </c>
      <c r="AN34" s="13">
        <f aca="true" t="shared" si="72" ref="AN34:AN53">AM34-AL34</f>
        <v>-775761</v>
      </c>
      <c r="AO34" s="89">
        <v>11210052</v>
      </c>
      <c r="AP34" s="235">
        <v>11210052</v>
      </c>
      <c r="AQ34" s="13">
        <f aca="true" t="shared" si="73" ref="AQ34:AQ53">AP34-AO34</f>
        <v>0</v>
      </c>
      <c r="AR34" s="142">
        <f aca="true" t="shared" si="74" ref="AR34:AR53">AI34+AL34+AO34</f>
        <v>90480807</v>
      </c>
      <c r="AS34" s="237">
        <f aca="true" t="shared" si="75" ref="AS34:AS53">AJ34+AM34+AP34</f>
        <v>86071732</v>
      </c>
      <c r="AT34" s="144">
        <f aca="true" t="shared" si="76" ref="AT34:AT53">AS34-AR34</f>
        <v>-4409075</v>
      </c>
      <c r="AU34" s="145">
        <f aca="true" t="shared" si="77" ref="AU34:AV37">B34+E34+H34+K34+N34+AR34+AF34</f>
        <v>788263733</v>
      </c>
      <c r="AV34" s="146">
        <f t="shared" si="77"/>
        <v>757222860</v>
      </c>
      <c r="AW34" s="323">
        <f aca="true" t="shared" si="78" ref="AW34:AW53">AV34-AU34</f>
        <v>-31040873</v>
      </c>
      <c r="AX34" s="89">
        <v>45190533</v>
      </c>
      <c r="AY34" s="148">
        <v>42685896</v>
      </c>
      <c r="AZ34" s="13">
        <f aca="true" t="shared" si="79" ref="AZ34:AZ53">AY34-AX34</f>
        <v>-2504637</v>
      </c>
      <c r="BA34" s="150">
        <f aca="true" t="shared" si="80" ref="BA34:BB37">AX34+AU34</f>
        <v>833454266</v>
      </c>
      <c r="BB34" s="151">
        <f t="shared" si="80"/>
        <v>799908756</v>
      </c>
      <c r="BC34" s="323">
        <f aca="true" t="shared" si="81" ref="BC34:BC53">BB34-BA34</f>
        <v>-33545510</v>
      </c>
      <c r="BD34" s="13">
        <f aca="true" t="shared" si="82" ref="BD34:BF37">BA34</f>
        <v>833454266</v>
      </c>
      <c r="BE34" s="13">
        <f t="shared" si="82"/>
        <v>799908756</v>
      </c>
      <c r="BF34" s="13">
        <f t="shared" si="82"/>
        <v>-33545510</v>
      </c>
      <c r="BG34" s="153">
        <v>354351</v>
      </c>
      <c r="BH34" s="156">
        <f>BG34+1756+1323+1927+2902+16049+1213</f>
        <v>379521</v>
      </c>
      <c r="BI34" s="156">
        <f>BH34+1756+1323+1927+2902+16049+1213</f>
        <v>404691</v>
      </c>
      <c r="BJ34" s="155">
        <f aca="true" t="shared" si="83" ref="BJ34:BJ53">BI34-BH34</f>
        <v>25170</v>
      </c>
      <c r="BK34" s="154">
        <v>24557</v>
      </c>
      <c r="BL34" s="156">
        <f>BK34-124+1722</f>
        <v>26155</v>
      </c>
      <c r="BM34" s="156">
        <f>BL34-124+1722</f>
        <v>27753</v>
      </c>
      <c r="BN34" s="155">
        <f>BL34-BK34</f>
        <v>1598</v>
      </c>
      <c r="BO34" s="153">
        <v>56088</v>
      </c>
      <c r="BP34" s="156">
        <f aca="true" t="shared" si="84" ref="BP34:BQ37">BO34</f>
        <v>56088</v>
      </c>
      <c r="BQ34" s="156">
        <f t="shared" si="84"/>
        <v>56088</v>
      </c>
      <c r="BR34" s="155">
        <f>BP34-BO34</f>
        <v>0</v>
      </c>
      <c r="BS34" s="157"/>
      <c r="BT34" s="158">
        <f aca="true" t="shared" si="85" ref="BT34:BT54">BP34+BL34+BH34</f>
        <v>461764</v>
      </c>
    </row>
    <row r="35" spans="1:72" s="5" customFormat="1" ht="13.5">
      <c r="A35" s="55" t="s">
        <v>27</v>
      </c>
      <c r="B35" s="87">
        <v>4686503</v>
      </c>
      <c r="C35" s="51">
        <v>4269029</v>
      </c>
      <c r="D35" s="188">
        <f t="shared" si="58"/>
        <v>-417474</v>
      </c>
      <c r="E35" s="51">
        <v>10570912</v>
      </c>
      <c r="F35" s="51">
        <v>10648516</v>
      </c>
      <c r="G35" s="14">
        <f t="shared" si="59"/>
        <v>77604</v>
      </c>
      <c r="H35" s="51">
        <v>6373871</v>
      </c>
      <c r="I35" s="51">
        <v>5780424</v>
      </c>
      <c r="J35" s="14">
        <f t="shared" si="60"/>
        <v>-593447</v>
      </c>
      <c r="K35" s="87">
        <v>52306748</v>
      </c>
      <c r="L35" s="180">
        <v>49074661</v>
      </c>
      <c r="M35" s="14">
        <f t="shared" si="61"/>
        <v>-3232087</v>
      </c>
      <c r="N35" s="87">
        <v>32113014</v>
      </c>
      <c r="O35" s="180">
        <v>32609774</v>
      </c>
      <c r="P35" s="14">
        <f t="shared" si="62"/>
        <v>496760</v>
      </c>
      <c r="Q35" s="87">
        <v>13958798</v>
      </c>
      <c r="R35" s="180">
        <v>13076403</v>
      </c>
      <c r="S35" s="14">
        <f t="shared" si="63"/>
        <v>-882395</v>
      </c>
      <c r="T35" s="87">
        <v>2929797</v>
      </c>
      <c r="U35" s="180">
        <v>2902123</v>
      </c>
      <c r="V35" s="14">
        <f t="shared" si="64"/>
        <v>-27674</v>
      </c>
      <c r="W35" s="87">
        <v>6754130</v>
      </c>
      <c r="X35" s="180">
        <v>6357895</v>
      </c>
      <c r="Y35" s="14">
        <f t="shared" si="65"/>
        <v>-396235</v>
      </c>
      <c r="Z35" s="87">
        <v>2411393</v>
      </c>
      <c r="AA35" s="180">
        <v>2411393</v>
      </c>
      <c r="AB35" s="14">
        <f t="shared" si="66"/>
        <v>0</v>
      </c>
      <c r="AC35" s="87">
        <v>2251753</v>
      </c>
      <c r="AD35" s="180">
        <v>2251753</v>
      </c>
      <c r="AE35" s="14">
        <f t="shared" si="67"/>
        <v>0</v>
      </c>
      <c r="AF35" s="181">
        <f t="shared" si="68"/>
        <v>28305871</v>
      </c>
      <c r="AG35" s="182">
        <f t="shared" si="69"/>
        <v>26999567</v>
      </c>
      <c r="AH35" s="183">
        <f t="shared" si="70"/>
        <v>-1306304</v>
      </c>
      <c r="AI35" s="87">
        <v>11337975</v>
      </c>
      <c r="AJ35" s="180">
        <v>10738108</v>
      </c>
      <c r="AK35" s="14">
        <f t="shared" si="71"/>
        <v>-599867</v>
      </c>
      <c r="AL35" s="87">
        <v>2466010</v>
      </c>
      <c r="AM35" s="180">
        <v>2321598</v>
      </c>
      <c r="AN35" s="14">
        <f t="shared" si="72"/>
        <v>-144412</v>
      </c>
      <c r="AO35" s="87">
        <v>1950449</v>
      </c>
      <c r="AP35" s="180">
        <v>1950449</v>
      </c>
      <c r="AQ35" s="14">
        <f t="shared" si="73"/>
        <v>0</v>
      </c>
      <c r="AR35" s="184">
        <f t="shared" si="74"/>
        <v>15754434</v>
      </c>
      <c r="AS35" s="185">
        <f t="shared" si="75"/>
        <v>15010155</v>
      </c>
      <c r="AT35" s="186">
        <f t="shared" si="76"/>
        <v>-744279</v>
      </c>
      <c r="AU35" s="145">
        <f t="shared" si="77"/>
        <v>150111353</v>
      </c>
      <c r="AV35" s="178">
        <f t="shared" si="77"/>
        <v>144392126</v>
      </c>
      <c r="AW35" s="324">
        <f t="shared" si="78"/>
        <v>-5719227</v>
      </c>
      <c r="AX35" s="87">
        <v>8252401</v>
      </c>
      <c r="AY35" s="187">
        <v>8159455</v>
      </c>
      <c r="AZ35" s="14">
        <f t="shared" si="79"/>
        <v>-92946</v>
      </c>
      <c r="BA35" s="170">
        <f t="shared" si="80"/>
        <v>158363754</v>
      </c>
      <c r="BB35" s="171">
        <f t="shared" si="80"/>
        <v>152551581</v>
      </c>
      <c r="BC35" s="324">
        <f t="shared" si="81"/>
        <v>-5812173</v>
      </c>
      <c r="BD35" s="14">
        <f t="shared" si="82"/>
        <v>158363754</v>
      </c>
      <c r="BE35" s="14">
        <f t="shared" si="82"/>
        <v>152551581</v>
      </c>
      <c r="BF35" s="14">
        <f t="shared" si="82"/>
        <v>-5812173</v>
      </c>
      <c r="BG35" s="189">
        <v>83871</v>
      </c>
      <c r="BH35" s="190">
        <f>BG35+299+453+405+578+2237+229</f>
        <v>88072</v>
      </c>
      <c r="BI35" s="190">
        <f>BH35+299+453+405+578+2237+229</f>
        <v>92273</v>
      </c>
      <c r="BJ35" s="191">
        <f t="shared" si="83"/>
        <v>4201</v>
      </c>
      <c r="BK35" s="192">
        <v>6300</v>
      </c>
      <c r="BL35" s="190">
        <f>BK35+124+43</f>
        <v>6467</v>
      </c>
      <c r="BM35" s="190">
        <f>BL35+124+43</f>
        <v>6634</v>
      </c>
      <c r="BN35" s="191">
        <f>BL35-BK35</f>
        <v>167</v>
      </c>
      <c r="BO35" s="189">
        <v>13885</v>
      </c>
      <c r="BP35" s="190">
        <f t="shared" si="84"/>
        <v>13885</v>
      </c>
      <c r="BQ35" s="190">
        <f t="shared" si="84"/>
        <v>13885</v>
      </c>
      <c r="BR35" s="191">
        <f>BP35-BO35</f>
        <v>0</v>
      </c>
      <c r="BS35" s="157"/>
      <c r="BT35" s="158">
        <f t="shared" si="85"/>
        <v>108424</v>
      </c>
    </row>
    <row r="36" spans="1:72" s="5" customFormat="1" ht="13.5">
      <c r="A36" s="55" t="s">
        <v>15</v>
      </c>
      <c r="B36" s="87">
        <v>14959470</v>
      </c>
      <c r="C36" s="51">
        <v>16203926</v>
      </c>
      <c r="D36" s="188">
        <f t="shared" si="58"/>
        <v>1244456</v>
      </c>
      <c r="E36" s="51">
        <v>141637153</v>
      </c>
      <c r="F36" s="51">
        <v>106956343</v>
      </c>
      <c r="G36" s="14">
        <f t="shared" si="59"/>
        <v>-34680810</v>
      </c>
      <c r="H36" s="51">
        <v>11921400</v>
      </c>
      <c r="I36" s="51">
        <v>11921400</v>
      </c>
      <c r="J36" s="14">
        <f t="shared" si="60"/>
        <v>0</v>
      </c>
      <c r="K36" s="87">
        <v>75229497</v>
      </c>
      <c r="L36" s="180">
        <v>73049287</v>
      </c>
      <c r="M36" s="14">
        <f t="shared" si="61"/>
        <v>-2180210</v>
      </c>
      <c r="N36" s="87">
        <v>77084655</v>
      </c>
      <c r="O36" s="180">
        <v>89734930</v>
      </c>
      <c r="P36" s="14">
        <f t="shared" si="62"/>
        <v>12650275</v>
      </c>
      <c r="Q36" s="87">
        <v>8718900</v>
      </c>
      <c r="R36" s="180">
        <v>7448900</v>
      </c>
      <c r="S36" s="14">
        <f t="shared" si="63"/>
        <v>-1270000</v>
      </c>
      <c r="T36" s="87">
        <v>3169516</v>
      </c>
      <c r="U36" s="180">
        <v>3169516</v>
      </c>
      <c r="V36" s="14">
        <f t="shared" si="64"/>
        <v>0</v>
      </c>
      <c r="W36" s="87">
        <v>4502185</v>
      </c>
      <c r="X36" s="180">
        <v>4406935</v>
      </c>
      <c r="Y36" s="14">
        <f t="shared" si="65"/>
        <v>-95250</v>
      </c>
      <c r="Z36" s="87">
        <v>3361643</v>
      </c>
      <c r="AA36" s="180">
        <v>3361643</v>
      </c>
      <c r="AB36" s="14">
        <f t="shared" si="66"/>
        <v>0</v>
      </c>
      <c r="AC36" s="87">
        <v>1826400</v>
      </c>
      <c r="AD36" s="180">
        <v>1826400</v>
      </c>
      <c r="AE36" s="14">
        <f t="shared" si="67"/>
        <v>0</v>
      </c>
      <c r="AF36" s="181">
        <f t="shared" si="68"/>
        <v>21578644</v>
      </c>
      <c r="AG36" s="182">
        <f t="shared" si="69"/>
        <v>20213394</v>
      </c>
      <c r="AH36" s="183">
        <f t="shared" si="70"/>
        <v>-1365250</v>
      </c>
      <c r="AI36" s="87">
        <v>10642200</v>
      </c>
      <c r="AJ36" s="180">
        <v>10542200</v>
      </c>
      <c r="AK36" s="14">
        <f t="shared" si="71"/>
        <v>-100000</v>
      </c>
      <c r="AL36" s="87">
        <v>2644900</v>
      </c>
      <c r="AM36" s="180">
        <v>2644900</v>
      </c>
      <c r="AN36" s="14">
        <f t="shared" si="72"/>
        <v>0</v>
      </c>
      <c r="AO36" s="87">
        <v>2264149</v>
      </c>
      <c r="AP36" s="180">
        <v>2244149</v>
      </c>
      <c r="AQ36" s="14">
        <f t="shared" si="73"/>
        <v>-20000</v>
      </c>
      <c r="AR36" s="184">
        <f t="shared" si="74"/>
        <v>15551249</v>
      </c>
      <c r="AS36" s="185">
        <f t="shared" si="75"/>
        <v>15431249</v>
      </c>
      <c r="AT36" s="186">
        <f t="shared" si="76"/>
        <v>-120000</v>
      </c>
      <c r="AU36" s="145">
        <f t="shared" si="77"/>
        <v>357962068</v>
      </c>
      <c r="AV36" s="178">
        <f t="shared" si="77"/>
        <v>333510529</v>
      </c>
      <c r="AW36" s="324">
        <f t="shared" si="78"/>
        <v>-24451539</v>
      </c>
      <c r="AX36" s="87">
        <v>966230808</v>
      </c>
      <c r="AY36" s="187">
        <v>946173267</v>
      </c>
      <c r="AZ36" s="14">
        <f t="shared" si="79"/>
        <v>-20057541</v>
      </c>
      <c r="BA36" s="170">
        <f t="shared" si="80"/>
        <v>1324192876</v>
      </c>
      <c r="BB36" s="171">
        <f t="shared" si="80"/>
        <v>1279683796</v>
      </c>
      <c r="BC36" s="324">
        <f t="shared" si="81"/>
        <v>-44509080</v>
      </c>
      <c r="BD36" s="14">
        <f t="shared" si="82"/>
        <v>1324192876</v>
      </c>
      <c r="BE36" s="14">
        <f t="shared" si="82"/>
        <v>1279683796</v>
      </c>
      <c r="BF36" s="14">
        <f t="shared" si="82"/>
        <v>-44509080</v>
      </c>
      <c r="BG36" s="189">
        <v>626581</v>
      </c>
      <c r="BH36" s="190">
        <f>BG36+2089+8501+4402+1000-699+19829</f>
        <v>661703</v>
      </c>
      <c r="BI36" s="190">
        <f>BH36+2089+8501+4402+1000-699+19829</f>
        <v>696825</v>
      </c>
      <c r="BJ36" s="191">
        <f t="shared" si="83"/>
        <v>35122</v>
      </c>
      <c r="BK36" s="192">
        <v>98506</v>
      </c>
      <c r="BL36" s="190">
        <f>BK36+1100+7615</f>
        <v>107221</v>
      </c>
      <c r="BM36" s="190">
        <f>BL36+1100+7615</f>
        <v>115936</v>
      </c>
      <c r="BN36" s="191">
        <f>BL36-BK36</f>
        <v>8715</v>
      </c>
      <c r="BO36" s="189">
        <v>19530</v>
      </c>
      <c r="BP36" s="190">
        <f t="shared" si="84"/>
        <v>19530</v>
      </c>
      <c r="BQ36" s="190">
        <f t="shared" si="84"/>
        <v>19530</v>
      </c>
      <c r="BR36" s="191">
        <f>BP36-BO36</f>
        <v>0</v>
      </c>
      <c r="BS36" s="157"/>
      <c r="BT36" s="158">
        <f t="shared" si="85"/>
        <v>788454</v>
      </c>
    </row>
    <row r="37" spans="1:72" s="5" customFormat="1" ht="13.5">
      <c r="A37" s="55" t="s">
        <v>28</v>
      </c>
      <c r="B37" s="87"/>
      <c r="C37" s="51"/>
      <c r="D37" s="188">
        <f t="shared" si="58"/>
        <v>0</v>
      </c>
      <c r="E37" s="51"/>
      <c r="F37" s="51"/>
      <c r="G37" s="14">
        <f t="shared" si="59"/>
        <v>0</v>
      </c>
      <c r="H37" s="51"/>
      <c r="I37" s="51"/>
      <c r="J37" s="14">
        <f t="shared" si="60"/>
        <v>0</v>
      </c>
      <c r="K37" s="87"/>
      <c r="L37" s="180"/>
      <c r="M37" s="14">
        <f t="shared" si="61"/>
        <v>0</v>
      </c>
      <c r="N37" s="87"/>
      <c r="O37" s="180"/>
      <c r="P37" s="14">
        <f t="shared" si="62"/>
        <v>0</v>
      </c>
      <c r="Q37" s="87"/>
      <c r="R37" s="180"/>
      <c r="S37" s="14">
        <f t="shared" si="63"/>
        <v>0</v>
      </c>
      <c r="T37" s="87"/>
      <c r="U37" s="180"/>
      <c r="V37" s="14">
        <f t="shared" si="64"/>
        <v>0</v>
      </c>
      <c r="W37" s="87"/>
      <c r="X37" s="180"/>
      <c r="Y37" s="14">
        <f t="shared" si="65"/>
        <v>0</v>
      </c>
      <c r="Z37" s="87"/>
      <c r="AA37" s="180"/>
      <c r="AB37" s="14">
        <f t="shared" si="66"/>
        <v>0</v>
      </c>
      <c r="AC37" s="87"/>
      <c r="AD37" s="180"/>
      <c r="AE37" s="14">
        <f t="shared" si="67"/>
        <v>0</v>
      </c>
      <c r="AF37" s="181">
        <f t="shared" si="68"/>
        <v>0</v>
      </c>
      <c r="AG37" s="182">
        <f t="shared" si="69"/>
        <v>0</v>
      </c>
      <c r="AH37" s="183">
        <f t="shared" si="70"/>
        <v>0</v>
      </c>
      <c r="AI37" s="87"/>
      <c r="AJ37" s="180"/>
      <c r="AK37" s="14">
        <f t="shared" si="71"/>
        <v>0</v>
      </c>
      <c r="AL37" s="87"/>
      <c r="AM37" s="180"/>
      <c r="AN37" s="14">
        <f t="shared" si="72"/>
        <v>0</v>
      </c>
      <c r="AO37" s="87"/>
      <c r="AP37" s="180"/>
      <c r="AQ37" s="14">
        <f t="shared" si="73"/>
        <v>0</v>
      </c>
      <c r="AR37" s="184">
        <f t="shared" si="74"/>
        <v>0</v>
      </c>
      <c r="AS37" s="185">
        <f t="shared" si="75"/>
        <v>0</v>
      </c>
      <c r="AT37" s="186">
        <f t="shared" si="76"/>
        <v>0</v>
      </c>
      <c r="AU37" s="145">
        <f t="shared" si="77"/>
        <v>0</v>
      </c>
      <c r="AV37" s="178">
        <f t="shared" si="77"/>
        <v>0</v>
      </c>
      <c r="AW37" s="324">
        <f t="shared" si="78"/>
        <v>0</v>
      </c>
      <c r="AX37" s="87">
        <v>32000000</v>
      </c>
      <c r="AY37" s="187">
        <v>32000000</v>
      </c>
      <c r="AZ37" s="14">
        <f t="shared" si="79"/>
        <v>0</v>
      </c>
      <c r="BA37" s="170">
        <f t="shared" si="80"/>
        <v>32000000</v>
      </c>
      <c r="BB37" s="171">
        <f t="shared" si="80"/>
        <v>32000000</v>
      </c>
      <c r="BC37" s="324">
        <f t="shared" si="81"/>
        <v>0</v>
      </c>
      <c r="BD37" s="14">
        <f t="shared" si="82"/>
        <v>32000000</v>
      </c>
      <c r="BE37" s="14">
        <f t="shared" si="82"/>
        <v>32000000</v>
      </c>
      <c r="BF37" s="14">
        <f t="shared" si="82"/>
        <v>0</v>
      </c>
      <c r="BG37" s="189">
        <v>26800</v>
      </c>
      <c r="BH37" s="190">
        <f>BG37</f>
        <v>26800</v>
      </c>
      <c r="BI37" s="190">
        <f>BH37</f>
        <v>26800</v>
      </c>
      <c r="BJ37" s="191">
        <f t="shared" si="83"/>
        <v>0</v>
      </c>
      <c r="BK37" s="192"/>
      <c r="BL37" s="190">
        <f>BK37</f>
        <v>0</v>
      </c>
      <c r="BM37" s="190">
        <f>BL37</f>
        <v>0</v>
      </c>
      <c r="BN37" s="191">
        <f>BL37-BK37</f>
        <v>0</v>
      </c>
      <c r="BO37" s="189"/>
      <c r="BP37" s="190">
        <f t="shared" si="84"/>
        <v>0</v>
      </c>
      <c r="BQ37" s="190">
        <f t="shared" si="84"/>
        <v>0</v>
      </c>
      <c r="BR37" s="191">
        <f>BP37-BO37</f>
        <v>0</v>
      </c>
      <c r="BS37" s="157"/>
      <c r="BT37" s="158">
        <f t="shared" si="85"/>
        <v>26800</v>
      </c>
    </row>
    <row r="38" spans="1:72" s="5" customFormat="1" ht="13.5">
      <c r="A38" s="55" t="s">
        <v>116</v>
      </c>
      <c r="B38" s="87">
        <f>SUM(B39:B42)</f>
        <v>0</v>
      </c>
      <c r="C38" s="51">
        <f>SUM(C39:C42)</f>
        <v>9540</v>
      </c>
      <c r="D38" s="188">
        <f t="shared" si="58"/>
        <v>9540</v>
      </c>
      <c r="E38" s="51">
        <f>SUM(E39:E42)</f>
        <v>0</v>
      </c>
      <c r="F38" s="51">
        <f>SUM(F39:F42)</f>
        <v>0</v>
      </c>
      <c r="G38" s="14">
        <f t="shared" si="59"/>
        <v>0</v>
      </c>
      <c r="H38" s="51">
        <f>SUM(H39:H42)</f>
        <v>0</v>
      </c>
      <c r="I38" s="51">
        <f>SUM(I39:I42)</f>
        <v>0</v>
      </c>
      <c r="J38" s="14">
        <f t="shared" si="60"/>
        <v>0</v>
      </c>
      <c r="K38" s="87">
        <f>SUM(K39:K42)</f>
        <v>0</v>
      </c>
      <c r="L38" s="180">
        <f>SUM(L39:L42)</f>
        <v>0</v>
      </c>
      <c r="M38" s="14">
        <f t="shared" si="61"/>
        <v>0</v>
      </c>
      <c r="N38" s="87">
        <f>SUM(N39:N42)</f>
        <v>0</v>
      </c>
      <c r="O38" s="180">
        <f>SUM(O39:O42)</f>
        <v>0</v>
      </c>
      <c r="P38" s="14">
        <f t="shared" si="62"/>
        <v>0</v>
      </c>
      <c r="Q38" s="87">
        <f>SUM(Q39:Q42)</f>
        <v>0</v>
      </c>
      <c r="R38" s="180">
        <f>SUM(R39:R42)</f>
        <v>0</v>
      </c>
      <c r="S38" s="14">
        <f t="shared" si="63"/>
        <v>0</v>
      </c>
      <c r="T38" s="87">
        <f>SUM(T39:T42)</f>
        <v>0</v>
      </c>
      <c r="U38" s="180">
        <f>SUM(U39:U42)</f>
        <v>0</v>
      </c>
      <c r="V38" s="14">
        <f t="shared" si="64"/>
        <v>0</v>
      </c>
      <c r="W38" s="87">
        <f>SUM(W39:W42)</f>
        <v>0</v>
      </c>
      <c r="X38" s="180">
        <f>SUM(X39:X42)</f>
        <v>0</v>
      </c>
      <c r="Y38" s="14">
        <f t="shared" si="65"/>
        <v>0</v>
      </c>
      <c r="Z38" s="87">
        <f>SUM(Z39:Z42)</f>
        <v>0</v>
      </c>
      <c r="AA38" s="180">
        <f>SUM(AA39:AA42)</f>
        <v>0</v>
      </c>
      <c r="AB38" s="14">
        <f t="shared" si="66"/>
        <v>0</v>
      </c>
      <c r="AC38" s="245">
        <f>SUM(AC39:AC42)</f>
        <v>0</v>
      </c>
      <c r="AD38" s="51">
        <f>SUM(AD39:AD42)</f>
        <v>0</v>
      </c>
      <c r="AE38" s="14">
        <f t="shared" si="67"/>
        <v>0</v>
      </c>
      <c r="AF38" s="181">
        <f t="shared" si="68"/>
        <v>0</v>
      </c>
      <c r="AG38" s="182">
        <f t="shared" si="69"/>
        <v>0</v>
      </c>
      <c r="AH38" s="183">
        <f t="shared" si="70"/>
        <v>0</v>
      </c>
      <c r="AI38" s="245">
        <f>SUM(AI39:AI42)</f>
        <v>0</v>
      </c>
      <c r="AJ38" s="51">
        <f>SUM(AJ39:AJ42)</f>
        <v>0</v>
      </c>
      <c r="AK38" s="14">
        <f t="shared" si="71"/>
        <v>0</v>
      </c>
      <c r="AL38" s="245">
        <f>SUM(AL39:AL42)</f>
        <v>0</v>
      </c>
      <c r="AM38" s="51">
        <f>SUM(AM39:AM42)</f>
        <v>0</v>
      </c>
      <c r="AN38" s="14">
        <f t="shared" si="72"/>
        <v>0</v>
      </c>
      <c r="AO38" s="245">
        <f>SUM(AO39:AO42)</f>
        <v>0</v>
      </c>
      <c r="AP38" s="51">
        <f>SUM(AP39:AP42)</f>
        <v>0</v>
      </c>
      <c r="AQ38" s="14">
        <f t="shared" si="73"/>
        <v>0</v>
      </c>
      <c r="AR38" s="184">
        <f t="shared" si="74"/>
        <v>0</v>
      </c>
      <c r="AS38" s="185">
        <f t="shared" si="75"/>
        <v>0</v>
      </c>
      <c r="AT38" s="186">
        <f t="shared" si="76"/>
        <v>0</v>
      </c>
      <c r="AU38" s="167">
        <f>SUM(AU39:AU42)</f>
        <v>0</v>
      </c>
      <c r="AV38" s="178">
        <f>SUM(AV39:AV42)</f>
        <v>9540</v>
      </c>
      <c r="AW38" s="324">
        <f t="shared" si="78"/>
        <v>9540</v>
      </c>
      <c r="AX38" s="245">
        <f>SUM(AX39:AX42)</f>
        <v>88178157</v>
      </c>
      <c r="AY38" s="51">
        <f>SUM(AY39:AY42)</f>
        <v>78039216</v>
      </c>
      <c r="AZ38" s="14">
        <f t="shared" si="79"/>
        <v>-10138941</v>
      </c>
      <c r="BA38" s="170">
        <f>SUM(BA39:BA42)</f>
        <v>88178157</v>
      </c>
      <c r="BB38" s="206">
        <f>SUM(BB39:BB42)</f>
        <v>78048756</v>
      </c>
      <c r="BC38" s="324">
        <f t="shared" si="81"/>
        <v>-10129401</v>
      </c>
      <c r="BD38" s="14">
        <f aca="true" t="shared" si="86" ref="BD38:BI38">SUM(BD39:BD42)</f>
        <v>88178157</v>
      </c>
      <c r="BE38" s="14">
        <f t="shared" si="86"/>
        <v>78048756</v>
      </c>
      <c r="BF38" s="14">
        <f t="shared" si="86"/>
        <v>-10129401</v>
      </c>
      <c r="BG38" s="189">
        <f t="shared" si="86"/>
        <v>335706</v>
      </c>
      <c r="BH38" s="190">
        <f t="shared" si="86"/>
        <v>358841</v>
      </c>
      <c r="BI38" s="190">
        <f t="shared" si="86"/>
        <v>381976</v>
      </c>
      <c r="BJ38" s="191">
        <f t="shared" si="83"/>
        <v>23135</v>
      </c>
      <c r="BK38" s="192">
        <f aca="true" t="shared" si="87" ref="BK38:BR38">SUM(BK39:BK42)</f>
        <v>59243</v>
      </c>
      <c r="BL38" s="190">
        <f t="shared" si="87"/>
        <v>58131</v>
      </c>
      <c r="BM38" s="190">
        <f t="shared" si="87"/>
        <v>57019</v>
      </c>
      <c r="BN38" s="191">
        <f t="shared" si="87"/>
        <v>-1112</v>
      </c>
      <c r="BO38" s="189">
        <f t="shared" si="87"/>
        <v>0</v>
      </c>
      <c r="BP38" s="190">
        <f t="shared" si="87"/>
        <v>0</v>
      </c>
      <c r="BQ38" s="190">
        <f t="shared" si="87"/>
        <v>0</v>
      </c>
      <c r="BR38" s="191">
        <f t="shared" si="87"/>
        <v>0</v>
      </c>
      <c r="BS38" s="157"/>
      <c r="BT38" s="158">
        <f t="shared" si="85"/>
        <v>416972</v>
      </c>
    </row>
    <row r="39" spans="1:72" s="5" customFormat="1" ht="13.5">
      <c r="A39" s="65" t="s">
        <v>102</v>
      </c>
      <c r="B39" s="86"/>
      <c r="C39" s="68">
        <v>9540</v>
      </c>
      <c r="D39" s="172">
        <f t="shared" si="58"/>
        <v>9540</v>
      </c>
      <c r="E39" s="68"/>
      <c r="F39" s="68"/>
      <c r="G39" s="66">
        <f t="shared" si="59"/>
        <v>0</v>
      </c>
      <c r="H39" s="68"/>
      <c r="I39" s="68"/>
      <c r="J39" s="66">
        <f t="shared" si="60"/>
        <v>0</v>
      </c>
      <c r="K39" s="86"/>
      <c r="L39" s="160"/>
      <c r="M39" s="66">
        <f t="shared" si="61"/>
        <v>0</v>
      </c>
      <c r="N39" s="86"/>
      <c r="O39" s="160"/>
      <c r="P39" s="66">
        <f t="shared" si="62"/>
        <v>0</v>
      </c>
      <c r="Q39" s="86"/>
      <c r="R39" s="160">
        <v>0</v>
      </c>
      <c r="S39" s="66">
        <f t="shared" si="63"/>
        <v>0</v>
      </c>
      <c r="T39" s="86"/>
      <c r="U39" s="160">
        <v>0</v>
      </c>
      <c r="V39" s="66">
        <f t="shared" si="64"/>
        <v>0</v>
      </c>
      <c r="W39" s="86"/>
      <c r="X39" s="160">
        <v>0</v>
      </c>
      <c r="Y39" s="66">
        <f t="shared" si="65"/>
        <v>0</v>
      </c>
      <c r="Z39" s="86"/>
      <c r="AA39" s="160"/>
      <c r="AB39" s="66">
        <f t="shared" si="66"/>
        <v>0</v>
      </c>
      <c r="AC39" s="86"/>
      <c r="AD39" s="160">
        <v>0</v>
      </c>
      <c r="AE39" s="66">
        <f t="shared" si="67"/>
        <v>0</v>
      </c>
      <c r="AF39" s="161">
        <f t="shared" si="68"/>
        <v>0</v>
      </c>
      <c r="AG39" s="162">
        <f t="shared" si="69"/>
        <v>0</v>
      </c>
      <c r="AH39" s="163">
        <f t="shared" si="70"/>
        <v>0</v>
      </c>
      <c r="AI39" s="86"/>
      <c r="AJ39" s="160">
        <v>0</v>
      </c>
      <c r="AK39" s="66">
        <f t="shared" si="71"/>
        <v>0</v>
      </c>
      <c r="AL39" s="86"/>
      <c r="AM39" s="160">
        <v>0</v>
      </c>
      <c r="AN39" s="66">
        <f t="shared" si="72"/>
        <v>0</v>
      </c>
      <c r="AO39" s="86"/>
      <c r="AP39" s="160"/>
      <c r="AQ39" s="66">
        <f t="shared" si="73"/>
        <v>0</v>
      </c>
      <c r="AR39" s="164">
        <f t="shared" si="74"/>
        <v>0</v>
      </c>
      <c r="AS39" s="165">
        <f t="shared" si="75"/>
        <v>0</v>
      </c>
      <c r="AT39" s="166">
        <f t="shared" si="76"/>
        <v>0</v>
      </c>
      <c r="AU39" s="167">
        <f aca="true" t="shared" si="88" ref="AU39:AV42">B39+E39+H39+K39+N39+AR39+AF39</f>
        <v>0</v>
      </c>
      <c r="AV39" s="178">
        <f t="shared" si="88"/>
        <v>9540</v>
      </c>
      <c r="AW39" s="325">
        <f t="shared" si="78"/>
        <v>9540</v>
      </c>
      <c r="AX39" s="86">
        <v>0</v>
      </c>
      <c r="AY39" s="68">
        <v>9585748</v>
      </c>
      <c r="AZ39" s="66">
        <f t="shared" si="79"/>
        <v>9585748</v>
      </c>
      <c r="BA39" s="326">
        <f aca="true" t="shared" si="89" ref="BA39:BB42">AX39+AU39</f>
        <v>0</v>
      </c>
      <c r="BB39" s="171">
        <f t="shared" si="89"/>
        <v>9595288</v>
      </c>
      <c r="BC39" s="327">
        <f t="shared" si="81"/>
        <v>9595288</v>
      </c>
      <c r="BD39" s="66">
        <f aca="true" t="shared" si="90" ref="BD39:BF42">BA39</f>
        <v>0</v>
      </c>
      <c r="BE39" s="66">
        <f t="shared" si="90"/>
        <v>9595288</v>
      </c>
      <c r="BF39" s="66">
        <f t="shared" si="90"/>
        <v>9595288</v>
      </c>
      <c r="BG39" s="173">
        <v>0</v>
      </c>
      <c r="BH39" s="174">
        <f>BG39+485</f>
        <v>485</v>
      </c>
      <c r="BI39" s="174">
        <f>BH39+485</f>
        <v>970</v>
      </c>
      <c r="BJ39" s="175">
        <f t="shared" si="83"/>
        <v>485</v>
      </c>
      <c r="BK39" s="176"/>
      <c r="BL39" s="174">
        <f>BK39</f>
        <v>0</v>
      </c>
      <c r="BM39" s="174">
        <f>BL39</f>
        <v>0</v>
      </c>
      <c r="BN39" s="175">
        <f>BL39-BK39</f>
        <v>0</v>
      </c>
      <c r="BO39" s="173"/>
      <c r="BP39" s="174">
        <f aca="true" t="shared" si="91" ref="BP39:BQ42">BO39</f>
        <v>0</v>
      </c>
      <c r="BQ39" s="174">
        <f t="shared" si="91"/>
        <v>0</v>
      </c>
      <c r="BR39" s="175">
        <f>BP39-BO39</f>
        <v>0</v>
      </c>
      <c r="BS39" s="177"/>
      <c r="BT39" s="158">
        <f t="shared" si="85"/>
        <v>485</v>
      </c>
    </row>
    <row r="40" spans="1:72" s="5" customFormat="1" ht="13.5">
      <c r="A40" s="65" t="s">
        <v>120</v>
      </c>
      <c r="B40" s="86"/>
      <c r="C40" s="68"/>
      <c r="D40" s="172">
        <f t="shared" si="58"/>
        <v>0</v>
      </c>
      <c r="E40" s="68"/>
      <c r="F40" s="68"/>
      <c r="G40" s="66">
        <f t="shared" si="59"/>
        <v>0</v>
      </c>
      <c r="H40" s="68"/>
      <c r="I40" s="68"/>
      <c r="J40" s="66">
        <f t="shared" si="60"/>
        <v>0</v>
      </c>
      <c r="K40" s="86"/>
      <c r="L40" s="160"/>
      <c r="M40" s="66">
        <f t="shared" si="61"/>
        <v>0</v>
      </c>
      <c r="N40" s="86"/>
      <c r="O40" s="160">
        <v>0</v>
      </c>
      <c r="P40" s="66">
        <f t="shared" si="62"/>
        <v>0</v>
      </c>
      <c r="Q40" s="86"/>
      <c r="R40" s="160"/>
      <c r="S40" s="66">
        <f t="shared" si="63"/>
        <v>0</v>
      </c>
      <c r="T40" s="86"/>
      <c r="U40" s="160">
        <v>0</v>
      </c>
      <c r="V40" s="66">
        <f t="shared" si="64"/>
        <v>0</v>
      </c>
      <c r="W40" s="86"/>
      <c r="X40" s="160"/>
      <c r="Y40" s="66">
        <f t="shared" si="65"/>
        <v>0</v>
      </c>
      <c r="Z40" s="86"/>
      <c r="AA40" s="160">
        <v>0</v>
      </c>
      <c r="AB40" s="66">
        <f t="shared" si="66"/>
        <v>0</v>
      </c>
      <c r="AC40" s="86"/>
      <c r="AD40" s="160">
        <v>0</v>
      </c>
      <c r="AE40" s="66">
        <f t="shared" si="67"/>
        <v>0</v>
      </c>
      <c r="AF40" s="161">
        <f t="shared" si="68"/>
        <v>0</v>
      </c>
      <c r="AG40" s="162">
        <f t="shared" si="69"/>
        <v>0</v>
      </c>
      <c r="AH40" s="163">
        <f t="shared" si="70"/>
        <v>0</v>
      </c>
      <c r="AI40" s="86"/>
      <c r="AJ40" s="160"/>
      <c r="AK40" s="66">
        <f t="shared" si="71"/>
        <v>0</v>
      </c>
      <c r="AL40" s="86"/>
      <c r="AM40" s="160">
        <v>0</v>
      </c>
      <c r="AN40" s="66">
        <f t="shared" si="72"/>
        <v>0</v>
      </c>
      <c r="AO40" s="86"/>
      <c r="AP40" s="160"/>
      <c r="AQ40" s="66">
        <f t="shared" si="73"/>
        <v>0</v>
      </c>
      <c r="AR40" s="164">
        <f t="shared" si="74"/>
        <v>0</v>
      </c>
      <c r="AS40" s="165">
        <f t="shared" si="75"/>
        <v>0</v>
      </c>
      <c r="AT40" s="166">
        <f t="shared" si="76"/>
        <v>0</v>
      </c>
      <c r="AU40" s="167">
        <f t="shared" si="88"/>
        <v>0</v>
      </c>
      <c r="AV40" s="178">
        <f t="shared" si="88"/>
        <v>0</v>
      </c>
      <c r="AW40" s="325">
        <f t="shared" si="78"/>
        <v>0</v>
      </c>
      <c r="AX40" s="86">
        <v>2949000</v>
      </c>
      <c r="AY40" s="68">
        <v>10552316</v>
      </c>
      <c r="AZ40" s="66">
        <f t="shared" si="79"/>
        <v>7603316</v>
      </c>
      <c r="BA40" s="170">
        <f t="shared" si="89"/>
        <v>2949000</v>
      </c>
      <c r="BB40" s="151">
        <f t="shared" si="89"/>
        <v>10552316</v>
      </c>
      <c r="BC40" s="325">
        <f t="shared" si="81"/>
        <v>7603316</v>
      </c>
      <c r="BD40" s="66">
        <f t="shared" si="90"/>
        <v>2949000</v>
      </c>
      <c r="BE40" s="66">
        <f t="shared" si="90"/>
        <v>10552316</v>
      </c>
      <c r="BF40" s="66">
        <f t="shared" si="90"/>
        <v>7603316</v>
      </c>
      <c r="BG40" s="173">
        <v>314406</v>
      </c>
      <c r="BH40" s="174">
        <f>BG40+1001+1579+2997</f>
        <v>319983</v>
      </c>
      <c r="BI40" s="174">
        <f>BH40+1001+1579+2997</f>
        <v>325560</v>
      </c>
      <c r="BJ40" s="175">
        <f t="shared" si="83"/>
        <v>5577</v>
      </c>
      <c r="BK40" s="176">
        <v>1800</v>
      </c>
      <c r="BL40" s="174">
        <f>BK40</f>
        <v>1800</v>
      </c>
      <c r="BM40" s="174">
        <f>BL40</f>
        <v>1800</v>
      </c>
      <c r="BN40" s="175">
        <f>BL40-BK40</f>
        <v>0</v>
      </c>
      <c r="BO40" s="173"/>
      <c r="BP40" s="174">
        <f t="shared" si="91"/>
        <v>0</v>
      </c>
      <c r="BQ40" s="174">
        <f t="shared" si="91"/>
        <v>0</v>
      </c>
      <c r="BR40" s="175">
        <f>BP40-BO40</f>
        <v>0</v>
      </c>
      <c r="BS40" s="177"/>
      <c r="BT40" s="158">
        <f t="shared" si="85"/>
        <v>321783</v>
      </c>
    </row>
    <row r="41" spans="1:72" s="5" customFormat="1" ht="13.5">
      <c r="A41" s="65" t="s">
        <v>121</v>
      </c>
      <c r="B41" s="86"/>
      <c r="C41" s="68"/>
      <c r="D41" s="172">
        <f t="shared" si="58"/>
        <v>0</v>
      </c>
      <c r="E41" s="68"/>
      <c r="F41" s="68"/>
      <c r="G41" s="66">
        <f t="shared" si="59"/>
        <v>0</v>
      </c>
      <c r="H41" s="68"/>
      <c r="I41" s="68"/>
      <c r="J41" s="66">
        <f t="shared" si="60"/>
        <v>0</v>
      </c>
      <c r="K41" s="86"/>
      <c r="L41" s="160">
        <v>0</v>
      </c>
      <c r="M41" s="66">
        <f t="shared" si="61"/>
        <v>0</v>
      </c>
      <c r="N41" s="86"/>
      <c r="O41" s="160"/>
      <c r="P41" s="66">
        <f t="shared" si="62"/>
        <v>0</v>
      </c>
      <c r="Q41" s="86"/>
      <c r="R41" s="160"/>
      <c r="S41" s="66">
        <f t="shared" si="63"/>
        <v>0</v>
      </c>
      <c r="T41" s="86"/>
      <c r="U41" s="160"/>
      <c r="V41" s="66">
        <f t="shared" si="64"/>
        <v>0</v>
      </c>
      <c r="W41" s="86"/>
      <c r="X41" s="160"/>
      <c r="Y41" s="66">
        <f t="shared" si="65"/>
        <v>0</v>
      </c>
      <c r="Z41" s="86"/>
      <c r="AA41" s="160"/>
      <c r="AB41" s="66">
        <f t="shared" si="66"/>
        <v>0</v>
      </c>
      <c r="AC41" s="86"/>
      <c r="AD41" s="160"/>
      <c r="AE41" s="66">
        <f t="shared" si="67"/>
        <v>0</v>
      </c>
      <c r="AF41" s="161">
        <f t="shared" si="68"/>
        <v>0</v>
      </c>
      <c r="AG41" s="162">
        <f t="shared" si="69"/>
        <v>0</v>
      </c>
      <c r="AH41" s="163">
        <f t="shared" si="70"/>
        <v>0</v>
      </c>
      <c r="AI41" s="86"/>
      <c r="AJ41" s="160"/>
      <c r="AK41" s="66">
        <f t="shared" si="71"/>
        <v>0</v>
      </c>
      <c r="AL41" s="86"/>
      <c r="AM41" s="160"/>
      <c r="AN41" s="66">
        <f t="shared" si="72"/>
        <v>0</v>
      </c>
      <c r="AO41" s="86"/>
      <c r="AP41" s="160"/>
      <c r="AQ41" s="66">
        <f t="shared" si="73"/>
        <v>0</v>
      </c>
      <c r="AR41" s="164">
        <f t="shared" si="74"/>
        <v>0</v>
      </c>
      <c r="AS41" s="165">
        <f t="shared" si="75"/>
        <v>0</v>
      </c>
      <c r="AT41" s="166">
        <f t="shared" si="76"/>
        <v>0</v>
      </c>
      <c r="AU41" s="167">
        <f t="shared" si="88"/>
        <v>0</v>
      </c>
      <c r="AV41" s="178">
        <f t="shared" si="88"/>
        <v>0</v>
      </c>
      <c r="AW41" s="325">
        <f t="shared" si="78"/>
        <v>0</v>
      </c>
      <c r="AX41" s="86">
        <v>73833853</v>
      </c>
      <c r="AY41" s="68">
        <v>49283853</v>
      </c>
      <c r="AZ41" s="66">
        <f t="shared" si="79"/>
        <v>-24550000</v>
      </c>
      <c r="BA41" s="170">
        <f t="shared" si="89"/>
        <v>73833853</v>
      </c>
      <c r="BB41" s="171">
        <f t="shared" si="89"/>
        <v>49283853</v>
      </c>
      <c r="BC41" s="325">
        <f t="shared" si="81"/>
        <v>-24550000</v>
      </c>
      <c r="BD41" s="66">
        <f t="shared" si="90"/>
        <v>73833853</v>
      </c>
      <c r="BE41" s="66">
        <f t="shared" si="90"/>
        <v>49283853</v>
      </c>
      <c r="BF41" s="66">
        <f t="shared" si="90"/>
        <v>-24550000</v>
      </c>
      <c r="BG41" s="173">
        <v>17800</v>
      </c>
      <c r="BH41" s="174">
        <f>BG41</f>
        <v>17800</v>
      </c>
      <c r="BI41" s="174">
        <f>BH41</f>
        <v>17800</v>
      </c>
      <c r="BJ41" s="175">
        <f t="shared" si="83"/>
        <v>0</v>
      </c>
      <c r="BK41" s="176">
        <v>25779</v>
      </c>
      <c r="BL41" s="174">
        <f>BK41-592</f>
        <v>25187</v>
      </c>
      <c r="BM41" s="174">
        <f>BL41-592</f>
        <v>24595</v>
      </c>
      <c r="BN41" s="175">
        <f>BL41-BK41</f>
        <v>-592</v>
      </c>
      <c r="BO41" s="173"/>
      <c r="BP41" s="174">
        <f t="shared" si="91"/>
        <v>0</v>
      </c>
      <c r="BQ41" s="174">
        <f t="shared" si="91"/>
        <v>0</v>
      </c>
      <c r="BR41" s="175">
        <f>BP41-BO41</f>
        <v>0</v>
      </c>
      <c r="BS41" s="177"/>
      <c r="BT41" s="158">
        <f t="shared" si="85"/>
        <v>42987</v>
      </c>
    </row>
    <row r="42" spans="1:72" s="5" customFormat="1" ht="14.25" thickBot="1">
      <c r="A42" s="65" t="s">
        <v>117</v>
      </c>
      <c r="B42" s="95"/>
      <c r="C42" s="96"/>
      <c r="D42" s="302">
        <f t="shared" si="58"/>
        <v>0</v>
      </c>
      <c r="E42" s="96"/>
      <c r="F42" s="96"/>
      <c r="G42" s="15">
        <f t="shared" si="59"/>
        <v>0</v>
      </c>
      <c r="H42" s="96"/>
      <c r="I42" s="96"/>
      <c r="J42" s="15">
        <f t="shared" si="60"/>
        <v>0</v>
      </c>
      <c r="K42" s="95"/>
      <c r="L42" s="292"/>
      <c r="M42" s="15">
        <f t="shared" si="61"/>
        <v>0</v>
      </c>
      <c r="N42" s="95"/>
      <c r="O42" s="292"/>
      <c r="P42" s="15">
        <f t="shared" si="62"/>
        <v>0</v>
      </c>
      <c r="Q42" s="95"/>
      <c r="R42" s="292"/>
      <c r="S42" s="15">
        <f t="shared" si="63"/>
        <v>0</v>
      </c>
      <c r="T42" s="95"/>
      <c r="U42" s="292"/>
      <c r="V42" s="15">
        <f t="shared" si="64"/>
        <v>0</v>
      </c>
      <c r="W42" s="95"/>
      <c r="X42" s="292"/>
      <c r="Y42" s="15">
        <f t="shared" si="65"/>
        <v>0</v>
      </c>
      <c r="Z42" s="95"/>
      <c r="AA42" s="292"/>
      <c r="AB42" s="15">
        <f t="shared" si="66"/>
        <v>0</v>
      </c>
      <c r="AC42" s="95"/>
      <c r="AD42" s="292"/>
      <c r="AE42" s="15">
        <f t="shared" si="67"/>
        <v>0</v>
      </c>
      <c r="AF42" s="293">
        <f t="shared" si="68"/>
        <v>0</v>
      </c>
      <c r="AG42" s="294">
        <f t="shared" si="69"/>
        <v>0</v>
      </c>
      <c r="AH42" s="295">
        <f t="shared" si="70"/>
        <v>0</v>
      </c>
      <c r="AI42" s="95"/>
      <c r="AJ42" s="292"/>
      <c r="AK42" s="15">
        <f t="shared" si="71"/>
        <v>0</v>
      </c>
      <c r="AL42" s="95"/>
      <c r="AM42" s="292"/>
      <c r="AN42" s="15">
        <f t="shared" si="72"/>
        <v>0</v>
      </c>
      <c r="AO42" s="95"/>
      <c r="AP42" s="292"/>
      <c r="AQ42" s="15">
        <f t="shared" si="73"/>
        <v>0</v>
      </c>
      <c r="AR42" s="296">
        <f t="shared" si="74"/>
        <v>0</v>
      </c>
      <c r="AS42" s="297">
        <f t="shared" si="75"/>
        <v>0</v>
      </c>
      <c r="AT42" s="298">
        <f t="shared" si="76"/>
        <v>0</v>
      </c>
      <c r="AU42" s="167">
        <f t="shared" si="88"/>
        <v>0</v>
      </c>
      <c r="AV42" s="299">
        <f t="shared" si="88"/>
        <v>0</v>
      </c>
      <c r="AW42" s="328">
        <f t="shared" si="78"/>
        <v>0</v>
      </c>
      <c r="AX42" s="95">
        <v>11395304</v>
      </c>
      <c r="AY42" s="69">
        <v>8617299</v>
      </c>
      <c r="AZ42" s="15">
        <f t="shared" si="79"/>
        <v>-2778005</v>
      </c>
      <c r="BA42" s="300">
        <f t="shared" si="89"/>
        <v>11395304</v>
      </c>
      <c r="BB42" s="301">
        <f t="shared" si="89"/>
        <v>8617299</v>
      </c>
      <c r="BC42" s="328">
        <f t="shared" si="81"/>
        <v>-2778005</v>
      </c>
      <c r="BD42" s="15">
        <f t="shared" si="90"/>
        <v>11395304</v>
      </c>
      <c r="BE42" s="15">
        <f t="shared" si="90"/>
        <v>8617299</v>
      </c>
      <c r="BF42" s="15">
        <f t="shared" si="90"/>
        <v>-2778005</v>
      </c>
      <c r="BG42" s="303">
        <v>3500</v>
      </c>
      <c r="BH42" s="304">
        <f>BG42+17073</f>
        <v>20573</v>
      </c>
      <c r="BI42" s="304">
        <f>BH42+17073</f>
        <v>37646</v>
      </c>
      <c r="BJ42" s="305">
        <f t="shared" si="83"/>
        <v>17073</v>
      </c>
      <c r="BK42" s="306">
        <v>31664</v>
      </c>
      <c r="BL42" s="304">
        <f>BK42-520</f>
        <v>31144</v>
      </c>
      <c r="BM42" s="304">
        <f>BL42-520</f>
        <v>30624</v>
      </c>
      <c r="BN42" s="305">
        <f>BL42-BK42</f>
        <v>-520</v>
      </c>
      <c r="BO42" s="303"/>
      <c r="BP42" s="304">
        <f t="shared" si="91"/>
        <v>0</v>
      </c>
      <c r="BQ42" s="304">
        <f t="shared" si="91"/>
        <v>0</v>
      </c>
      <c r="BR42" s="305">
        <f>BP42-BO42</f>
        <v>0</v>
      </c>
      <c r="BS42" s="157"/>
      <c r="BT42" s="158">
        <f t="shared" si="85"/>
        <v>51717</v>
      </c>
    </row>
    <row r="43" spans="1:72" s="5" customFormat="1" ht="14.25" thickBot="1">
      <c r="A43" s="329" t="s">
        <v>108</v>
      </c>
      <c r="B43" s="213">
        <f>B34+B35+B36+B37+B38</f>
        <v>46478422</v>
      </c>
      <c r="C43" s="213">
        <f>C34+C35+C36+C37+C38</f>
        <v>44891301</v>
      </c>
      <c r="D43" s="229">
        <f t="shared" si="58"/>
        <v>-1587121</v>
      </c>
      <c r="E43" s="216">
        <f>E34+E35+E36+E37+E38</f>
        <v>212707845</v>
      </c>
      <c r="F43" s="216">
        <f>F34+F35+F36+F37+F38</f>
        <v>180073958</v>
      </c>
      <c r="G43" s="214">
        <f t="shared" si="59"/>
        <v>-32633887</v>
      </c>
      <c r="H43" s="216">
        <f>H34+H35+H36+H37+H38</f>
        <v>54914784</v>
      </c>
      <c r="I43" s="216">
        <f>I34+I35+I36+I37+I38</f>
        <v>50930199</v>
      </c>
      <c r="J43" s="214">
        <f t="shared" si="60"/>
        <v>-3984585</v>
      </c>
      <c r="K43" s="213">
        <f>K34+K35+K36+K37+K38</f>
        <v>381018859</v>
      </c>
      <c r="L43" s="215">
        <f>L34+L35+L36+L37+L38</f>
        <v>358863576</v>
      </c>
      <c r="M43" s="214">
        <f t="shared" si="61"/>
        <v>-22155283</v>
      </c>
      <c r="N43" s="213">
        <f>N34+N35+N36+N37+N38</f>
        <v>277722177</v>
      </c>
      <c r="O43" s="215">
        <f>O34+O35+O36+O37+O38</f>
        <v>293140796</v>
      </c>
      <c r="P43" s="214">
        <f t="shared" si="62"/>
        <v>15418619</v>
      </c>
      <c r="Q43" s="213">
        <f>Q34+Q35+Q36+Q37+Q38</f>
        <v>91836622</v>
      </c>
      <c r="R43" s="215">
        <f>R34+R35+R36+R37+R38</f>
        <v>84251064</v>
      </c>
      <c r="S43" s="214">
        <f t="shared" si="63"/>
        <v>-7585558</v>
      </c>
      <c r="T43" s="213">
        <f>T34+T35+T36+T37+T38</f>
        <v>22949283</v>
      </c>
      <c r="U43" s="215">
        <f>U34+U35+U36+U37+U38</f>
        <v>22655200</v>
      </c>
      <c r="V43" s="214">
        <f t="shared" si="64"/>
        <v>-294083</v>
      </c>
      <c r="W43" s="213">
        <f>W34+W35+W36+W37+W38</f>
        <v>50235503</v>
      </c>
      <c r="X43" s="215">
        <f>X34+X35+X36+X37+X38</f>
        <v>47128656</v>
      </c>
      <c r="Y43" s="214">
        <f t="shared" si="65"/>
        <v>-3106847</v>
      </c>
      <c r="Z43" s="213">
        <f>Z34+Z35+Z36+Z37+Z38</f>
        <v>19664600</v>
      </c>
      <c r="AA43" s="215">
        <f>AA34+AA35+AA36+AA37+AA38</f>
        <v>19664600</v>
      </c>
      <c r="AB43" s="214">
        <f t="shared" si="66"/>
        <v>0</v>
      </c>
      <c r="AC43" s="213">
        <f>AC34+AC35+AC36+AC37+AC38</f>
        <v>17022569</v>
      </c>
      <c r="AD43" s="215">
        <f>AD34+AD35+AD36+AD37+AD38</f>
        <v>17022569</v>
      </c>
      <c r="AE43" s="214">
        <f t="shared" si="67"/>
        <v>0</v>
      </c>
      <c r="AF43" s="217">
        <f t="shared" si="68"/>
        <v>201708577</v>
      </c>
      <c r="AG43" s="218">
        <f t="shared" si="69"/>
        <v>190722089</v>
      </c>
      <c r="AH43" s="219">
        <f t="shared" si="70"/>
        <v>-10986488</v>
      </c>
      <c r="AI43" s="213">
        <f>AI34+AI35+AI36+AI37+AI38</f>
        <v>87027311</v>
      </c>
      <c r="AJ43" s="215">
        <f>AJ34+AJ35+AJ36+AJ37+AJ38</f>
        <v>82694130</v>
      </c>
      <c r="AK43" s="214">
        <f t="shared" si="71"/>
        <v>-4333181</v>
      </c>
      <c r="AL43" s="213">
        <f>AL34+AL35+AL36+AL37+AL38</f>
        <v>19334529</v>
      </c>
      <c r="AM43" s="215">
        <f>AM34+AM35+AM36+AM37+AM38</f>
        <v>18414356</v>
      </c>
      <c r="AN43" s="214">
        <f t="shared" si="72"/>
        <v>-920173</v>
      </c>
      <c r="AO43" s="213">
        <f>AO34+AO35+AO36+AO37+AO38</f>
        <v>15424650</v>
      </c>
      <c r="AP43" s="215">
        <f>AP34+AP35+AP36+AP37+AP38</f>
        <v>15404650</v>
      </c>
      <c r="AQ43" s="214">
        <f t="shared" si="73"/>
        <v>-20000</v>
      </c>
      <c r="AR43" s="220">
        <f t="shared" si="74"/>
        <v>121786490</v>
      </c>
      <c r="AS43" s="221">
        <f t="shared" si="75"/>
        <v>116513136</v>
      </c>
      <c r="AT43" s="222">
        <f t="shared" si="76"/>
        <v>-5273354</v>
      </c>
      <c r="AU43" s="223">
        <f>AU34+AU35+AU36+AU37+AU38</f>
        <v>1296337154</v>
      </c>
      <c r="AV43" s="224">
        <f>AV34+AV35+AV36+AV37+AV38</f>
        <v>1235135055</v>
      </c>
      <c r="AW43" s="214">
        <f t="shared" si="78"/>
        <v>-61202099</v>
      </c>
      <c r="AX43" s="213">
        <f>AX34+AX35+AX36+AX37+AX38</f>
        <v>1139851899</v>
      </c>
      <c r="AY43" s="226">
        <f>AY34+AY35+AY36+AY37+AY38</f>
        <v>1107057834</v>
      </c>
      <c r="AZ43" s="227">
        <f t="shared" si="79"/>
        <v>-32794065</v>
      </c>
      <c r="BA43" s="228">
        <f>BA34+BA35+BA36+BA37+BA38</f>
        <v>2436189053</v>
      </c>
      <c r="BB43" s="226">
        <f>BB34+BB35+BB36+BB37+BB38</f>
        <v>2342192889</v>
      </c>
      <c r="BC43" s="227">
        <f t="shared" si="81"/>
        <v>-93996164</v>
      </c>
      <c r="BD43" s="214">
        <f aca="true" t="shared" si="92" ref="BD43:BI43">BD34+BD35+BD36+BD37+BD38</f>
        <v>2436189053</v>
      </c>
      <c r="BE43" s="214">
        <f t="shared" si="92"/>
        <v>2342192889</v>
      </c>
      <c r="BF43" s="214">
        <f t="shared" si="92"/>
        <v>-93996164</v>
      </c>
      <c r="BG43" s="230">
        <f t="shared" si="92"/>
        <v>1427309</v>
      </c>
      <c r="BH43" s="231">
        <f t="shared" si="92"/>
        <v>1514937</v>
      </c>
      <c r="BI43" s="231">
        <f t="shared" si="92"/>
        <v>1602565</v>
      </c>
      <c r="BJ43" s="232">
        <f t="shared" si="83"/>
        <v>87628</v>
      </c>
      <c r="BK43" s="233">
        <f aca="true" t="shared" si="93" ref="BK43:BR43">BK34+BK35+BK36+BK37+BK38</f>
        <v>188606</v>
      </c>
      <c r="BL43" s="231">
        <f t="shared" si="93"/>
        <v>197974</v>
      </c>
      <c r="BM43" s="231">
        <f t="shared" si="93"/>
        <v>207342</v>
      </c>
      <c r="BN43" s="232">
        <f t="shared" si="93"/>
        <v>9368</v>
      </c>
      <c r="BO43" s="230">
        <f t="shared" si="93"/>
        <v>89503</v>
      </c>
      <c r="BP43" s="231">
        <f t="shared" si="93"/>
        <v>89503</v>
      </c>
      <c r="BQ43" s="231">
        <f t="shared" si="93"/>
        <v>89503</v>
      </c>
      <c r="BR43" s="232">
        <f t="shared" si="93"/>
        <v>0</v>
      </c>
      <c r="BS43" s="234"/>
      <c r="BT43" s="158">
        <f t="shared" si="85"/>
        <v>1802414</v>
      </c>
    </row>
    <row r="44" spans="1:72" s="5" customFormat="1" ht="13.5">
      <c r="A44" s="48" t="s">
        <v>58</v>
      </c>
      <c r="B44" s="87">
        <v>2924835</v>
      </c>
      <c r="C44" s="51">
        <v>950169</v>
      </c>
      <c r="D44" s="188">
        <f t="shared" si="58"/>
        <v>-1974666</v>
      </c>
      <c r="E44" s="51">
        <v>2750081</v>
      </c>
      <c r="F44" s="51">
        <v>10156155</v>
      </c>
      <c r="G44" s="14">
        <f t="shared" si="59"/>
        <v>7406074</v>
      </c>
      <c r="H44" s="51">
        <v>500000</v>
      </c>
      <c r="I44" s="51">
        <v>500000</v>
      </c>
      <c r="J44" s="14">
        <f t="shared" si="60"/>
        <v>0</v>
      </c>
      <c r="K44" s="87">
        <v>5000000</v>
      </c>
      <c r="L44" s="180">
        <v>4000000</v>
      </c>
      <c r="M44" s="14">
        <f t="shared" si="61"/>
        <v>-1000000</v>
      </c>
      <c r="N44" s="87">
        <v>2001000</v>
      </c>
      <c r="O44" s="180">
        <v>2001000</v>
      </c>
      <c r="P44" s="14">
        <f t="shared" si="62"/>
        <v>0</v>
      </c>
      <c r="Q44" s="87">
        <v>1050000</v>
      </c>
      <c r="R44" s="180">
        <v>0</v>
      </c>
      <c r="S44" s="14">
        <f t="shared" si="63"/>
        <v>-1050000</v>
      </c>
      <c r="T44" s="87">
        <v>934784</v>
      </c>
      <c r="U44" s="180">
        <v>934784</v>
      </c>
      <c r="V44" s="14">
        <f t="shared" si="64"/>
        <v>0</v>
      </c>
      <c r="W44" s="87">
        <v>580000</v>
      </c>
      <c r="X44" s="180">
        <v>580000</v>
      </c>
      <c r="Y44" s="14">
        <f t="shared" si="65"/>
        <v>0</v>
      </c>
      <c r="Z44" s="87">
        <v>317500</v>
      </c>
      <c r="AA44" s="180">
        <v>317500</v>
      </c>
      <c r="AB44" s="14">
        <f t="shared" si="66"/>
        <v>0</v>
      </c>
      <c r="AC44" s="87">
        <v>304800</v>
      </c>
      <c r="AD44" s="180">
        <v>304800</v>
      </c>
      <c r="AE44" s="14">
        <f t="shared" si="67"/>
        <v>0</v>
      </c>
      <c r="AF44" s="181">
        <f t="shared" si="68"/>
        <v>3187084</v>
      </c>
      <c r="AG44" s="182">
        <f t="shared" si="69"/>
        <v>2137084</v>
      </c>
      <c r="AH44" s="183">
        <f t="shared" si="70"/>
        <v>-1050000</v>
      </c>
      <c r="AI44" s="87">
        <v>1320000</v>
      </c>
      <c r="AJ44" s="180">
        <v>616966</v>
      </c>
      <c r="AK44" s="14">
        <f t="shared" si="71"/>
        <v>-703034</v>
      </c>
      <c r="AL44" s="87">
        <v>330000</v>
      </c>
      <c r="AM44" s="180">
        <v>330000</v>
      </c>
      <c r="AN44" s="14">
        <f t="shared" si="72"/>
        <v>0</v>
      </c>
      <c r="AO44" s="87">
        <v>0</v>
      </c>
      <c r="AP44" s="180">
        <v>20000</v>
      </c>
      <c r="AQ44" s="14">
        <f t="shared" si="73"/>
        <v>20000</v>
      </c>
      <c r="AR44" s="184">
        <f t="shared" si="74"/>
        <v>1650000</v>
      </c>
      <c r="AS44" s="185">
        <f t="shared" si="75"/>
        <v>966966</v>
      </c>
      <c r="AT44" s="186">
        <f t="shared" si="76"/>
        <v>-683034</v>
      </c>
      <c r="AU44" s="167">
        <f>B44+E44+H44+K44+N44+AR44+AF44</f>
        <v>18013000</v>
      </c>
      <c r="AV44" s="178">
        <f>C44+F44+I44+L44+O44+AS44+AG44</f>
        <v>20711374</v>
      </c>
      <c r="AW44" s="324">
        <f t="shared" si="78"/>
        <v>2698374</v>
      </c>
      <c r="AX44" s="87">
        <v>1472694099</v>
      </c>
      <c r="AY44" s="187">
        <v>1457828268</v>
      </c>
      <c r="AZ44" s="14">
        <f t="shared" si="79"/>
        <v>-14865831</v>
      </c>
      <c r="BA44" s="170">
        <f aca="true" t="shared" si="94" ref="BA44:BB49">AX44+AU44</f>
        <v>1490707099</v>
      </c>
      <c r="BB44" s="171">
        <f t="shared" si="94"/>
        <v>1478539642</v>
      </c>
      <c r="BC44" s="324">
        <f t="shared" si="81"/>
        <v>-12167457</v>
      </c>
      <c r="BD44" s="14">
        <f aca="true" t="shared" si="95" ref="BD44:BF45">BA44</f>
        <v>1490707099</v>
      </c>
      <c r="BE44" s="14">
        <f t="shared" si="95"/>
        <v>1478539642</v>
      </c>
      <c r="BF44" s="14">
        <f t="shared" si="95"/>
        <v>-12167457</v>
      </c>
      <c r="BG44" s="189">
        <v>138500</v>
      </c>
      <c r="BH44" s="190">
        <f>BG44+618+75+5177+2500+699+430785</f>
        <v>578354</v>
      </c>
      <c r="BI44" s="190">
        <f>BH44+618+75+5177+2500+699+430785</f>
        <v>1018208</v>
      </c>
      <c r="BJ44" s="191">
        <f t="shared" si="83"/>
        <v>439854</v>
      </c>
      <c r="BK44" s="192">
        <v>21680</v>
      </c>
      <c r="BL44" s="190">
        <f>BK44</f>
        <v>21680</v>
      </c>
      <c r="BM44" s="190">
        <f>BL44</f>
        <v>21680</v>
      </c>
      <c r="BN44" s="191">
        <f aca="true" t="shared" si="96" ref="BN44:BN49">BL44-BK44</f>
        <v>0</v>
      </c>
      <c r="BO44" s="189"/>
      <c r="BP44" s="190">
        <f aca="true" t="shared" si="97" ref="BP44:BQ49">BO44</f>
        <v>0</v>
      </c>
      <c r="BQ44" s="190">
        <f t="shared" si="97"/>
        <v>0</v>
      </c>
      <c r="BR44" s="191">
        <f aca="true" t="shared" si="98" ref="BR44:BR49">BP44-BO44</f>
        <v>0</v>
      </c>
      <c r="BS44" s="157"/>
      <c r="BT44" s="158">
        <f t="shared" si="85"/>
        <v>600034</v>
      </c>
    </row>
    <row r="45" spans="1:72" s="5" customFormat="1" ht="13.5">
      <c r="A45" s="64" t="s">
        <v>17</v>
      </c>
      <c r="B45" s="89">
        <v>100000</v>
      </c>
      <c r="C45" s="90">
        <v>800000</v>
      </c>
      <c r="D45" s="152">
        <f t="shared" si="58"/>
        <v>700000</v>
      </c>
      <c r="E45" s="90">
        <v>100000</v>
      </c>
      <c r="F45" s="90">
        <v>1693139</v>
      </c>
      <c r="G45" s="13">
        <f t="shared" si="59"/>
        <v>1593139</v>
      </c>
      <c r="H45" s="90">
        <v>2040000</v>
      </c>
      <c r="I45" s="90">
        <v>900000</v>
      </c>
      <c r="J45" s="13">
        <f t="shared" si="60"/>
        <v>-1140000</v>
      </c>
      <c r="K45" s="89">
        <v>250000</v>
      </c>
      <c r="L45" s="235">
        <v>0</v>
      </c>
      <c r="M45" s="13">
        <f t="shared" si="61"/>
        <v>-250000</v>
      </c>
      <c r="N45" s="89">
        <v>0</v>
      </c>
      <c r="O45" s="235">
        <v>0</v>
      </c>
      <c r="P45" s="13">
        <f t="shared" si="62"/>
        <v>0</v>
      </c>
      <c r="Q45" s="89">
        <v>0</v>
      </c>
      <c r="R45" s="235">
        <v>0</v>
      </c>
      <c r="S45" s="13">
        <f t="shared" si="63"/>
        <v>0</v>
      </c>
      <c r="T45" s="89">
        <v>50800</v>
      </c>
      <c r="U45" s="235">
        <v>0</v>
      </c>
      <c r="V45" s="13">
        <f t="shared" si="64"/>
        <v>-50800</v>
      </c>
      <c r="W45" s="89">
        <v>3550000</v>
      </c>
      <c r="X45" s="235">
        <v>3550000</v>
      </c>
      <c r="Y45" s="13">
        <f t="shared" si="65"/>
        <v>0</v>
      </c>
      <c r="Z45" s="89">
        <v>748500</v>
      </c>
      <c r="AA45" s="235">
        <v>748500</v>
      </c>
      <c r="AB45" s="13">
        <f t="shared" si="66"/>
        <v>0</v>
      </c>
      <c r="AC45" s="89">
        <v>0</v>
      </c>
      <c r="AD45" s="235">
        <v>0</v>
      </c>
      <c r="AE45" s="13">
        <f t="shared" si="67"/>
        <v>0</v>
      </c>
      <c r="AF45" s="139">
        <f t="shared" si="68"/>
        <v>4349300</v>
      </c>
      <c r="AG45" s="236">
        <f t="shared" si="69"/>
        <v>4298500</v>
      </c>
      <c r="AH45" s="141">
        <f t="shared" si="70"/>
        <v>-50800</v>
      </c>
      <c r="AI45" s="89">
        <v>150000</v>
      </c>
      <c r="AJ45" s="235">
        <v>150000</v>
      </c>
      <c r="AK45" s="13">
        <f t="shared" si="71"/>
        <v>0</v>
      </c>
      <c r="AL45" s="89">
        <v>150000</v>
      </c>
      <c r="AM45" s="235">
        <v>150000</v>
      </c>
      <c r="AN45" s="13">
        <f t="shared" si="72"/>
        <v>0</v>
      </c>
      <c r="AO45" s="89">
        <v>0</v>
      </c>
      <c r="AP45" s="235">
        <v>0</v>
      </c>
      <c r="AQ45" s="13">
        <f t="shared" si="73"/>
        <v>0</v>
      </c>
      <c r="AR45" s="142">
        <f t="shared" si="74"/>
        <v>300000</v>
      </c>
      <c r="AS45" s="237">
        <f t="shared" si="75"/>
        <v>300000</v>
      </c>
      <c r="AT45" s="144">
        <f t="shared" si="76"/>
        <v>0</v>
      </c>
      <c r="AU45" s="167">
        <f>B45+E45+H45+K45+N45+AR45+AF45</f>
        <v>7139300</v>
      </c>
      <c r="AV45" s="146">
        <f>C45+F45+I45+L45+O45+AS45+AG45</f>
        <v>7991639</v>
      </c>
      <c r="AW45" s="323">
        <f t="shared" si="78"/>
        <v>852339</v>
      </c>
      <c r="AX45" s="89">
        <v>47189680</v>
      </c>
      <c r="AY45" s="148">
        <v>56244063</v>
      </c>
      <c r="AZ45" s="13">
        <f t="shared" si="79"/>
        <v>9054383</v>
      </c>
      <c r="BA45" s="150">
        <f t="shared" si="94"/>
        <v>54328980</v>
      </c>
      <c r="BB45" s="151">
        <f t="shared" si="94"/>
        <v>64235702</v>
      </c>
      <c r="BC45" s="323">
        <f t="shared" si="81"/>
        <v>9906722</v>
      </c>
      <c r="BD45" s="13">
        <f t="shared" si="95"/>
        <v>54328980</v>
      </c>
      <c r="BE45" s="13">
        <f t="shared" si="95"/>
        <v>64235702</v>
      </c>
      <c r="BF45" s="13">
        <f t="shared" si="95"/>
        <v>9906722</v>
      </c>
      <c r="BG45" s="153">
        <v>69453</v>
      </c>
      <c r="BH45" s="156">
        <f>BG45+243149</f>
        <v>312602</v>
      </c>
      <c r="BI45" s="156">
        <f>BH45+243149</f>
        <v>555751</v>
      </c>
      <c r="BJ45" s="155">
        <f t="shared" si="83"/>
        <v>243149</v>
      </c>
      <c r="BK45" s="154">
        <v>3800</v>
      </c>
      <c r="BL45" s="156">
        <f>BK45-3800</f>
        <v>0</v>
      </c>
      <c r="BM45" s="156">
        <f>BL45-3800</f>
        <v>-3800</v>
      </c>
      <c r="BN45" s="155">
        <f t="shared" si="96"/>
        <v>-3800</v>
      </c>
      <c r="BO45" s="153"/>
      <c r="BP45" s="156">
        <f t="shared" si="97"/>
        <v>0</v>
      </c>
      <c r="BQ45" s="156">
        <f t="shared" si="97"/>
        <v>0</v>
      </c>
      <c r="BR45" s="155">
        <f t="shared" si="98"/>
        <v>0</v>
      </c>
      <c r="BS45" s="157"/>
      <c r="BT45" s="158">
        <f t="shared" si="85"/>
        <v>312602</v>
      </c>
    </row>
    <row r="46" spans="1:72" s="5" customFormat="1" ht="13.5">
      <c r="A46" s="55" t="s">
        <v>85</v>
      </c>
      <c r="B46" s="87">
        <f>SUM(B47:B49)</f>
        <v>0</v>
      </c>
      <c r="C46" s="87">
        <f>SUM(C47:C49)</f>
        <v>0</v>
      </c>
      <c r="D46" s="188">
        <f t="shared" si="58"/>
        <v>0</v>
      </c>
      <c r="E46" s="51">
        <f>SUM(E47:E49)</f>
        <v>0</v>
      </c>
      <c r="F46" s="51">
        <f>SUM(F47:F49)</f>
        <v>0</v>
      </c>
      <c r="G46" s="14">
        <f t="shared" si="59"/>
        <v>0</v>
      </c>
      <c r="H46" s="51">
        <f>SUM(H47:H49)</f>
        <v>0</v>
      </c>
      <c r="I46" s="51">
        <f>SUM(I47:I49)</f>
        <v>0</v>
      </c>
      <c r="J46" s="14">
        <f t="shared" si="60"/>
        <v>0</v>
      </c>
      <c r="K46" s="87">
        <f>SUM(K47:K49)</f>
        <v>0</v>
      </c>
      <c r="L46" s="87">
        <f>SUM(L47:L49)</f>
        <v>0</v>
      </c>
      <c r="M46" s="14">
        <f t="shared" si="61"/>
        <v>0</v>
      </c>
      <c r="N46" s="87">
        <f>SUM(N47:N49)</f>
        <v>0</v>
      </c>
      <c r="O46" s="87">
        <f>SUM(O47:O49)</f>
        <v>0</v>
      </c>
      <c r="P46" s="14">
        <f t="shared" si="62"/>
        <v>0</v>
      </c>
      <c r="Q46" s="87">
        <f>SUM(Q47:Q49)</f>
        <v>0</v>
      </c>
      <c r="R46" s="180">
        <f>Q46</f>
        <v>0</v>
      </c>
      <c r="S46" s="14">
        <f t="shared" si="63"/>
        <v>0</v>
      </c>
      <c r="T46" s="245">
        <f>SUM(T47:T49)</f>
        <v>0</v>
      </c>
      <c r="U46" s="51">
        <f>SUM(U47:U49)</f>
        <v>0</v>
      </c>
      <c r="V46" s="14">
        <f t="shared" si="64"/>
        <v>0</v>
      </c>
      <c r="W46" s="87">
        <f>SUM(W47:W49)</f>
        <v>0</v>
      </c>
      <c r="X46" s="180">
        <f>W46</f>
        <v>0</v>
      </c>
      <c r="Y46" s="14">
        <f t="shared" si="65"/>
        <v>0</v>
      </c>
      <c r="Z46" s="245">
        <f>SUM(Z47:Z49)</f>
        <v>0</v>
      </c>
      <c r="AA46" s="51">
        <f>SUM(AA47:AA49)</f>
        <v>0</v>
      </c>
      <c r="AB46" s="14">
        <f t="shared" si="66"/>
        <v>0</v>
      </c>
      <c r="AC46" s="245">
        <f>SUM(AC47:AC49)</f>
        <v>0</v>
      </c>
      <c r="AD46" s="51">
        <f>SUM(AD47:AD49)</f>
        <v>0</v>
      </c>
      <c r="AE46" s="14">
        <f t="shared" si="67"/>
        <v>0</v>
      </c>
      <c r="AF46" s="181">
        <f t="shared" si="68"/>
        <v>0</v>
      </c>
      <c r="AG46" s="182">
        <f t="shared" si="69"/>
        <v>0</v>
      </c>
      <c r="AH46" s="183">
        <f t="shared" si="70"/>
        <v>0</v>
      </c>
      <c r="AI46" s="245">
        <f>SUM(AI47:AI49)</f>
        <v>0</v>
      </c>
      <c r="AJ46" s="51">
        <f>SUM(AJ47:AJ49)</f>
        <v>0</v>
      </c>
      <c r="AK46" s="14">
        <f t="shared" si="71"/>
        <v>0</v>
      </c>
      <c r="AL46" s="245">
        <f>SUM(AL47:AL49)</f>
        <v>0</v>
      </c>
      <c r="AM46" s="51">
        <f>SUM(AM47:AM49)</f>
        <v>0</v>
      </c>
      <c r="AN46" s="14">
        <f t="shared" si="72"/>
        <v>0</v>
      </c>
      <c r="AO46" s="245">
        <f>SUM(AO47:AO49)</f>
        <v>0</v>
      </c>
      <c r="AP46" s="51">
        <f>SUM(AP47:AP49)</f>
        <v>0</v>
      </c>
      <c r="AQ46" s="14">
        <f t="shared" si="73"/>
        <v>0</v>
      </c>
      <c r="AR46" s="184">
        <f t="shared" si="74"/>
        <v>0</v>
      </c>
      <c r="AS46" s="185">
        <f t="shared" si="75"/>
        <v>0</v>
      </c>
      <c r="AT46" s="186">
        <f t="shared" si="76"/>
        <v>0</v>
      </c>
      <c r="AU46" s="167">
        <f>B46+E46+H46+K46+N46+Q46+AR46</f>
        <v>0</v>
      </c>
      <c r="AV46" s="178">
        <f>C46+F46+I46+L46+O46+R46+AS46</f>
        <v>0</v>
      </c>
      <c r="AW46" s="324">
        <f t="shared" si="78"/>
        <v>0</v>
      </c>
      <c r="AX46" s="87">
        <f>SUM(AX47:AX49)</f>
        <v>19609165</v>
      </c>
      <c r="AY46" s="187">
        <f>SUM(AY47:AY49)</f>
        <v>21398154</v>
      </c>
      <c r="AZ46" s="14">
        <f t="shared" si="79"/>
        <v>1788989</v>
      </c>
      <c r="BA46" s="170">
        <f t="shared" si="94"/>
        <v>19609165</v>
      </c>
      <c r="BB46" s="171">
        <f t="shared" si="94"/>
        <v>21398154</v>
      </c>
      <c r="BC46" s="324">
        <f t="shared" si="81"/>
        <v>1788989</v>
      </c>
      <c r="BD46" s="14">
        <f aca="true" t="shared" si="99" ref="BD46:BI46">SUM(BD47:BD49)</f>
        <v>19609165</v>
      </c>
      <c r="BE46" s="14">
        <f t="shared" si="99"/>
        <v>21398154</v>
      </c>
      <c r="BF46" s="14">
        <f t="shared" si="99"/>
        <v>1788989</v>
      </c>
      <c r="BG46" s="189">
        <f t="shared" si="99"/>
        <v>5992</v>
      </c>
      <c r="BH46" s="189">
        <f t="shared" si="99"/>
        <v>16391</v>
      </c>
      <c r="BI46" s="189">
        <f t="shared" si="99"/>
        <v>26790</v>
      </c>
      <c r="BJ46" s="191">
        <f t="shared" si="83"/>
        <v>10399</v>
      </c>
      <c r="BK46" s="192">
        <f>SUM(BK47:BK49)</f>
        <v>2988</v>
      </c>
      <c r="BL46" s="190">
        <f>SUM(BL47:BL49)</f>
        <v>4438</v>
      </c>
      <c r="BM46" s="190">
        <f>SUM(BM47:BM49)</f>
        <v>5888</v>
      </c>
      <c r="BN46" s="191">
        <f t="shared" si="96"/>
        <v>1450</v>
      </c>
      <c r="BO46" s="189">
        <f>SUM(BO47:BO49)</f>
        <v>0</v>
      </c>
      <c r="BP46" s="190">
        <f t="shared" si="97"/>
        <v>0</v>
      </c>
      <c r="BQ46" s="190">
        <f t="shared" si="97"/>
        <v>0</v>
      </c>
      <c r="BR46" s="191">
        <f t="shared" si="98"/>
        <v>0</v>
      </c>
      <c r="BS46" s="157"/>
      <c r="BT46" s="158">
        <f t="shared" si="85"/>
        <v>20829</v>
      </c>
    </row>
    <row r="47" spans="1:72" s="5" customFormat="1" ht="13.5">
      <c r="A47" s="65" t="s">
        <v>127</v>
      </c>
      <c r="B47" s="86"/>
      <c r="C47" s="68"/>
      <c r="D47" s="172">
        <f t="shared" si="58"/>
        <v>0</v>
      </c>
      <c r="E47" s="68"/>
      <c r="F47" s="68"/>
      <c r="G47" s="66">
        <f t="shared" si="59"/>
        <v>0</v>
      </c>
      <c r="H47" s="68"/>
      <c r="I47" s="68"/>
      <c r="J47" s="66">
        <f t="shared" si="60"/>
        <v>0</v>
      </c>
      <c r="K47" s="86"/>
      <c r="L47" s="160"/>
      <c r="M47" s="66">
        <f t="shared" si="61"/>
        <v>0</v>
      </c>
      <c r="N47" s="86"/>
      <c r="O47" s="160"/>
      <c r="P47" s="66">
        <f t="shared" si="62"/>
        <v>0</v>
      </c>
      <c r="Q47" s="86"/>
      <c r="R47" s="160"/>
      <c r="S47" s="66">
        <f t="shared" si="63"/>
        <v>0</v>
      </c>
      <c r="T47" s="86"/>
      <c r="U47" s="160"/>
      <c r="V47" s="66">
        <f t="shared" si="64"/>
        <v>0</v>
      </c>
      <c r="W47" s="86"/>
      <c r="X47" s="160"/>
      <c r="Y47" s="66">
        <f t="shared" si="65"/>
        <v>0</v>
      </c>
      <c r="Z47" s="86"/>
      <c r="AA47" s="160"/>
      <c r="AB47" s="66">
        <f t="shared" si="66"/>
        <v>0</v>
      </c>
      <c r="AC47" s="86"/>
      <c r="AD47" s="160"/>
      <c r="AE47" s="66">
        <f t="shared" si="67"/>
        <v>0</v>
      </c>
      <c r="AF47" s="161">
        <f t="shared" si="68"/>
        <v>0</v>
      </c>
      <c r="AG47" s="162">
        <f t="shared" si="69"/>
        <v>0</v>
      </c>
      <c r="AH47" s="163">
        <f t="shared" si="70"/>
        <v>0</v>
      </c>
      <c r="AI47" s="86"/>
      <c r="AJ47" s="160"/>
      <c r="AK47" s="66">
        <f t="shared" si="71"/>
        <v>0</v>
      </c>
      <c r="AL47" s="86"/>
      <c r="AM47" s="160"/>
      <c r="AN47" s="66">
        <f t="shared" si="72"/>
        <v>0</v>
      </c>
      <c r="AO47" s="86"/>
      <c r="AP47" s="160"/>
      <c r="AQ47" s="66">
        <f t="shared" si="73"/>
        <v>0</v>
      </c>
      <c r="AR47" s="164">
        <f t="shared" si="74"/>
        <v>0</v>
      </c>
      <c r="AS47" s="165">
        <f t="shared" si="75"/>
        <v>0</v>
      </c>
      <c r="AT47" s="166">
        <f t="shared" si="76"/>
        <v>0</v>
      </c>
      <c r="AU47" s="167">
        <f aca="true" t="shared" si="100" ref="AU47:AV49">B47+E47+H47+K47+N47+AR47+AF47</f>
        <v>0</v>
      </c>
      <c r="AV47" s="178">
        <f t="shared" si="100"/>
        <v>0</v>
      </c>
      <c r="AW47" s="325">
        <f t="shared" si="78"/>
        <v>0</v>
      </c>
      <c r="AX47" s="86">
        <v>1003165</v>
      </c>
      <c r="AY47" s="68">
        <v>1003165</v>
      </c>
      <c r="AZ47" s="66">
        <f t="shared" si="79"/>
        <v>0</v>
      </c>
      <c r="BA47" s="170">
        <f t="shared" si="94"/>
        <v>1003165</v>
      </c>
      <c r="BB47" s="171">
        <f t="shared" si="94"/>
        <v>1003165</v>
      </c>
      <c r="BC47" s="325">
        <f t="shared" si="81"/>
        <v>0</v>
      </c>
      <c r="BD47" s="66">
        <f aca="true" t="shared" si="101" ref="BD47:BF49">BA47</f>
        <v>1003165</v>
      </c>
      <c r="BE47" s="66">
        <f t="shared" si="101"/>
        <v>1003165</v>
      </c>
      <c r="BF47" s="66">
        <f t="shared" si="101"/>
        <v>0</v>
      </c>
      <c r="BG47" s="173"/>
      <c r="BH47" s="174">
        <f>BG47</f>
        <v>0</v>
      </c>
      <c r="BI47" s="174">
        <f>BH47</f>
        <v>0</v>
      </c>
      <c r="BJ47" s="175">
        <f t="shared" si="83"/>
        <v>0</v>
      </c>
      <c r="BK47" s="176">
        <v>1358</v>
      </c>
      <c r="BL47" s="174">
        <f>BK47</f>
        <v>1358</v>
      </c>
      <c r="BM47" s="174">
        <f>BL47</f>
        <v>1358</v>
      </c>
      <c r="BN47" s="175">
        <f t="shared" si="96"/>
        <v>0</v>
      </c>
      <c r="BO47" s="173"/>
      <c r="BP47" s="174">
        <f t="shared" si="97"/>
        <v>0</v>
      </c>
      <c r="BQ47" s="174">
        <f t="shared" si="97"/>
        <v>0</v>
      </c>
      <c r="BR47" s="175">
        <f t="shared" si="98"/>
        <v>0</v>
      </c>
      <c r="BS47" s="177"/>
      <c r="BT47" s="158">
        <f t="shared" si="85"/>
        <v>1358</v>
      </c>
    </row>
    <row r="48" spans="1:72" s="5" customFormat="1" ht="13.5">
      <c r="A48" s="65" t="s">
        <v>128</v>
      </c>
      <c r="B48" s="86"/>
      <c r="C48" s="68"/>
      <c r="D48" s="172">
        <f t="shared" si="58"/>
        <v>0</v>
      </c>
      <c r="E48" s="68"/>
      <c r="F48" s="68"/>
      <c r="G48" s="66">
        <f t="shared" si="59"/>
        <v>0</v>
      </c>
      <c r="H48" s="68"/>
      <c r="I48" s="68"/>
      <c r="J48" s="66">
        <f t="shared" si="60"/>
        <v>0</v>
      </c>
      <c r="K48" s="86"/>
      <c r="L48" s="160"/>
      <c r="M48" s="66">
        <f t="shared" si="61"/>
        <v>0</v>
      </c>
      <c r="N48" s="86"/>
      <c r="O48" s="160"/>
      <c r="P48" s="66">
        <f t="shared" si="62"/>
        <v>0</v>
      </c>
      <c r="Q48" s="86"/>
      <c r="R48" s="160"/>
      <c r="S48" s="66">
        <f t="shared" si="63"/>
        <v>0</v>
      </c>
      <c r="T48" s="86"/>
      <c r="U48" s="160"/>
      <c r="V48" s="66">
        <f t="shared" si="64"/>
        <v>0</v>
      </c>
      <c r="W48" s="86"/>
      <c r="X48" s="160"/>
      <c r="Y48" s="66">
        <f t="shared" si="65"/>
        <v>0</v>
      </c>
      <c r="Z48" s="86"/>
      <c r="AA48" s="160"/>
      <c r="AB48" s="66">
        <f t="shared" si="66"/>
        <v>0</v>
      </c>
      <c r="AC48" s="86"/>
      <c r="AD48" s="160"/>
      <c r="AE48" s="66">
        <f t="shared" si="67"/>
        <v>0</v>
      </c>
      <c r="AF48" s="161">
        <f t="shared" si="68"/>
        <v>0</v>
      </c>
      <c r="AG48" s="162">
        <f t="shared" si="69"/>
        <v>0</v>
      </c>
      <c r="AH48" s="163">
        <f t="shared" si="70"/>
        <v>0</v>
      </c>
      <c r="AI48" s="86"/>
      <c r="AJ48" s="160"/>
      <c r="AK48" s="66">
        <f t="shared" si="71"/>
        <v>0</v>
      </c>
      <c r="AL48" s="86"/>
      <c r="AM48" s="160"/>
      <c r="AN48" s="66">
        <f t="shared" si="72"/>
        <v>0</v>
      </c>
      <c r="AO48" s="86"/>
      <c r="AP48" s="160"/>
      <c r="AQ48" s="66">
        <f t="shared" si="73"/>
        <v>0</v>
      </c>
      <c r="AR48" s="164">
        <f t="shared" si="74"/>
        <v>0</v>
      </c>
      <c r="AS48" s="165">
        <f t="shared" si="75"/>
        <v>0</v>
      </c>
      <c r="AT48" s="166">
        <f t="shared" si="76"/>
        <v>0</v>
      </c>
      <c r="AU48" s="167">
        <f t="shared" si="100"/>
        <v>0</v>
      </c>
      <c r="AV48" s="178">
        <f t="shared" si="100"/>
        <v>0</v>
      </c>
      <c r="AW48" s="325">
        <f t="shared" si="78"/>
        <v>0</v>
      </c>
      <c r="AX48" s="86">
        <v>17406000</v>
      </c>
      <c r="AY48" s="68">
        <v>18267345</v>
      </c>
      <c r="AZ48" s="66">
        <f t="shared" si="79"/>
        <v>861345</v>
      </c>
      <c r="BA48" s="170">
        <f t="shared" si="94"/>
        <v>17406000</v>
      </c>
      <c r="BB48" s="171">
        <f t="shared" si="94"/>
        <v>18267345</v>
      </c>
      <c r="BC48" s="325">
        <f t="shared" si="81"/>
        <v>861345</v>
      </c>
      <c r="BD48" s="66">
        <f t="shared" si="101"/>
        <v>17406000</v>
      </c>
      <c r="BE48" s="66">
        <f t="shared" si="101"/>
        <v>18267345</v>
      </c>
      <c r="BF48" s="66">
        <f t="shared" si="101"/>
        <v>861345</v>
      </c>
      <c r="BG48" s="173">
        <v>5992</v>
      </c>
      <c r="BH48" s="174">
        <f>BG48</f>
        <v>5992</v>
      </c>
      <c r="BI48" s="174">
        <f>BH48</f>
        <v>5992</v>
      </c>
      <c r="BJ48" s="175">
        <f t="shared" si="83"/>
        <v>0</v>
      </c>
      <c r="BK48" s="176"/>
      <c r="BL48" s="174">
        <f>BK48</f>
        <v>0</v>
      </c>
      <c r="BM48" s="174">
        <f>BL48</f>
        <v>0</v>
      </c>
      <c r="BN48" s="175">
        <f t="shared" si="96"/>
        <v>0</v>
      </c>
      <c r="BO48" s="173"/>
      <c r="BP48" s="174">
        <f t="shared" si="97"/>
        <v>0</v>
      </c>
      <c r="BQ48" s="174">
        <f t="shared" si="97"/>
        <v>0</v>
      </c>
      <c r="BR48" s="175">
        <f t="shared" si="98"/>
        <v>0</v>
      </c>
      <c r="BS48" s="177"/>
      <c r="BT48" s="158">
        <f t="shared" si="85"/>
        <v>5992</v>
      </c>
    </row>
    <row r="49" spans="1:72" s="5" customFormat="1" ht="14.25" thickBot="1">
      <c r="A49" s="65" t="s">
        <v>129</v>
      </c>
      <c r="B49" s="97"/>
      <c r="C49" s="69"/>
      <c r="D49" s="330">
        <f t="shared" si="58"/>
        <v>0</v>
      </c>
      <c r="E49" s="69"/>
      <c r="F49" s="69"/>
      <c r="G49" s="67">
        <f t="shared" si="59"/>
        <v>0</v>
      </c>
      <c r="H49" s="69"/>
      <c r="I49" s="69"/>
      <c r="J49" s="67">
        <f t="shared" si="60"/>
        <v>0</v>
      </c>
      <c r="K49" s="97"/>
      <c r="L49" s="331"/>
      <c r="M49" s="67">
        <f t="shared" si="61"/>
        <v>0</v>
      </c>
      <c r="N49" s="97"/>
      <c r="O49" s="331"/>
      <c r="P49" s="67">
        <f t="shared" si="62"/>
        <v>0</v>
      </c>
      <c r="Q49" s="97"/>
      <c r="R49" s="331"/>
      <c r="S49" s="67">
        <f t="shared" si="63"/>
        <v>0</v>
      </c>
      <c r="T49" s="97"/>
      <c r="U49" s="331"/>
      <c r="V49" s="67">
        <f t="shared" si="64"/>
        <v>0</v>
      </c>
      <c r="W49" s="97"/>
      <c r="X49" s="331"/>
      <c r="Y49" s="67">
        <f t="shared" si="65"/>
        <v>0</v>
      </c>
      <c r="Z49" s="97"/>
      <c r="AA49" s="331"/>
      <c r="AB49" s="67">
        <f t="shared" si="66"/>
        <v>0</v>
      </c>
      <c r="AC49" s="97"/>
      <c r="AD49" s="331"/>
      <c r="AE49" s="67">
        <f t="shared" si="67"/>
        <v>0</v>
      </c>
      <c r="AF49" s="332">
        <f t="shared" si="68"/>
        <v>0</v>
      </c>
      <c r="AG49" s="333">
        <f t="shared" si="69"/>
        <v>0</v>
      </c>
      <c r="AH49" s="334">
        <f t="shared" si="70"/>
        <v>0</v>
      </c>
      <c r="AI49" s="97"/>
      <c r="AJ49" s="331"/>
      <c r="AK49" s="67">
        <f t="shared" si="71"/>
        <v>0</v>
      </c>
      <c r="AL49" s="97"/>
      <c r="AM49" s="331"/>
      <c r="AN49" s="67">
        <f t="shared" si="72"/>
        <v>0</v>
      </c>
      <c r="AO49" s="97"/>
      <c r="AP49" s="331"/>
      <c r="AQ49" s="67">
        <f t="shared" si="73"/>
        <v>0</v>
      </c>
      <c r="AR49" s="335">
        <f t="shared" si="74"/>
        <v>0</v>
      </c>
      <c r="AS49" s="336">
        <f t="shared" si="75"/>
        <v>0</v>
      </c>
      <c r="AT49" s="337">
        <f t="shared" si="76"/>
        <v>0</v>
      </c>
      <c r="AU49" s="167">
        <f t="shared" si="100"/>
        <v>0</v>
      </c>
      <c r="AV49" s="299">
        <f t="shared" si="100"/>
        <v>0</v>
      </c>
      <c r="AW49" s="338">
        <f t="shared" si="78"/>
        <v>0</v>
      </c>
      <c r="AX49" s="97">
        <v>1200000</v>
      </c>
      <c r="AY49" s="69">
        <v>2127644</v>
      </c>
      <c r="AZ49" s="67">
        <f t="shared" si="79"/>
        <v>927644</v>
      </c>
      <c r="BA49" s="300">
        <f t="shared" si="94"/>
        <v>1200000</v>
      </c>
      <c r="BB49" s="301">
        <f t="shared" si="94"/>
        <v>2127644</v>
      </c>
      <c r="BC49" s="338">
        <f t="shared" si="81"/>
        <v>927644</v>
      </c>
      <c r="BD49" s="67">
        <f t="shared" si="101"/>
        <v>1200000</v>
      </c>
      <c r="BE49" s="67">
        <f t="shared" si="101"/>
        <v>2127644</v>
      </c>
      <c r="BF49" s="67">
        <f t="shared" si="101"/>
        <v>927644</v>
      </c>
      <c r="BG49" s="339"/>
      <c r="BH49" s="340">
        <f>BG49+10649-250</f>
        <v>10399</v>
      </c>
      <c r="BI49" s="340">
        <f>BH49+10649-250</f>
        <v>20798</v>
      </c>
      <c r="BJ49" s="341">
        <f t="shared" si="83"/>
        <v>10399</v>
      </c>
      <c r="BK49" s="342">
        <v>1630</v>
      </c>
      <c r="BL49" s="340">
        <f>BK49+1200+250</f>
        <v>3080</v>
      </c>
      <c r="BM49" s="340">
        <f>BL49+1200+250</f>
        <v>4530</v>
      </c>
      <c r="BN49" s="341">
        <f t="shared" si="96"/>
        <v>1450</v>
      </c>
      <c r="BO49" s="339"/>
      <c r="BP49" s="340">
        <f t="shared" si="97"/>
        <v>0</v>
      </c>
      <c r="BQ49" s="340">
        <f t="shared" si="97"/>
        <v>0</v>
      </c>
      <c r="BR49" s="341">
        <f t="shared" si="98"/>
        <v>0</v>
      </c>
      <c r="BS49" s="177"/>
      <c r="BT49" s="158">
        <f t="shared" si="85"/>
        <v>13479</v>
      </c>
    </row>
    <row r="50" spans="1:72" s="5" customFormat="1" ht="14.25" thickBot="1">
      <c r="A50" s="329" t="s">
        <v>109</v>
      </c>
      <c r="B50" s="213">
        <f>B44+B45+B46</f>
        <v>3024835</v>
      </c>
      <c r="C50" s="213">
        <f>C44+C45+C46</f>
        <v>1750169</v>
      </c>
      <c r="D50" s="229">
        <f t="shared" si="58"/>
        <v>-1274666</v>
      </c>
      <c r="E50" s="216">
        <f>E44+E45+E46</f>
        <v>2850081</v>
      </c>
      <c r="F50" s="216">
        <f>F44+F45+F46</f>
        <v>11849294</v>
      </c>
      <c r="G50" s="214">
        <f t="shared" si="59"/>
        <v>8999213</v>
      </c>
      <c r="H50" s="216">
        <f>H44+H45+H46</f>
        <v>2540000</v>
      </c>
      <c r="I50" s="216">
        <f>I44+I45+I46</f>
        <v>1400000</v>
      </c>
      <c r="J50" s="214">
        <f t="shared" si="60"/>
        <v>-1140000</v>
      </c>
      <c r="K50" s="213">
        <f>K44+K45+K46</f>
        <v>5250000</v>
      </c>
      <c r="L50" s="215">
        <f>L44+L45+L46</f>
        <v>4000000</v>
      </c>
      <c r="M50" s="214">
        <f t="shared" si="61"/>
        <v>-1250000</v>
      </c>
      <c r="N50" s="213">
        <f>N44+N45+N46</f>
        <v>2001000</v>
      </c>
      <c r="O50" s="215">
        <f>O44+O45+O46</f>
        <v>2001000</v>
      </c>
      <c r="P50" s="214">
        <f t="shared" si="62"/>
        <v>0</v>
      </c>
      <c r="Q50" s="213">
        <f>Q44+Q45+Q46</f>
        <v>1050000</v>
      </c>
      <c r="R50" s="215">
        <f>R44+R45+R46</f>
        <v>0</v>
      </c>
      <c r="S50" s="214">
        <f t="shared" si="63"/>
        <v>-1050000</v>
      </c>
      <c r="T50" s="213">
        <f>T44+T45+T46</f>
        <v>985584</v>
      </c>
      <c r="U50" s="215">
        <f>U44+U45+U46</f>
        <v>934784</v>
      </c>
      <c r="V50" s="214">
        <f t="shared" si="64"/>
        <v>-50800</v>
      </c>
      <c r="W50" s="213">
        <f>W44+W45+W46</f>
        <v>4130000</v>
      </c>
      <c r="X50" s="215">
        <f>X44+X45+X46</f>
        <v>4130000</v>
      </c>
      <c r="Y50" s="214">
        <f t="shared" si="65"/>
        <v>0</v>
      </c>
      <c r="Z50" s="213">
        <f>Z44+Z45+Z46</f>
        <v>1066000</v>
      </c>
      <c r="AA50" s="215">
        <f>AA44+AA45+AA46</f>
        <v>1066000</v>
      </c>
      <c r="AB50" s="214">
        <f t="shared" si="66"/>
        <v>0</v>
      </c>
      <c r="AC50" s="213">
        <f>AC44+AC45+AC46</f>
        <v>304800</v>
      </c>
      <c r="AD50" s="215">
        <f>AD44+AD45+AD46</f>
        <v>304800</v>
      </c>
      <c r="AE50" s="214">
        <f t="shared" si="67"/>
        <v>0</v>
      </c>
      <c r="AF50" s="217">
        <f t="shared" si="68"/>
        <v>7536384</v>
      </c>
      <c r="AG50" s="218">
        <f t="shared" si="69"/>
        <v>6435584</v>
      </c>
      <c r="AH50" s="219">
        <f t="shared" si="70"/>
        <v>-1100800</v>
      </c>
      <c r="AI50" s="213">
        <f>AI44+AI45+AI46</f>
        <v>1470000</v>
      </c>
      <c r="AJ50" s="215">
        <f>AJ44+AJ45+AJ46</f>
        <v>766966</v>
      </c>
      <c r="AK50" s="214">
        <f t="shared" si="71"/>
        <v>-703034</v>
      </c>
      <c r="AL50" s="213">
        <f>AL44+AL45+AL46</f>
        <v>480000</v>
      </c>
      <c r="AM50" s="215">
        <f>AM44+AM45+AM46</f>
        <v>480000</v>
      </c>
      <c r="AN50" s="214">
        <f t="shared" si="72"/>
        <v>0</v>
      </c>
      <c r="AO50" s="213">
        <f>AO44+AO45+AO46</f>
        <v>0</v>
      </c>
      <c r="AP50" s="215">
        <f>AP44+AP45+AP46</f>
        <v>20000</v>
      </c>
      <c r="AQ50" s="214">
        <f t="shared" si="73"/>
        <v>20000</v>
      </c>
      <c r="AR50" s="220">
        <f t="shared" si="74"/>
        <v>1950000</v>
      </c>
      <c r="AS50" s="221">
        <f t="shared" si="75"/>
        <v>1266966</v>
      </c>
      <c r="AT50" s="222">
        <f t="shared" si="76"/>
        <v>-683034</v>
      </c>
      <c r="AU50" s="223">
        <f>AU44+AU45+AU46</f>
        <v>25152300</v>
      </c>
      <c r="AV50" s="224">
        <f>AV44+AV45+AV46</f>
        <v>28703013</v>
      </c>
      <c r="AW50" s="214">
        <f t="shared" si="78"/>
        <v>3550713</v>
      </c>
      <c r="AX50" s="213">
        <f>AX44+AX45+AX46</f>
        <v>1539492944</v>
      </c>
      <c r="AY50" s="226">
        <f>AY44+AY45+AY46</f>
        <v>1535470485</v>
      </c>
      <c r="AZ50" s="227">
        <f t="shared" si="79"/>
        <v>-4022459</v>
      </c>
      <c r="BA50" s="228">
        <f>BA44+BA45+BA46</f>
        <v>1564645244</v>
      </c>
      <c r="BB50" s="226">
        <f>BB44+BB45+BB46</f>
        <v>1564173498</v>
      </c>
      <c r="BC50" s="227">
        <f t="shared" si="81"/>
        <v>-471746</v>
      </c>
      <c r="BD50" s="214">
        <f aca="true" t="shared" si="102" ref="BD50:BI50">BD44+BD45+BD46</f>
        <v>1564645244</v>
      </c>
      <c r="BE50" s="214">
        <f t="shared" si="102"/>
        <v>1564173498</v>
      </c>
      <c r="BF50" s="214">
        <f t="shared" si="102"/>
        <v>-471746</v>
      </c>
      <c r="BG50" s="230">
        <f t="shared" si="102"/>
        <v>213945</v>
      </c>
      <c r="BH50" s="231">
        <f t="shared" si="102"/>
        <v>907347</v>
      </c>
      <c r="BI50" s="231">
        <f t="shared" si="102"/>
        <v>1600749</v>
      </c>
      <c r="BJ50" s="232">
        <f t="shared" si="83"/>
        <v>693402</v>
      </c>
      <c r="BK50" s="233">
        <f aca="true" t="shared" si="103" ref="BK50:BR50">BK44+BK45+BK46</f>
        <v>28468</v>
      </c>
      <c r="BL50" s="231">
        <f t="shared" si="103"/>
        <v>26118</v>
      </c>
      <c r="BM50" s="231">
        <f t="shared" si="103"/>
        <v>23768</v>
      </c>
      <c r="BN50" s="232">
        <f t="shared" si="103"/>
        <v>-2350</v>
      </c>
      <c r="BO50" s="230">
        <f t="shared" si="103"/>
        <v>0</v>
      </c>
      <c r="BP50" s="231">
        <f t="shared" si="103"/>
        <v>0</v>
      </c>
      <c r="BQ50" s="231">
        <f t="shared" si="103"/>
        <v>0</v>
      </c>
      <c r="BR50" s="232">
        <f t="shared" si="103"/>
        <v>0</v>
      </c>
      <c r="BS50" s="234"/>
      <c r="BT50" s="158">
        <f t="shared" si="85"/>
        <v>933465</v>
      </c>
    </row>
    <row r="51" spans="1:72" s="7" customFormat="1" ht="15.75" customHeight="1" thickBot="1">
      <c r="A51" s="343" t="s">
        <v>110</v>
      </c>
      <c r="B51" s="262">
        <f>B50+B43</f>
        <v>49503257</v>
      </c>
      <c r="C51" s="262">
        <f>C50+C43</f>
        <v>46641470</v>
      </c>
      <c r="D51" s="267">
        <f t="shared" si="58"/>
        <v>-2861787</v>
      </c>
      <c r="E51" s="261">
        <f>E50+E43</f>
        <v>215557926</v>
      </c>
      <c r="F51" s="261">
        <f>F50+F43</f>
        <v>191923252</v>
      </c>
      <c r="G51" s="344">
        <f t="shared" si="59"/>
        <v>-23634674</v>
      </c>
      <c r="H51" s="261">
        <f>H50+H43</f>
        <v>57454784</v>
      </c>
      <c r="I51" s="261">
        <f>I50+I43</f>
        <v>52330199</v>
      </c>
      <c r="J51" s="344">
        <f t="shared" si="60"/>
        <v>-5124585</v>
      </c>
      <c r="K51" s="262">
        <f>K50+K43</f>
        <v>386268859</v>
      </c>
      <c r="L51" s="260">
        <f>L50+L43</f>
        <v>362863576</v>
      </c>
      <c r="M51" s="344">
        <f t="shared" si="61"/>
        <v>-23405283</v>
      </c>
      <c r="N51" s="262">
        <f>N50+N43</f>
        <v>279723177</v>
      </c>
      <c r="O51" s="260">
        <f>O50+O43</f>
        <v>295141796</v>
      </c>
      <c r="P51" s="344">
        <f t="shared" si="62"/>
        <v>15418619</v>
      </c>
      <c r="Q51" s="262">
        <f>Q50+Q43</f>
        <v>92886622</v>
      </c>
      <c r="R51" s="260">
        <f>R50+R43</f>
        <v>84251064</v>
      </c>
      <c r="S51" s="344">
        <f t="shared" si="63"/>
        <v>-8635558</v>
      </c>
      <c r="T51" s="262">
        <f>T50+T43</f>
        <v>23934867</v>
      </c>
      <c r="U51" s="260">
        <f>U50+U43</f>
        <v>23589984</v>
      </c>
      <c r="V51" s="344">
        <f t="shared" si="64"/>
        <v>-344883</v>
      </c>
      <c r="W51" s="262">
        <f>W50+W43</f>
        <v>54365503</v>
      </c>
      <c r="X51" s="260">
        <f>X50+X43</f>
        <v>51258656</v>
      </c>
      <c r="Y51" s="344">
        <f t="shared" si="65"/>
        <v>-3106847</v>
      </c>
      <c r="Z51" s="262">
        <f>Z50+Z43</f>
        <v>20730600</v>
      </c>
      <c r="AA51" s="260">
        <f>AA50+AA43</f>
        <v>20730600</v>
      </c>
      <c r="AB51" s="344">
        <f t="shared" si="66"/>
        <v>0</v>
      </c>
      <c r="AC51" s="262">
        <f>AC50+AC43</f>
        <v>17327369</v>
      </c>
      <c r="AD51" s="260">
        <f>AD50+AD43</f>
        <v>17327369</v>
      </c>
      <c r="AE51" s="344">
        <f t="shared" si="67"/>
        <v>0</v>
      </c>
      <c r="AF51" s="263">
        <f t="shared" si="68"/>
        <v>209244961</v>
      </c>
      <c r="AG51" s="345">
        <f t="shared" si="69"/>
        <v>197157673</v>
      </c>
      <c r="AH51" s="346">
        <f t="shared" si="70"/>
        <v>-12087288</v>
      </c>
      <c r="AI51" s="262">
        <f>AI50+AI43</f>
        <v>88497311</v>
      </c>
      <c r="AJ51" s="260">
        <f>AJ50+AJ43</f>
        <v>83461096</v>
      </c>
      <c r="AK51" s="344">
        <f t="shared" si="71"/>
        <v>-5036215</v>
      </c>
      <c r="AL51" s="262">
        <f>AL50+AL43</f>
        <v>19814529</v>
      </c>
      <c r="AM51" s="260">
        <f>AM50+AM43</f>
        <v>18894356</v>
      </c>
      <c r="AN51" s="344">
        <f t="shared" si="72"/>
        <v>-920173</v>
      </c>
      <c r="AO51" s="262">
        <f>AO50+AO43</f>
        <v>15424650</v>
      </c>
      <c r="AP51" s="260">
        <f>AP50+AP43</f>
        <v>15424650</v>
      </c>
      <c r="AQ51" s="344">
        <f t="shared" si="73"/>
        <v>0</v>
      </c>
      <c r="AR51" s="264">
        <f t="shared" si="74"/>
        <v>123736490</v>
      </c>
      <c r="AS51" s="347">
        <f t="shared" si="75"/>
        <v>117780102</v>
      </c>
      <c r="AT51" s="348">
        <f t="shared" si="76"/>
        <v>-5956388</v>
      </c>
      <c r="AU51" s="265">
        <f>AU50+AU43</f>
        <v>1321489454</v>
      </c>
      <c r="AV51" s="349">
        <f>AV50+AV43</f>
        <v>1263838068</v>
      </c>
      <c r="AW51" s="344">
        <f t="shared" si="78"/>
        <v>-57651386</v>
      </c>
      <c r="AX51" s="262">
        <f>AX50+AX43</f>
        <v>2679344843</v>
      </c>
      <c r="AY51" s="350">
        <f>AY50+AY43</f>
        <v>2642528319</v>
      </c>
      <c r="AZ51" s="351">
        <f t="shared" si="79"/>
        <v>-36816524</v>
      </c>
      <c r="BA51" s="266">
        <f>BA50+BA43</f>
        <v>4000834297</v>
      </c>
      <c r="BB51" s="350">
        <f>BB50+BB43</f>
        <v>3906366387</v>
      </c>
      <c r="BC51" s="351">
        <f t="shared" si="81"/>
        <v>-94467910</v>
      </c>
      <c r="BD51" s="344">
        <f aca="true" t="shared" si="104" ref="BD51:BI51">BD50+BD43</f>
        <v>4000834297</v>
      </c>
      <c r="BE51" s="344">
        <f t="shared" si="104"/>
        <v>3906366387</v>
      </c>
      <c r="BF51" s="344">
        <f t="shared" si="104"/>
        <v>-94467910</v>
      </c>
      <c r="BG51" s="268">
        <f t="shared" si="104"/>
        <v>1641254</v>
      </c>
      <c r="BH51" s="352">
        <f t="shared" si="104"/>
        <v>2422284</v>
      </c>
      <c r="BI51" s="352">
        <f t="shared" si="104"/>
        <v>3203314</v>
      </c>
      <c r="BJ51" s="353">
        <f t="shared" si="83"/>
        <v>781030</v>
      </c>
      <c r="BK51" s="269">
        <f aca="true" t="shared" si="105" ref="BK51:BR51">BK50+BK43</f>
        <v>217074</v>
      </c>
      <c r="BL51" s="352">
        <f t="shared" si="105"/>
        <v>224092</v>
      </c>
      <c r="BM51" s="352">
        <f t="shared" si="105"/>
        <v>231110</v>
      </c>
      <c r="BN51" s="353">
        <f t="shared" si="105"/>
        <v>7018</v>
      </c>
      <c r="BO51" s="268">
        <f t="shared" si="105"/>
        <v>89503</v>
      </c>
      <c r="BP51" s="352">
        <f t="shared" si="105"/>
        <v>89503</v>
      </c>
      <c r="BQ51" s="352">
        <f t="shared" si="105"/>
        <v>89503</v>
      </c>
      <c r="BR51" s="353">
        <f t="shared" si="105"/>
        <v>0</v>
      </c>
      <c r="BS51" s="234"/>
      <c r="BT51" s="158">
        <f t="shared" si="85"/>
        <v>2735879</v>
      </c>
    </row>
    <row r="52" spans="1:73" s="5" customFormat="1" ht="15.75" customHeight="1" thickBot="1">
      <c r="A52" s="354" t="s">
        <v>111</v>
      </c>
      <c r="B52" s="228">
        <v>0</v>
      </c>
      <c r="C52" s="228">
        <v>0</v>
      </c>
      <c r="D52" s="355">
        <f t="shared" si="58"/>
        <v>0</v>
      </c>
      <c r="E52" s="226">
        <v>0</v>
      </c>
      <c r="F52" s="226">
        <v>0</v>
      </c>
      <c r="G52" s="227">
        <f t="shared" si="59"/>
        <v>0</v>
      </c>
      <c r="H52" s="226">
        <v>0</v>
      </c>
      <c r="I52" s="226">
        <v>0</v>
      </c>
      <c r="J52" s="227">
        <f t="shared" si="60"/>
        <v>0</v>
      </c>
      <c r="K52" s="228">
        <v>0</v>
      </c>
      <c r="L52" s="356">
        <v>0</v>
      </c>
      <c r="M52" s="227">
        <f t="shared" si="61"/>
        <v>0</v>
      </c>
      <c r="N52" s="228">
        <v>0</v>
      </c>
      <c r="O52" s="356">
        <v>0</v>
      </c>
      <c r="P52" s="227">
        <f t="shared" si="62"/>
        <v>0</v>
      </c>
      <c r="Q52" s="228">
        <v>0</v>
      </c>
      <c r="R52" s="356">
        <v>0</v>
      </c>
      <c r="S52" s="227">
        <f t="shared" si="63"/>
        <v>0</v>
      </c>
      <c r="T52" s="228">
        <v>0</v>
      </c>
      <c r="U52" s="356">
        <v>0</v>
      </c>
      <c r="V52" s="227">
        <f t="shared" si="64"/>
        <v>0</v>
      </c>
      <c r="W52" s="228">
        <v>0</v>
      </c>
      <c r="X52" s="356">
        <v>0</v>
      </c>
      <c r="Y52" s="227">
        <f t="shared" si="65"/>
        <v>0</v>
      </c>
      <c r="Z52" s="228">
        <v>0</v>
      </c>
      <c r="AA52" s="356">
        <v>0</v>
      </c>
      <c r="AB52" s="227">
        <f t="shared" si="66"/>
        <v>0</v>
      </c>
      <c r="AC52" s="228">
        <v>0</v>
      </c>
      <c r="AD52" s="356">
        <v>0</v>
      </c>
      <c r="AE52" s="227">
        <f t="shared" si="67"/>
        <v>0</v>
      </c>
      <c r="AF52" s="357">
        <f t="shared" si="68"/>
        <v>0</v>
      </c>
      <c r="AG52" s="358">
        <f t="shared" si="69"/>
        <v>0</v>
      </c>
      <c r="AH52" s="359">
        <f t="shared" si="70"/>
        <v>0</v>
      </c>
      <c r="AI52" s="228">
        <v>0</v>
      </c>
      <c r="AJ52" s="356">
        <v>0</v>
      </c>
      <c r="AK52" s="227">
        <f t="shared" si="71"/>
        <v>0</v>
      </c>
      <c r="AL52" s="228">
        <v>0</v>
      </c>
      <c r="AM52" s="356">
        <v>0</v>
      </c>
      <c r="AN52" s="227">
        <f t="shared" si="72"/>
        <v>0</v>
      </c>
      <c r="AO52" s="228">
        <v>0</v>
      </c>
      <c r="AP52" s="356">
        <v>0</v>
      </c>
      <c r="AQ52" s="227">
        <f t="shared" si="73"/>
        <v>0</v>
      </c>
      <c r="AR52" s="360">
        <f t="shared" si="74"/>
        <v>0</v>
      </c>
      <c r="AS52" s="361">
        <f t="shared" si="75"/>
        <v>0</v>
      </c>
      <c r="AT52" s="362">
        <f t="shared" si="76"/>
        <v>0</v>
      </c>
      <c r="AU52" s="223">
        <f>B52+E52+H52+K52+N52+AR52+AF52</f>
        <v>0</v>
      </c>
      <c r="AV52" s="224">
        <f>C52+F52+I52+L52+O52+AS52+AG52</f>
        <v>0</v>
      </c>
      <c r="AW52" s="227">
        <f t="shared" si="78"/>
        <v>0</v>
      </c>
      <c r="AX52" s="228">
        <f>34526720+AU24</f>
        <v>1094350713</v>
      </c>
      <c r="AY52" s="226">
        <f>34526720+AV24</f>
        <v>1040323875</v>
      </c>
      <c r="AZ52" s="227">
        <f t="shared" si="79"/>
        <v>-54026838</v>
      </c>
      <c r="BA52" s="228">
        <f>AX52+AU52</f>
        <v>1094350713</v>
      </c>
      <c r="BB52" s="226">
        <f>AY52+AV52</f>
        <v>1040323875</v>
      </c>
      <c r="BC52" s="227">
        <f t="shared" si="81"/>
        <v>-54026838</v>
      </c>
      <c r="BD52" s="227">
        <f>BA52-AU24</f>
        <v>34526720</v>
      </c>
      <c r="BE52" s="227">
        <f>BB52-AV24</f>
        <v>34526720</v>
      </c>
      <c r="BF52" s="227">
        <f>BC52-AW24</f>
        <v>0</v>
      </c>
      <c r="BG52" s="363">
        <v>29068</v>
      </c>
      <c r="BH52" s="364">
        <f>BG52</f>
        <v>29068</v>
      </c>
      <c r="BI52" s="364">
        <f>BH52</f>
        <v>29068</v>
      </c>
      <c r="BJ52" s="365">
        <f t="shared" si="83"/>
        <v>0</v>
      </c>
      <c r="BK52" s="366"/>
      <c r="BL52" s="364">
        <f>BK52</f>
        <v>0</v>
      </c>
      <c r="BM52" s="364">
        <f>BL52</f>
        <v>0</v>
      </c>
      <c r="BN52" s="365">
        <f>BL52-BK52</f>
        <v>0</v>
      </c>
      <c r="BO52" s="363"/>
      <c r="BP52" s="364">
        <f>BO52</f>
        <v>0</v>
      </c>
      <c r="BQ52" s="364">
        <f>BP52</f>
        <v>0</v>
      </c>
      <c r="BR52" s="365">
        <f>BP52-BO52</f>
        <v>0</v>
      </c>
      <c r="BS52" s="367"/>
      <c r="BT52" s="158">
        <f t="shared" si="85"/>
        <v>29068</v>
      </c>
      <c r="BU52" s="19"/>
    </row>
    <row r="53" spans="1:72" s="7" customFormat="1" ht="15.75" customHeight="1" thickBot="1">
      <c r="A53" s="368" t="s">
        <v>29</v>
      </c>
      <c r="B53" s="310">
        <f>B52+B51</f>
        <v>49503257</v>
      </c>
      <c r="C53" s="310">
        <f>C52+C51</f>
        <v>46641470</v>
      </c>
      <c r="D53" s="315">
        <f t="shared" si="58"/>
        <v>-2861787</v>
      </c>
      <c r="E53" s="309">
        <f>E52+E51</f>
        <v>215557926</v>
      </c>
      <c r="F53" s="309">
        <f>F52+F51</f>
        <v>191923252</v>
      </c>
      <c r="G53" s="369">
        <f t="shared" si="59"/>
        <v>-23634674</v>
      </c>
      <c r="H53" s="309">
        <f>H52+H51</f>
        <v>57454784</v>
      </c>
      <c r="I53" s="309">
        <f>I52+I51</f>
        <v>52330199</v>
      </c>
      <c r="J53" s="369">
        <f t="shared" si="60"/>
        <v>-5124585</v>
      </c>
      <c r="K53" s="310">
        <f>K52+K51</f>
        <v>386268859</v>
      </c>
      <c r="L53" s="308">
        <f>L52+L51</f>
        <v>362863576</v>
      </c>
      <c r="M53" s="369">
        <f t="shared" si="61"/>
        <v>-23405283</v>
      </c>
      <c r="N53" s="310">
        <f>N52+N51</f>
        <v>279723177</v>
      </c>
      <c r="O53" s="308">
        <f>O52+O51</f>
        <v>295141796</v>
      </c>
      <c r="P53" s="369">
        <f t="shared" si="62"/>
        <v>15418619</v>
      </c>
      <c r="Q53" s="310">
        <f>Q52+Q51</f>
        <v>92886622</v>
      </c>
      <c r="R53" s="308">
        <f>R52+R51</f>
        <v>84251064</v>
      </c>
      <c r="S53" s="369">
        <f t="shared" si="63"/>
        <v>-8635558</v>
      </c>
      <c r="T53" s="310">
        <f>T52+T51</f>
        <v>23934867</v>
      </c>
      <c r="U53" s="308">
        <f>U52+U51</f>
        <v>23589984</v>
      </c>
      <c r="V53" s="369">
        <f t="shared" si="64"/>
        <v>-344883</v>
      </c>
      <c r="W53" s="310">
        <f>W52+W51</f>
        <v>54365503</v>
      </c>
      <c r="X53" s="308">
        <f>X52+X51</f>
        <v>51258656</v>
      </c>
      <c r="Y53" s="369">
        <f t="shared" si="65"/>
        <v>-3106847</v>
      </c>
      <c r="Z53" s="310">
        <f>Z52+Z51</f>
        <v>20730600</v>
      </c>
      <c r="AA53" s="308">
        <f>AA52+AA51</f>
        <v>20730600</v>
      </c>
      <c r="AB53" s="369">
        <f t="shared" si="66"/>
        <v>0</v>
      </c>
      <c r="AC53" s="310">
        <f>AC52+AC51</f>
        <v>17327369</v>
      </c>
      <c r="AD53" s="308">
        <f>AD52+AD51</f>
        <v>17327369</v>
      </c>
      <c r="AE53" s="369">
        <f t="shared" si="67"/>
        <v>0</v>
      </c>
      <c r="AF53" s="311">
        <f t="shared" si="68"/>
        <v>209244961</v>
      </c>
      <c r="AG53" s="370">
        <f t="shared" si="69"/>
        <v>197157673</v>
      </c>
      <c r="AH53" s="371">
        <f t="shared" si="70"/>
        <v>-12087288</v>
      </c>
      <c r="AI53" s="310">
        <f>AI52+AI51</f>
        <v>88497311</v>
      </c>
      <c r="AJ53" s="308">
        <f>AJ52+AJ51</f>
        <v>83461096</v>
      </c>
      <c r="AK53" s="369">
        <f t="shared" si="71"/>
        <v>-5036215</v>
      </c>
      <c r="AL53" s="310">
        <f>AL52+AL51</f>
        <v>19814529</v>
      </c>
      <c r="AM53" s="308">
        <f>AM52+AM51</f>
        <v>18894356</v>
      </c>
      <c r="AN53" s="369">
        <f t="shared" si="72"/>
        <v>-920173</v>
      </c>
      <c r="AO53" s="310">
        <f>AO52+AO51</f>
        <v>15424650</v>
      </c>
      <c r="AP53" s="308">
        <f>AP52+AP51</f>
        <v>15424650</v>
      </c>
      <c r="AQ53" s="369">
        <f t="shared" si="73"/>
        <v>0</v>
      </c>
      <c r="AR53" s="312">
        <f t="shared" si="74"/>
        <v>123736490</v>
      </c>
      <c r="AS53" s="372">
        <f t="shared" si="75"/>
        <v>117780102</v>
      </c>
      <c r="AT53" s="373">
        <f t="shared" si="76"/>
        <v>-5956388</v>
      </c>
      <c r="AU53" s="313">
        <f>AU52+AU51</f>
        <v>1321489454</v>
      </c>
      <c r="AV53" s="374">
        <f>AV52+AV51</f>
        <v>1263838068</v>
      </c>
      <c r="AW53" s="369">
        <f t="shared" si="78"/>
        <v>-57651386</v>
      </c>
      <c r="AX53" s="310">
        <f>AX52+AX51</f>
        <v>3773695556</v>
      </c>
      <c r="AY53" s="375">
        <f>AY52+AY51</f>
        <v>3682852194</v>
      </c>
      <c r="AZ53" s="376">
        <f t="shared" si="79"/>
        <v>-90843362</v>
      </c>
      <c r="BA53" s="314">
        <f>BA52+BA51</f>
        <v>5095185010</v>
      </c>
      <c r="BB53" s="375">
        <f>BB52+BB51</f>
        <v>4946690262</v>
      </c>
      <c r="BC53" s="376">
        <f t="shared" si="81"/>
        <v>-148494748</v>
      </c>
      <c r="BD53" s="369">
        <f aca="true" t="shared" si="106" ref="BD53:BI53">BD52+BD51</f>
        <v>4035361017</v>
      </c>
      <c r="BE53" s="369">
        <f t="shared" si="106"/>
        <v>3940893107</v>
      </c>
      <c r="BF53" s="369">
        <f t="shared" si="106"/>
        <v>-94467910</v>
      </c>
      <c r="BG53" s="230">
        <f t="shared" si="106"/>
        <v>1670322</v>
      </c>
      <c r="BH53" s="231">
        <f t="shared" si="106"/>
        <v>2451352</v>
      </c>
      <c r="BI53" s="231">
        <f t="shared" si="106"/>
        <v>3232382</v>
      </c>
      <c r="BJ53" s="232">
        <f t="shared" si="83"/>
        <v>781030</v>
      </c>
      <c r="BK53" s="233">
        <f aca="true" t="shared" si="107" ref="BK53:BR53">BK52+BK51</f>
        <v>217074</v>
      </c>
      <c r="BL53" s="231">
        <f t="shared" si="107"/>
        <v>224092</v>
      </c>
      <c r="BM53" s="231">
        <f t="shared" si="107"/>
        <v>231110</v>
      </c>
      <c r="BN53" s="232">
        <f t="shared" si="107"/>
        <v>7018</v>
      </c>
      <c r="BO53" s="230">
        <f t="shared" si="107"/>
        <v>89503</v>
      </c>
      <c r="BP53" s="231">
        <f t="shared" si="107"/>
        <v>89503</v>
      </c>
      <c r="BQ53" s="231">
        <f t="shared" si="107"/>
        <v>89503</v>
      </c>
      <c r="BR53" s="232">
        <f t="shared" si="107"/>
        <v>0</v>
      </c>
      <c r="BS53" s="234" t="s">
        <v>179</v>
      </c>
      <c r="BT53" s="158">
        <f t="shared" si="85"/>
        <v>2764947</v>
      </c>
    </row>
    <row r="54" spans="54:72" ht="9" customHeight="1" thickBot="1">
      <c r="BB54" s="77"/>
      <c r="BD54" s="2"/>
      <c r="BE54" s="2"/>
      <c r="BF54" s="2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158">
        <f t="shared" si="85"/>
        <v>0</v>
      </c>
    </row>
    <row r="55" spans="1:72" s="78" customFormat="1" ht="12.75">
      <c r="A55" s="98" t="s">
        <v>134</v>
      </c>
      <c r="B55" s="378">
        <f>SUM(B56:B57)</f>
        <v>9</v>
      </c>
      <c r="C55" s="379">
        <f>SUM(C56:C57)</f>
        <v>9</v>
      </c>
      <c r="D55" s="380">
        <f>C55-B55</f>
        <v>0</v>
      </c>
      <c r="E55" s="379">
        <f>SUM(E56:E57)</f>
        <v>16.5</v>
      </c>
      <c r="F55" s="379">
        <f>SUM(F56:F57)</f>
        <v>16.5</v>
      </c>
      <c r="G55" s="379">
        <f>F55-E55</f>
        <v>0</v>
      </c>
      <c r="H55" s="378">
        <f>SUM(H56:H57)</f>
        <v>12</v>
      </c>
      <c r="I55" s="378">
        <f>SUM(I56:I57)</f>
        <v>12</v>
      </c>
      <c r="J55" s="53">
        <f>I55-H55</f>
        <v>0</v>
      </c>
      <c r="K55" s="378">
        <f>SUM(K56:K57)</f>
        <v>55</v>
      </c>
      <c r="L55" s="378">
        <f>SUM(L56:L57)</f>
        <v>55</v>
      </c>
      <c r="M55" s="53">
        <f>L55-K55</f>
        <v>0</v>
      </c>
      <c r="N55" s="378">
        <f>SUM(N56:N57)</f>
        <v>48.75</v>
      </c>
      <c r="O55" s="378">
        <f>SUM(O56:O57)</f>
        <v>48.75</v>
      </c>
      <c r="P55" s="53">
        <f>O55-N55</f>
        <v>0</v>
      </c>
      <c r="Q55" s="378">
        <f>SUM(Q56:Q57)</f>
        <v>20</v>
      </c>
      <c r="R55" s="378">
        <f>SUM(R56:R57)</f>
        <v>20</v>
      </c>
      <c r="S55" s="379">
        <f>R55-Q55</f>
        <v>0</v>
      </c>
      <c r="T55" s="378">
        <f>SUM(T56:T57)</f>
        <v>5.5</v>
      </c>
      <c r="U55" s="378">
        <f>SUM(U56:U57)</f>
        <v>5.5</v>
      </c>
      <c r="V55" s="379">
        <f>U55-T55</f>
        <v>0</v>
      </c>
      <c r="W55" s="378">
        <f>SUM(W56:W57)</f>
        <v>10</v>
      </c>
      <c r="X55" s="378">
        <f>SUM(X56:X57)</f>
        <v>10</v>
      </c>
      <c r="Y55" s="379">
        <f>X55-W55</f>
        <v>0</v>
      </c>
      <c r="Z55" s="378">
        <f>SUM(Z56:Z57)</f>
        <v>3.5</v>
      </c>
      <c r="AA55" s="378">
        <f>SUM(AA56:AA57)</f>
        <v>3.5</v>
      </c>
      <c r="AB55" s="379">
        <f>AA55-Z55</f>
        <v>0</v>
      </c>
      <c r="AC55" s="378">
        <f>SUM(AC56:AC57)</f>
        <v>3</v>
      </c>
      <c r="AD55" s="378">
        <f>SUM(AD56:AD57)</f>
        <v>3</v>
      </c>
      <c r="AE55" s="379">
        <f>AD55-AC55</f>
        <v>0</v>
      </c>
      <c r="AF55" s="381">
        <f aca="true" t="shared" si="108" ref="AF55:AG58">Q55+T55+W55+Z55+AC55</f>
        <v>42</v>
      </c>
      <c r="AG55" s="382">
        <f t="shared" si="108"/>
        <v>42</v>
      </c>
      <c r="AH55" s="274">
        <f>AG55-AF55</f>
        <v>0</v>
      </c>
      <c r="AI55" s="378">
        <f>SUM(AI56:AI57)</f>
        <v>19.5</v>
      </c>
      <c r="AJ55" s="378">
        <f>SUM(AJ56:AJ57)</f>
        <v>19.5</v>
      </c>
      <c r="AK55" s="379">
        <f>AJ55-AI55</f>
        <v>0</v>
      </c>
      <c r="AL55" s="378">
        <f>SUM(AL56:AL57)</f>
        <v>3</v>
      </c>
      <c r="AM55" s="378">
        <f>SUM(AM56:AM57)</f>
        <v>3</v>
      </c>
      <c r="AN55" s="379">
        <f>AM55-AL55</f>
        <v>0</v>
      </c>
      <c r="AO55" s="378">
        <f>SUM(AO56:AO57)</f>
        <v>3</v>
      </c>
      <c r="AP55" s="378">
        <f>SUM(AP56:AP57)</f>
        <v>3</v>
      </c>
      <c r="AQ55" s="379">
        <f>AP55-AO55</f>
        <v>0</v>
      </c>
      <c r="AR55" s="383">
        <f aca="true" t="shared" si="109" ref="AR55:AS58">AI55+AL55+AO55</f>
        <v>25.5</v>
      </c>
      <c r="AS55" s="384">
        <f t="shared" si="109"/>
        <v>25.5</v>
      </c>
      <c r="AT55" s="384">
        <f>AS55-AR55</f>
        <v>0</v>
      </c>
      <c r="AU55" s="107">
        <f aca="true" t="shared" si="110" ref="AU55:AV58">B55+E55+H55+K55+N55+AR55+AF55</f>
        <v>208.75</v>
      </c>
      <c r="AV55" s="379">
        <f t="shared" si="110"/>
        <v>208.75</v>
      </c>
      <c r="AW55" s="379">
        <f>AV55-AU55</f>
        <v>0</v>
      </c>
      <c r="AX55" s="385">
        <f>SUM(AX56:AX57)</f>
        <v>4.75</v>
      </c>
      <c r="AY55" s="379">
        <f>AX55</f>
        <v>4.75</v>
      </c>
      <c r="AZ55" s="379">
        <f>AY55-AX55</f>
        <v>0</v>
      </c>
      <c r="BA55" s="386">
        <f aca="true" t="shared" si="111" ref="BA55:BB58">AX55+AU55</f>
        <v>213.5</v>
      </c>
      <c r="BB55" s="379">
        <f t="shared" si="111"/>
        <v>213.5</v>
      </c>
      <c r="BC55" s="379">
        <f>BB55-BA55</f>
        <v>0</v>
      </c>
      <c r="BD55" s="101"/>
      <c r="BE55" s="101"/>
      <c r="BF55" s="101"/>
      <c r="BG55" s="367"/>
      <c r="BH55" s="387"/>
      <c r="BI55" s="387"/>
      <c r="BJ55" s="387"/>
      <c r="BK55" s="388"/>
      <c r="BL55" s="387"/>
      <c r="BM55" s="387"/>
      <c r="BN55" s="387"/>
      <c r="BO55" s="388"/>
      <c r="BP55" s="387"/>
      <c r="BQ55" s="387"/>
      <c r="BR55" s="387"/>
      <c r="BS55" s="387"/>
      <c r="BT55" s="389"/>
    </row>
    <row r="56" spans="1:72" s="81" customFormat="1" ht="12.75">
      <c r="A56" s="99" t="s">
        <v>130</v>
      </c>
      <c r="B56" s="390">
        <v>8</v>
      </c>
      <c r="C56" s="391">
        <v>8</v>
      </c>
      <c r="D56" s="392">
        <f>C56-B56</f>
        <v>0</v>
      </c>
      <c r="E56" s="391">
        <v>6.5</v>
      </c>
      <c r="F56" s="391">
        <v>6.5</v>
      </c>
      <c r="G56" s="391">
        <f>F56-E56</f>
        <v>0</v>
      </c>
      <c r="H56" s="391">
        <v>4</v>
      </c>
      <c r="I56" s="391">
        <v>4</v>
      </c>
      <c r="J56" s="13">
        <f>I56-H56</f>
        <v>0</v>
      </c>
      <c r="K56" s="393">
        <v>53</v>
      </c>
      <c r="L56" s="391">
        <v>53</v>
      </c>
      <c r="M56" s="13">
        <f>L56-K56</f>
        <v>0</v>
      </c>
      <c r="N56" s="393">
        <v>42.75</v>
      </c>
      <c r="O56" s="391">
        <v>42.75</v>
      </c>
      <c r="P56" s="13">
        <f>O56-N56</f>
        <v>0</v>
      </c>
      <c r="Q56" s="393">
        <v>19</v>
      </c>
      <c r="R56" s="391">
        <v>19</v>
      </c>
      <c r="S56" s="391">
        <f>R56-Q56</f>
        <v>0</v>
      </c>
      <c r="T56" s="393">
        <v>4.5</v>
      </c>
      <c r="U56" s="391">
        <v>4.5</v>
      </c>
      <c r="V56" s="391">
        <f>U56-T56</f>
        <v>0</v>
      </c>
      <c r="W56" s="393">
        <v>10</v>
      </c>
      <c r="X56" s="391">
        <v>10</v>
      </c>
      <c r="Y56" s="391">
        <f>X56-W56</f>
        <v>0</v>
      </c>
      <c r="Z56" s="393">
        <v>3</v>
      </c>
      <c r="AA56" s="391">
        <v>3</v>
      </c>
      <c r="AB56" s="391">
        <f>AA56-Z56</f>
        <v>0</v>
      </c>
      <c r="AC56" s="393">
        <v>2</v>
      </c>
      <c r="AD56" s="391">
        <v>2</v>
      </c>
      <c r="AE56" s="391">
        <f>AD56-AC56</f>
        <v>0</v>
      </c>
      <c r="AF56" s="394">
        <f t="shared" si="108"/>
        <v>38.5</v>
      </c>
      <c r="AG56" s="395">
        <f t="shared" si="108"/>
        <v>38.5</v>
      </c>
      <c r="AH56" s="141">
        <f>AG56-AF56</f>
        <v>0</v>
      </c>
      <c r="AI56" s="393">
        <v>19</v>
      </c>
      <c r="AJ56" s="391">
        <v>19</v>
      </c>
      <c r="AK56" s="391">
        <f>AJ56-AI56</f>
        <v>0</v>
      </c>
      <c r="AL56" s="393">
        <v>3</v>
      </c>
      <c r="AM56" s="391">
        <v>3</v>
      </c>
      <c r="AN56" s="391">
        <f>AM56-AL56</f>
        <v>0</v>
      </c>
      <c r="AO56" s="393">
        <v>3</v>
      </c>
      <c r="AP56" s="391">
        <v>3</v>
      </c>
      <c r="AQ56" s="391">
        <f>AP56-AO56</f>
        <v>0</v>
      </c>
      <c r="AR56" s="396">
        <f t="shared" si="109"/>
        <v>25</v>
      </c>
      <c r="AS56" s="397">
        <f t="shared" si="109"/>
        <v>25</v>
      </c>
      <c r="AT56" s="397">
        <f>AS56-AR56</f>
        <v>0</v>
      </c>
      <c r="AU56" s="108">
        <f t="shared" si="110"/>
        <v>177.75</v>
      </c>
      <c r="AV56" s="391">
        <f t="shared" si="110"/>
        <v>177.75</v>
      </c>
      <c r="AW56" s="391">
        <f>AV56-AU56</f>
        <v>0</v>
      </c>
      <c r="AX56" s="398">
        <v>3.5</v>
      </c>
      <c r="AY56" s="391">
        <f>AX56</f>
        <v>3.5</v>
      </c>
      <c r="AZ56" s="391">
        <f>AY56-AX56</f>
        <v>0</v>
      </c>
      <c r="BA56" s="399">
        <f t="shared" si="111"/>
        <v>181.25</v>
      </c>
      <c r="BB56" s="391">
        <f t="shared" si="111"/>
        <v>181.25</v>
      </c>
      <c r="BC56" s="391">
        <f>BB56-BA56</f>
        <v>0</v>
      </c>
      <c r="BD56" s="83"/>
      <c r="BE56" s="83"/>
      <c r="BF56" s="83"/>
      <c r="BG56" s="400"/>
      <c r="BH56" s="401"/>
      <c r="BI56" s="401"/>
      <c r="BJ56" s="401"/>
      <c r="BK56" s="400"/>
      <c r="BL56" s="401"/>
      <c r="BM56" s="401"/>
      <c r="BN56" s="401"/>
      <c r="BO56" s="402"/>
      <c r="BP56" s="401"/>
      <c r="BQ56" s="401"/>
      <c r="BR56" s="401"/>
      <c r="BS56" s="401"/>
      <c r="BT56" s="403"/>
    </row>
    <row r="57" spans="1:72" s="81" customFormat="1" ht="12.75">
      <c r="A57" s="99" t="s">
        <v>131</v>
      </c>
      <c r="B57" s="390">
        <v>1</v>
      </c>
      <c r="C57" s="391">
        <v>1</v>
      </c>
      <c r="D57" s="392">
        <f>C57-B57</f>
        <v>0</v>
      </c>
      <c r="E57" s="391">
        <v>10</v>
      </c>
      <c r="F57" s="391">
        <v>10</v>
      </c>
      <c r="G57" s="391">
        <f>F57-E57</f>
        <v>0</v>
      </c>
      <c r="H57" s="391">
        <v>8</v>
      </c>
      <c r="I57" s="391">
        <v>8</v>
      </c>
      <c r="J57" s="13">
        <f>I57-H57</f>
        <v>0</v>
      </c>
      <c r="K57" s="393">
        <v>2</v>
      </c>
      <c r="L57" s="391">
        <v>2</v>
      </c>
      <c r="M57" s="13">
        <f>L57-K57</f>
        <v>0</v>
      </c>
      <c r="N57" s="393">
        <v>6</v>
      </c>
      <c r="O57" s="391">
        <v>6</v>
      </c>
      <c r="P57" s="13">
        <f>O57-N57</f>
        <v>0</v>
      </c>
      <c r="Q57" s="393">
        <v>1</v>
      </c>
      <c r="R57" s="391">
        <v>1</v>
      </c>
      <c r="S57" s="391">
        <f>R57-Q57</f>
        <v>0</v>
      </c>
      <c r="T57" s="393">
        <v>1</v>
      </c>
      <c r="U57" s="391">
        <v>1</v>
      </c>
      <c r="V57" s="391">
        <f>U57-T57</f>
        <v>0</v>
      </c>
      <c r="W57" s="393">
        <v>0</v>
      </c>
      <c r="X57" s="391">
        <v>0</v>
      </c>
      <c r="Y57" s="391">
        <f>X57-W57</f>
        <v>0</v>
      </c>
      <c r="Z57" s="393">
        <v>0.5</v>
      </c>
      <c r="AA57" s="391">
        <v>0.5</v>
      </c>
      <c r="AB57" s="391">
        <f>AA57-Z57</f>
        <v>0</v>
      </c>
      <c r="AC57" s="393">
        <v>1</v>
      </c>
      <c r="AD57" s="391">
        <v>1</v>
      </c>
      <c r="AE57" s="391">
        <f>AD57-AC57</f>
        <v>0</v>
      </c>
      <c r="AF57" s="394">
        <f t="shared" si="108"/>
        <v>3.5</v>
      </c>
      <c r="AG57" s="395">
        <f t="shared" si="108"/>
        <v>3.5</v>
      </c>
      <c r="AH57" s="141">
        <f>AG57-AF57</f>
        <v>0</v>
      </c>
      <c r="AI57" s="393">
        <v>0.5</v>
      </c>
      <c r="AJ57" s="391">
        <v>0.5</v>
      </c>
      <c r="AK57" s="391">
        <f>AJ57-AI57</f>
        <v>0</v>
      </c>
      <c r="AL57" s="393">
        <v>0</v>
      </c>
      <c r="AM57" s="391">
        <v>0</v>
      </c>
      <c r="AN57" s="391">
        <f>AM57-AL57</f>
        <v>0</v>
      </c>
      <c r="AO57" s="393">
        <v>0</v>
      </c>
      <c r="AP57" s="391">
        <v>0</v>
      </c>
      <c r="AQ57" s="391">
        <f>AP57-AO57</f>
        <v>0</v>
      </c>
      <c r="AR57" s="396">
        <f t="shared" si="109"/>
        <v>0.5</v>
      </c>
      <c r="AS57" s="397">
        <f t="shared" si="109"/>
        <v>0.5</v>
      </c>
      <c r="AT57" s="397">
        <f>AS57-AR57</f>
        <v>0</v>
      </c>
      <c r="AU57" s="108">
        <f t="shared" si="110"/>
        <v>31</v>
      </c>
      <c r="AV57" s="391">
        <f t="shared" si="110"/>
        <v>31</v>
      </c>
      <c r="AW57" s="391">
        <f>AV57-AU57</f>
        <v>0</v>
      </c>
      <c r="AX57" s="398">
        <v>1.25</v>
      </c>
      <c r="AY57" s="391">
        <f>AX57</f>
        <v>1.25</v>
      </c>
      <c r="AZ57" s="391">
        <f>AY57-AX57</f>
        <v>0</v>
      </c>
      <c r="BA57" s="399">
        <f t="shared" si="111"/>
        <v>32.25</v>
      </c>
      <c r="BB57" s="391">
        <f t="shared" si="111"/>
        <v>32.25</v>
      </c>
      <c r="BC57" s="391">
        <f>BB57-BA57</f>
        <v>0</v>
      </c>
      <c r="BD57" s="84"/>
      <c r="BE57" s="84"/>
      <c r="BF57" s="84"/>
      <c r="BG57" s="402"/>
      <c r="BH57" s="401"/>
      <c r="BI57" s="401"/>
      <c r="BJ57" s="401"/>
      <c r="BK57" s="402"/>
      <c r="BL57" s="401"/>
      <c r="BM57" s="401"/>
      <c r="BN57" s="401"/>
      <c r="BO57" s="402"/>
      <c r="BP57" s="401"/>
      <c r="BQ57" s="401"/>
      <c r="BR57" s="401"/>
      <c r="BS57" s="401"/>
      <c r="BT57" s="403"/>
    </row>
    <row r="58" spans="1:72" s="78" customFormat="1" ht="13.5" thickBot="1">
      <c r="A58" s="100" t="s">
        <v>191</v>
      </c>
      <c r="B58" s="404">
        <v>0</v>
      </c>
      <c r="C58" s="405">
        <v>0</v>
      </c>
      <c r="D58" s="406">
        <f>C58-B58</f>
        <v>0</v>
      </c>
      <c r="E58" s="405">
        <v>0</v>
      </c>
      <c r="F58" s="405">
        <v>0</v>
      </c>
      <c r="G58" s="405">
        <f>F58-E58</f>
        <v>0</v>
      </c>
      <c r="H58" s="405">
        <v>0</v>
      </c>
      <c r="I58" s="405">
        <v>0</v>
      </c>
      <c r="J58" s="13">
        <f>I58-H58</f>
        <v>0</v>
      </c>
      <c r="K58" s="407">
        <v>1</v>
      </c>
      <c r="L58" s="405">
        <v>1</v>
      </c>
      <c r="M58" s="13">
        <f>L58-K58</f>
        <v>0</v>
      </c>
      <c r="N58" s="407">
        <v>0</v>
      </c>
      <c r="O58" s="405">
        <v>0</v>
      </c>
      <c r="P58" s="13">
        <f>O58-N58</f>
        <v>0</v>
      </c>
      <c r="Q58" s="407">
        <v>1</v>
      </c>
      <c r="R58" s="405">
        <v>1</v>
      </c>
      <c r="S58" s="405">
        <f>R58-Q58</f>
        <v>0</v>
      </c>
      <c r="T58" s="407">
        <v>1</v>
      </c>
      <c r="U58" s="405">
        <v>1</v>
      </c>
      <c r="V58" s="405">
        <f>U58-T58</f>
        <v>0</v>
      </c>
      <c r="W58" s="407">
        <v>0</v>
      </c>
      <c r="X58" s="405">
        <v>0</v>
      </c>
      <c r="Y58" s="405">
        <f>X58-W58</f>
        <v>0</v>
      </c>
      <c r="Z58" s="407">
        <v>0</v>
      </c>
      <c r="AA58" s="405">
        <f>Z58</f>
        <v>0</v>
      </c>
      <c r="AB58" s="405">
        <f>AA58-Z58</f>
        <v>0</v>
      </c>
      <c r="AC58" s="407">
        <v>1</v>
      </c>
      <c r="AD58" s="405">
        <v>1</v>
      </c>
      <c r="AE58" s="405">
        <f>AD58-AC58</f>
        <v>0</v>
      </c>
      <c r="AF58" s="408">
        <f t="shared" si="108"/>
        <v>3</v>
      </c>
      <c r="AG58" s="409">
        <f t="shared" si="108"/>
        <v>3</v>
      </c>
      <c r="AH58" s="141">
        <f>AG58-AF58</f>
        <v>0</v>
      </c>
      <c r="AI58" s="407">
        <v>0</v>
      </c>
      <c r="AJ58" s="405">
        <v>0</v>
      </c>
      <c r="AK58" s="405">
        <f>AJ58-AI58</f>
        <v>0</v>
      </c>
      <c r="AL58" s="407">
        <v>1</v>
      </c>
      <c r="AM58" s="405">
        <v>1</v>
      </c>
      <c r="AN58" s="405">
        <f>AM58-AL58</f>
        <v>0</v>
      </c>
      <c r="AO58" s="407">
        <v>0</v>
      </c>
      <c r="AP58" s="405">
        <v>0</v>
      </c>
      <c r="AQ58" s="405">
        <f>AP58-AO58</f>
        <v>0</v>
      </c>
      <c r="AR58" s="410">
        <f t="shared" si="109"/>
        <v>1</v>
      </c>
      <c r="AS58" s="411">
        <f t="shared" si="109"/>
        <v>1</v>
      </c>
      <c r="AT58" s="411">
        <f>AS58-AR58</f>
        <v>0</v>
      </c>
      <c r="AU58" s="109">
        <f t="shared" si="110"/>
        <v>5</v>
      </c>
      <c r="AV58" s="405">
        <f t="shared" si="110"/>
        <v>5</v>
      </c>
      <c r="AW58" s="405">
        <f>AV58-AU58</f>
        <v>0</v>
      </c>
      <c r="AX58" s="412">
        <v>0</v>
      </c>
      <c r="AY58" s="405">
        <v>0</v>
      </c>
      <c r="AZ58" s="405">
        <f>AY58-AX58</f>
        <v>0</v>
      </c>
      <c r="BA58" s="413">
        <f t="shared" si="111"/>
        <v>5</v>
      </c>
      <c r="BB58" s="405">
        <f t="shared" si="111"/>
        <v>5</v>
      </c>
      <c r="BC58" s="405">
        <f>BB58-BA58</f>
        <v>0</v>
      </c>
      <c r="BD58" s="102"/>
      <c r="BE58" s="102"/>
      <c r="BF58" s="102"/>
      <c r="BG58" s="388"/>
      <c r="BH58" s="387"/>
      <c r="BI58" s="387"/>
      <c r="BJ58" s="387"/>
      <c r="BK58" s="388"/>
      <c r="BL58" s="387"/>
      <c r="BM58" s="387"/>
      <c r="BN58" s="387"/>
      <c r="BO58" s="388"/>
      <c r="BP58" s="387"/>
      <c r="BQ58" s="387"/>
      <c r="BR58" s="387"/>
      <c r="BS58" s="387"/>
      <c r="BT58" s="389"/>
    </row>
    <row r="59" spans="59:71" ht="15.75"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</row>
  </sheetData>
  <sheetProtection/>
  <mergeCells count="46"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J4"/>
    <mergeCell ref="BK4:BN4"/>
    <mergeCell ref="BO4:BR4"/>
    <mergeCell ref="A32:A33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J32"/>
    <mergeCell ref="BK32:BN32"/>
    <mergeCell ref="BO32:BR32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8" scale="74" r:id="rId1"/>
  <colBreaks count="3" manualBreakCount="3">
    <brk id="16" max="53" man="1"/>
    <brk id="34" max="53" man="1"/>
    <brk id="46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77"/>
  <sheetViews>
    <sheetView zoomScalePageLayoutView="0" workbookViewId="0" topLeftCell="A1">
      <selection activeCell="A1" sqref="A1:B1"/>
    </sheetView>
  </sheetViews>
  <sheetFormatPr defaultColWidth="9.00390625" defaultRowHeight="12.75"/>
  <cols>
    <col min="2" max="2" width="62.37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</cols>
  <sheetData>
    <row r="1" spans="1:11" ht="12.75">
      <c r="A1" s="558" t="s">
        <v>298</v>
      </c>
      <c r="B1" s="558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559" t="s">
        <v>283</v>
      </c>
      <c r="B2" s="559"/>
      <c r="C2" s="559"/>
      <c r="D2" s="9"/>
      <c r="E2" s="9"/>
      <c r="G2" s="9"/>
      <c r="H2" s="9"/>
      <c r="J2" s="9"/>
      <c r="K2" s="9"/>
    </row>
    <row r="3" spans="1:11" ht="13.5">
      <c r="A3" s="420"/>
      <c r="B3" s="420"/>
      <c r="C3" s="420"/>
      <c r="D3" s="9"/>
      <c r="E3" s="9"/>
      <c r="F3" s="420"/>
      <c r="G3" s="9"/>
      <c r="H3" s="9"/>
      <c r="I3" s="420"/>
      <c r="J3" s="9"/>
      <c r="K3" s="9"/>
    </row>
    <row r="4" spans="1:11" ht="12.75">
      <c r="A4" s="557" t="s">
        <v>256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</row>
    <row r="5" spans="1:5" ht="12.75">
      <c r="A5" s="557" t="s">
        <v>157</v>
      </c>
      <c r="B5" s="557"/>
      <c r="C5" s="557"/>
      <c r="D5" s="557"/>
      <c r="E5" s="557"/>
    </row>
    <row r="6" spans="1:11" ht="22.5" customHeight="1">
      <c r="A6" s="423"/>
      <c r="B6" s="424"/>
      <c r="C6" s="557" t="s">
        <v>176</v>
      </c>
      <c r="D6" s="557"/>
      <c r="E6" s="557"/>
      <c r="F6" s="557" t="s">
        <v>257</v>
      </c>
      <c r="G6" s="557"/>
      <c r="H6" s="557"/>
      <c r="I6" s="557" t="s">
        <v>177</v>
      </c>
      <c r="J6" s="557"/>
      <c r="K6" s="557"/>
    </row>
    <row r="7" spans="1:11" ht="22.5" customHeight="1">
      <c r="A7" s="423"/>
      <c r="B7" s="424"/>
      <c r="C7" s="423" t="s">
        <v>200</v>
      </c>
      <c r="D7" s="423" t="s">
        <v>201</v>
      </c>
      <c r="E7" s="423" t="s">
        <v>202</v>
      </c>
      <c r="F7" s="423" t="s">
        <v>200</v>
      </c>
      <c r="G7" s="423" t="s">
        <v>201</v>
      </c>
      <c r="H7" s="423" t="s">
        <v>202</v>
      </c>
      <c r="I7" s="423" t="s">
        <v>200</v>
      </c>
      <c r="J7" s="423" t="s">
        <v>201</v>
      </c>
      <c r="K7" s="423" t="s">
        <v>202</v>
      </c>
    </row>
    <row r="8" spans="1:11" ht="12.75">
      <c r="A8" s="425" t="s">
        <v>1</v>
      </c>
      <c r="B8" s="425" t="s">
        <v>78</v>
      </c>
      <c r="C8" s="425"/>
      <c r="D8" s="425"/>
      <c r="E8" s="425"/>
      <c r="F8" s="425"/>
      <c r="G8" s="425"/>
      <c r="H8" s="425"/>
      <c r="I8" s="425"/>
      <c r="J8" s="425"/>
      <c r="K8" s="425"/>
    </row>
    <row r="9" spans="1:11" ht="12.75">
      <c r="A9" s="426">
        <v>1</v>
      </c>
      <c r="B9" s="426" t="s">
        <v>258</v>
      </c>
      <c r="C9" s="427"/>
      <c r="D9" s="427">
        <v>72829500</v>
      </c>
      <c r="E9" s="427">
        <f>C9+D9</f>
        <v>72829500</v>
      </c>
      <c r="F9" s="427"/>
      <c r="G9" s="427">
        <v>72829500</v>
      </c>
      <c r="H9" s="427">
        <f>F9+G9</f>
        <v>72829500</v>
      </c>
      <c r="I9" s="427">
        <f aca="true" t="shared" si="0" ref="I9:J12">F9-C9</f>
        <v>0</v>
      </c>
      <c r="J9" s="427">
        <f t="shared" si="0"/>
        <v>0</v>
      </c>
      <c r="K9" s="427">
        <f>I9+J9</f>
        <v>0</v>
      </c>
    </row>
    <row r="10" spans="1:11" ht="12.75">
      <c r="A10" s="426">
        <v>2</v>
      </c>
      <c r="B10" s="426" t="s">
        <v>143</v>
      </c>
      <c r="C10" s="427"/>
      <c r="D10" s="427">
        <v>18000000</v>
      </c>
      <c r="E10" s="427">
        <f>C10+D10</f>
        <v>18000000</v>
      </c>
      <c r="F10" s="427"/>
      <c r="G10" s="427">
        <v>18000000</v>
      </c>
      <c r="H10" s="427">
        <f>F10+G10</f>
        <v>18000000</v>
      </c>
      <c r="I10" s="427">
        <f t="shared" si="0"/>
        <v>0</v>
      </c>
      <c r="J10" s="427">
        <f t="shared" si="0"/>
        <v>0</v>
      </c>
      <c r="K10" s="427">
        <f>I10+J10</f>
        <v>0</v>
      </c>
    </row>
    <row r="11" spans="1:11" ht="12.75">
      <c r="A11" s="426">
        <v>3</v>
      </c>
      <c r="B11" s="426" t="s">
        <v>282</v>
      </c>
      <c r="C11" s="427"/>
      <c r="D11" s="427">
        <v>0</v>
      </c>
      <c r="E11" s="427">
        <f>C11+D11</f>
        <v>0</v>
      </c>
      <c r="F11" s="427"/>
      <c r="G11" s="427">
        <v>1700000</v>
      </c>
      <c r="H11" s="427">
        <f>F11+G11</f>
        <v>1700000</v>
      </c>
      <c r="I11" s="427">
        <f t="shared" si="0"/>
        <v>0</v>
      </c>
      <c r="J11" s="427">
        <f t="shared" si="0"/>
        <v>1700000</v>
      </c>
      <c r="K11" s="427">
        <f>I11+J11</f>
        <v>1700000</v>
      </c>
    </row>
    <row r="12" spans="1:11" ht="12.75">
      <c r="A12" s="428"/>
      <c r="B12" s="428" t="s">
        <v>3</v>
      </c>
      <c r="C12" s="429">
        <f>SUM(C9:C11)</f>
        <v>0</v>
      </c>
      <c r="D12" s="429">
        <f>SUM(D9:D11)</f>
        <v>90829500</v>
      </c>
      <c r="E12" s="429">
        <f>C12+D12</f>
        <v>90829500</v>
      </c>
      <c r="F12" s="429">
        <f>SUM(F9:F11)</f>
        <v>0</v>
      </c>
      <c r="G12" s="429">
        <f>SUM(G9:G11)</f>
        <v>92529500</v>
      </c>
      <c r="H12" s="429">
        <f>F12+G12</f>
        <v>92529500</v>
      </c>
      <c r="I12" s="429">
        <f t="shared" si="0"/>
        <v>0</v>
      </c>
      <c r="J12" s="429">
        <f t="shared" si="0"/>
        <v>1700000</v>
      </c>
      <c r="K12" s="429">
        <f>I12+J12</f>
        <v>1700000</v>
      </c>
    </row>
    <row r="13" spans="1:11" ht="12.75">
      <c r="A13" s="82"/>
      <c r="B13" s="82"/>
      <c r="C13" s="430"/>
      <c r="D13" s="430"/>
      <c r="E13" s="430"/>
      <c r="F13" s="430"/>
      <c r="G13" s="430"/>
      <c r="H13" s="430"/>
      <c r="I13" s="430"/>
      <c r="J13" s="430"/>
      <c r="K13" s="430"/>
    </row>
    <row r="14" spans="1:11" ht="12.75">
      <c r="A14" s="428" t="s">
        <v>9</v>
      </c>
      <c r="B14" s="425" t="s">
        <v>79</v>
      </c>
      <c r="C14" s="429"/>
      <c r="D14" s="429"/>
      <c r="E14" s="429"/>
      <c r="F14" s="429"/>
      <c r="G14" s="429"/>
      <c r="H14" s="429"/>
      <c r="I14" s="429"/>
      <c r="J14" s="429"/>
      <c r="K14" s="429"/>
    </row>
    <row r="15" spans="1:11" ht="12.75">
      <c r="A15" s="426">
        <v>1</v>
      </c>
      <c r="B15" s="426" t="s">
        <v>171</v>
      </c>
      <c r="C15" s="427">
        <v>0</v>
      </c>
      <c r="D15" s="427">
        <v>198561</v>
      </c>
      <c r="E15" s="427">
        <f aca="true" t="shared" si="1" ref="E15:E30">C15+D15</f>
        <v>198561</v>
      </c>
      <c r="F15" s="427">
        <v>0</v>
      </c>
      <c r="G15" s="427">
        <v>151284</v>
      </c>
      <c r="H15" s="427">
        <f aca="true" t="shared" si="2" ref="H15:H30">F15+G15</f>
        <v>151284</v>
      </c>
      <c r="I15" s="427">
        <f aca="true" t="shared" si="3" ref="I15:I30">F15-C15</f>
        <v>0</v>
      </c>
      <c r="J15" s="427">
        <f aca="true" t="shared" si="4" ref="J15:J30">G15-D15</f>
        <v>-47277</v>
      </c>
      <c r="K15" s="427">
        <f aca="true" t="shared" si="5" ref="K15:K30">I15+J15</f>
        <v>-47277</v>
      </c>
    </row>
    <row r="16" spans="1:11" ht="12.75">
      <c r="A16" s="426">
        <v>2</v>
      </c>
      <c r="B16" s="426" t="s">
        <v>203</v>
      </c>
      <c r="C16" s="427">
        <v>0</v>
      </c>
      <c r="D16" s="427"/>
      <c r="E16" s="427">
        <f t="shared" si="1"/>
        <v>0</v>
      </c>
      <c r="F16" s="427">
        <v>0</v>
      </c>
      <c r="G16" s="427">
        <v>0</v>
      </c>
      <c r="H16" s="427">
        <f t="shared" si="2"/>
        <v>0</v>
      </c>
      <c r="I16" s="427">
        <f t="shared" si="3"/>
        <v>0</v>
      </c>
      <c r="J16" s="427">
        <f t="shared" si="4"/>
        <v>0</v>
      </c>
      <c r="K16" s="427">
        <f t="shared" si="5"/>
        <v>0</v>
      </c>
    </row>
    <row r="17" spans="1:11" ht="12.75">
      <c r="A17" s="426">
        <v>3</v>
      </c>
      <c r="B17" s="426" t="s">
        <v>172</v>
      </c>
      <c r="C17" s="427">
        <v>0</v>
      </c>
      <c r="D17" s="427">
        <v>132374</v>
      </c>
      <c r="E17" s="427">
        <f t="shared" si="1"/>
        <v>132374</v>
      </c>
      <c r="F17" s="427">
        <v>0</v>
      </c>
      <c r="G17" s="427">
        <v>100856</v>
      </c>
      <c r="H17" s="427">
        <f t="shared" si="2"/>
        <v>100856</v>
      </c>
      <c r="I17" s="427">
        <f t="shared" si="3"/>
        <v>0</v>
      </c>
      <c r="J17" s="427">
        <f t="shared" si="4"/>
        <v>-31518</v>
      </c>
      <c r="K17" s="427">
        <f t="shared" si="5"/>
        <v>-31518</v>
      </c>
    </row>
    <row r="18" spans="1:11" ht="12.75">
      <c r="A18" s="426">
        <v>4</v>
      </c>
      <c r="B18" s="426" t="s">
        <v>204</v>
      </c>
      <c r="C18" s="427">
        <v>0</v>
      </c>
      <c r="D18" s="427">
        <v>304800</v>
      </c>
      <c r="E18" s="427">
        <f t="shared" si="1"/>
        <v>304800</v>
      </c>
      <c r="F18" s="427">
        <v>0</v>
      </c>
      <c r="G18" s="427">
        <v>304800</v>
      </c>
      <c r="H18" s="427">
        <f t="shared" si="2"/>
        <v>304800</v>
      </c>
      <c r="I18" s="427">
        <f t="shared" si="3"/>
        <v>0</v>
      </c>
      <c r="J18" s="427">
        <f t="shared" si="4"/>
        <v>0</v>
      </c>
      <c r="K18" s="427">
        <f t="shared" si="5"/>
        <v>0</v>
      </c>
    </row>
    <row r="19" spans="1:11" ht="12.75">
      <c r="A19" s="426">
        <v>5</v>
      </c>
      <c r="B19" s="426" t="s">
        <v>205</v>
      </c>
      <c r="C19" s="427">
        <v>0</v>
      </c>
      <c r="D19" s="427">
        <v>1066000</v>
      </c>
      <c r="E19" s="427">
        <f t="shared" si="1"/>
        <v>1066000</v>
      </c>
      <c r="F19" s="427">
        <v>0</v>
      </c>
      <c r="G19" s="427">
        <v>1066000</v>
      </c>
      <c r="H19" s="427">
        <f t="shared" si="2"/>
        <v>1066000</v>
      </c>
      <c r="I19" s="427">
        <f t="shared" si="3"/>
        <v>0</v>
      </c>
      <c r="J19" s="427">
        <f t="shared" si="4"/>
        <v>0</v>
      </c>
      <c r="K19" s="427">
        <f t="shared" si="5"/>
        <v>0</v>
      </c>
    </row>
    <row r="20" spans="1:11" ht="12.75">
      <c r="A20" s="426">
        <v>6</v>
      </c>
      <c r="B20" s="426" t="s">
        <v>206</v>
      </c>
      <c r="C20" s="427">
        <v>0</v>
      </c>
      <c r="D20" s="427">
        <v>180000</v>
      </c>
      <c r="E20" s="427">
        <f t="shared" si="1"/>
        <v>180000</v>
      </c>
      <c r="F20" s="427">
        <v>0</v>
      </c>
      <c r="G20" s="427">
        <v>180000</v>
      </c>
      <c r="H20" s="427">
        <f t="shared" si="2"/>
        <v>180000</v>
      </c>
      <c r="I20" s="427">
        <f t="shared" si="3"/>
        <v>0</v>
      </c>
      <c r="J20" s="427">
        <f t="shared" si="4"/>
        <v>0</v>
      </c>
      <c r="K20" s="427">
        <f t="shared" si="5"/>
        <v>0</v>
      </c>
    </row>
    <row r="21" spans="1:11" ht="18" customHeight="1">
      <c r="A21" s="426">
        <v>7</v>
      </c>
      <c r="B21" s="431" t="s">
        <v>207</v>
      </c>
      <c r="C21" s="427"/>
      <c r="D21" s="427">
        <v>10000000</v>
      </c>
      <c r="E21" s="427">
        <f t="shared" si="1"/>
        <v>10000000</v>
      </c>
      <c r="F21" s="427"/>
      <c r="G21" s="427">
        <v>10000000</v>
      </c>
      <c r="H21" s="427">
        <f t="shared" si="2"/>
        <v>10000000</v>
      </c>
      <c r="I21" s="427">
        <f t="shared" si="3"/>
        <v>0</v>
      </c>
      <c r="J21" s="427">
        <f t="shared" si="4"/>
        <v>0</v>
      </c>
      <c r="K21" s="427">
        <f t="shared" si="5"/>
        <v>0</v>
      </c>
    </row>
    <row r="22" spans="1:11" ht="12.75">
      <c r="A22" s="426">
        <v>8</v>
      </c>
      <c r="B22" s="426" t="s">
        <v>288</v>
      </c>
      <c r="C22" s="427"/>
      <c r="D22" s="427">
        <v>96000000</v>
      </c>
      <c r="E22" s="427">
        <f t="shared" si="1"/>
        <v>96000000</v>
      </c>
      <c r="F22" s="427"/>
      <c r="G22" s="427">
        <f>96000000+29671838</f>
        <v>125671838</v>
      </c>
      <c r="H22" s="427">
        <f t="shared" si="2"/>
        <v>125671838</v>
      </c>
      <c r="I22" s="427">
        <f t="shared" si="3"/>
        <v>0</v>
      </c>
      <c r="J22" s="427">
        <f t="shared" si="4"/>
        <v>29671838</v>
      </c>
      <c r="K22" s="427">
        <f t="shared" si="5"/>
        <v>29671838</v>
      </c>
    </row>
    <row r="23" spans="1:11" ht="12.75">
      <c r="A23" s="426">
        <v>9</v>
      </c>
      <c r="B23" s="426" t="s">
        <v>259</v>
      </c>
      <c r="C23" s="427"/>
      <c r="D23" s="427">
        <v>250000000</v>
      </c>
      <c r="E23" s="427">
        <f t="shared" si="1"/>
        <v>250000000</v>
      </c>
      <c r="F23" s="427"/>
      <c r="G23" s="427">
        <v>250000000</v>
      </c>
      <c r="H23" s="427">
        <f t="shared" si="2"/>
        <v>250000000</v>
      </c>
      <c r="I23" s="427">
        <f t="shared" si="3"/>
        <v>0</v>
      </c>
      <c r="J23" s="427">
        <f t="shared" si="4"/>
        <v>0</v>
      </c>
      <c r="K23" s="427">
        <f t="shared" si="5"/>
        <v>0</v>
      </c>
    </row>
    <row r="24" spans="1:11" ht="12.75">
      <c r="A24" s="426">
        <v>10</v>
      </c>
      <c r="B24" s="426" t="s">
        <v>260</v>
      </c>
      <c r="C24" s="427"/>
      <c r="D24" s="427">
        <v>62449002</v>
      </c>
      <c r="E24" s="427">
        <f t="shared" si="1"/>
        <v>62449002</v>
      </c>
      <c r="F24" s="427"/>
      <c r="G24" s="427">
        <v>62449002</v>
      </c>
      <c r="H24" s="427">
        <f t="shared" si="2"/>
        <v>62449002</v>
      </c>
      <c r="I24" s="427">
        <f t="shared" si="3"/>
        <v>0</v>
      </c>
      <c r="J24" s="427">
        <f t="shared" si="4"/>
        <v>0</v>
      </c>
      <c r="K24" s="427">
        <f t="shared" si="5"/>
        <v>0</v>
      </c>
    </row>
    <row r="25" spans="1:11" ht="12.75">
      <c r="A25" s="426">
        <v>11</v>
      </c>
      <c r="B25" s="426" t="s">
        <v>261</v>
      </c>
      <c r="C25" s="427"/>
      <c r="D25" s="427">
        <v>63702633</v>
      </c>
      <c r="E25" s="427">
        <f t="shared" si="1"/>
        <v>63702633</v>
      </c>
      <c r="F25" s="427"/>
      <c r="G25" s="427">
        <v>63702633</v>
      </c>
      <c r="H25" s="427">
        <f t="shared" si="2"/>
        <v>63702633</v>
      </c>
      <c r="I25" s="427">
        <f t="shared" si="3"/>
        <v>0</v>
      </c>
      <c r="J25" s="427">
        <f t="shared" si="4"/>
        <v>0</v>
      </c>
      <c r="K25" s="427">
        <f t="shared" si="5"/>
        <v>0</v>
      </c>
    </row>
    <row r="26" spans="1:11" ht="12.75">
      <c r="A26" s="426">
        <v>12</v>
      </c>
      <c r="B26" s="426" t="s">
        <v>262</v>
      </c>
      <c r="C26" s="427"/>
      <c r="D26" s="427">
        <v>47703200</v>
      </c>
      <c r="E26" s="427">
        <f t="shared" si="1"/>
        <v>47703200</v>
      </c>
      <c r="F26" s="427"/>
      <c r="G26" s="427">
        <v>47703200</v>
      </c>
      <c r="H26" s="427">
        <f t="shared" si="2"/>
        <v>47703200</v>
      </c>
      <c r="I26" s="427">
        <f t="shared" si="3"/>
        <v>0</v>
      </c>
      <c r="J26" s="427">
        <f t="shared" si="4"/>
        <v>0</v>
      </c>
      <c r="K26" s="427">
        <f t="shared" si="5"/>
        <v>0</v>
      </c>
    </row>
    <row r="27" spans="1:11" ht="12.75">
      <c r="A27" s="426">
        <v>13</v>
      </c>
      <c r="B27" s="426" t="s">
        <v>210</v>
      </c>
      <c r="C27" s="427">
        <v>1478181</v>
      </c>
      <c r="D27" s="427">
        <v>0</v>
      </c>
      <c r="E27" s="427">
        <f t="shared" si="1"/>
        <v>1478181</v>
      </c>
      <c r="F27" s="427">
        <v>1478181</v>
      </c>
      <c r="G27" s="427">
        <v>0</v>
      </c>
      <c r="H27" s="427">
        <f t="shared" si="2"/>
        <v>1478181</v>
      </c>
      <c r="I27" s="427">
        <f t="shared" si="3"/>
        <v>0</v>
      </c>
      <c r="J27" s="427">
        <f t="shared" si="4"/>
        <v>0</v>
      </c>
      <c r="K27" s="427">
        <f t="shared" si="5"/>
        <v>0</v>
      </c>
    </row>
    <row r="28" spans="1:11" ht="12.75">
      <c r="A28" s="489">
        <v>14</v>
      </c>
      <c r="B28" s="489" t="s">
        <v>208</v>
      </c>
      <c r="C28" s="490"/>
      <c r="D28" s="490">
        <v>50000000</v>
      </c>
      <c r="E28" s="490">
        <f t="shared" si="1"/>
        <v>50000000</v>
      </c>
      <c r="F28" s="490"/>
      <c r="G28" s="490">
        <v>50000000</v>
      </c>
      <c r="H28" s="490">
        <f t="shared" si="2"/>
        <v>50000000</v>
      </c>
      <c r="I28" s="490">
        <f t="shared" si="3"/>
        <v>0</v>
      </c>
      <c r="J28" s="490">
        <f t="shared" si="4"/>
        <v>0</v>
      </c>
      <c r="K28" s="490">
        <f t="shared" si="5"/>
        <v>0</v>
      </c>
    </row>
    <row r="29" spans="1:11" ht="12.75">
      <c r="A29" s="489">
        <v>15</v>
      </c>
      <c r="B29" s="489"/>
      <c r="C29" s="490"/>
      <c r="D29" s="490"/>
      <c r="E29" s="490">
        <f t="shared" si="1"/>
        <v>0</v>
      </c>
      <c r="F29" s="490"/>
      <c r="G29" s="490">
        <v>0</v>
      </c>
      <c r="H29" s="490">
        <f t="shared" si="2"/>
        <v>0</v>
      </c>
      <c r="I29" s="490">
        <f t="shared" si="3"/>
        <v>0</v>
      </c>
      <c r="J29" s="490">
        <f t="shared" si="4"/>
        <v>0</v>
      </c>
      <c r="K29" s="490">
        <f t="shared" si="5"/>
        <v>0</v>
      </c>
    </row>
    <row r="30" spans="1:11" ht="12.75">
      <c r="A30" s="428"/>
      <c r="B30" s="428" t="s">
        <v>3</v>
      </c>
      <c r="C30" s="429">
        <f>SUM(C15:C29)</f>
        <v>1478181</v>
      </c>
      <c r="D30" s="429">
        <f>SUM(D15:D29)</f>
        <v>581736570</v>
      </c>
      <c r="E30" s="429">
        <f t="shared" si="1"/>
        <v>583214751</v>
      </c>
      <c r="F30" s="429">
        <f>SUM(F15:F29)</f>
        <v>1478181</v>
      </c>
      <c r="G30" s="429">
        <f>SUM(G15:G29)</f>
        <v>611329613</v>
      </c>
      <c r="H30" s="429">
        <f t="shared" si="2"/>
        <v>612807794</v>
      </c>
      <c r="I30" s="429">
        <f t="shared" si="3"/>
        <v>0</v>
      </c>
      <c r="J30" s="429">
        <f t="shared" si="4"/>
        <v>29593043</v>
      </c>
      <c r="K30" s="429">
        <f t="shared" si="5"/>
        <v>29593043</v>
      </c>
    </row>
    <row r="31" spans="1:11" ht="12.75">
      <c r="A31" s="82"/>
      <c r="B31" s="432"/>
      <c r="C31" s="430"/>
      <c r="D31" s="430"/>
      <c r="E31" s="430"/>
      <c r="F31" s="430"/>
      <c r="G31" s="430"/>
      <c r="H31" s="430"/>
      <c r="I31" s="430"/>
      <c r="J31" s="430"/>
      <c r="K31" s="430"/>
    </row>
    <row r="32" spans="1:11" ht="12.75">
      <c r="A32" s="428" t="s">
        <v>10</v>
      </c>
      <c r="B32" s="425" t="s">
        <v>209</v>
      </c>
      <c r="C32" s="429"/>
      <c r="D32" s="429"/>
      <c r="E32" s="429"/>
      <c r="F32" s="429"/>
      <c r="G32" s="429"/>
      <c r="H32" s="429"/>
      <c r="I32" s="429"/>
      <c r="J32" s="429"/>
      <c r="K32" s="429"/>
    </row>
    <row r="33" spans="1:11" ht="12.75">
      <c r="A33" s="433" t="s">
        <v>4</v>
      </c>
      <c r="B33" s="434" t="s">
        <v>81</v>
      </c>
      <c r="C33" s="429"/>
      <c r="D33" s="429"/>
      <c r="E33" s="429"/>
      <c r="F33" s="429"/>
      <c r="G33" s="429"/>
      <c r="H33" s="429"/>
      <c r="I33" s="429"/>
      <c r="J33" s="429"/>
      <c r="K33" s="429"/>
    </row>
    <row r="34" spans="1:11" ht="12.75">
      <c r="A34" s="426">
        <v>1</v>
      </c>
      <c r="B34" s="426" t="s">
        <v>60</v>
      </c>
      <c r="C34" s="427"/>
      <c r="D34" s="427">
        <v>9200268</v>
      </c>
      <c r="E34" s="427">
        <f>C34+D34</f>
        <v>9200268</v>
      </c>
      <c r="F34" s="427"/>
      <c r="G34" s="427">
        <v>9200268</v>
      </c>
      <c r="H34" s="427">
        <f>F34+G34</f>
        <v>9200268</v>
      </c>
      <c r="I34" s="427">
        <f aca="true" t="shared" si="6" ref="I34:J38">F34-C34</f>
        <v>0</v>
      </c>
      <c r="J34" s="427">
        <f t="shared" si="6"/>
        <v>0</v>
      </c>
      <c r="K34" s="427">
        <f>I34+J34</f>
        <v>0</v>
      </c>
    </row>
    <row r="35" spans="1:11" ht="12.75">
      <c r="A35" s="489">
        <v>2</v>
      </c>
      <c r="B35" s="489" t="s">
        <v>11</v>
      </c>
      <c r="C35" s="490"/>
      <c r="D35" s="490">
        <v>0</v>
      </c>
      <c r="E35" s="490">
        <f>C35+D35</f>
        <v>0</v>
      </c>
      <c r="F35" s="490"/>
      <c r="G35" s="490">
        <v>0</v>
      </c>
      <c r="H35" s="490">
        <f>F35+G35</f>
        <v>0</v>
      </c>
      <c r="I35" s="490">
        <f t="shared" si="6"/>
        <v>0</v>
      </c>
      <c r="J35" s="490">
        <f t="shared" si="6"/>
        <v>0</v>
      </c>
      <c r="K35" s="490">
        <f>I35+J35</f>
        <v>0</v>
      </c>
    </row>
    <row r="36" spans="1:11" ht="12.75">
      <c r="A36" s="489">
        <v>3</v>
      </c>
      <c r="B36" s="489" t="s">
        <v>163</v>
      </c>
      <c r="C36" s="490"/>
      <c r="D36" s="490">
        <v>2516716</v>
      </c>
      <c r="E36" s="490">
        <f>C36+D36</f>
        <v>2516716</v>
      </c>
      <c r="F36" s="490"/>
      <c r="G36" s="490">
        <v>2516716</v>
      </c>
      <c r="H36" s="490">
        <f>F36+G36</f>
        <v>2516716</v>
      </c>
      <c r="I36" s="490">
        <f t="shared" si="6"/>
        <v>0</v>
      </c>
      <c r="J36" s="490">
        <f t="shared" si="6"/>
        <v>0</v>
      </c>
      <c r="K36" s="490">
        <f>I36+J36</f>
        <v>0</v>
      </c>
    </row>
    <row r="37" spans="1:11" ht="12.75">
      <c r="A37" s="489">
        <v>4</v>
      </c>
      <c r="B37" s="489" t="s">
        <v>12</v>
      </c>
      <c r="C37" s="490"/>
      <c r="D37" s="490">
        <v>1003165</v>
      </c>
      <c r="E37" s="490">
        <f>C37+D37</f>
        <v>1003165</v>
      </c>
      <c r="F37" s="490"/>
      <c r="G37" s="490">
        <v>1003165</v>
      </c>
      <c r="H37" s="490">
        <f>F37+G37</f>
        <v>1003165</v>
      </c>
      <c r="I37" s="490">
        <f t="shared" si="6"/>
        <v>0</v>
      </c>
      <c r="J37" s="490">
        <f t="shared" si="6"/>
        <v>0</v>
      </c>
      <c r="K37" s="490">
        <f>I37+J37</f>
        <v>0</v>
      </c>
    </row>
    <row r="38" spans="1:11" ht="12.75">
      <c r="A38" s="428"/>
      <c r="B38" s="434" t="s">
        <v>3</v>
      </c>
      <c r="C38" s="435">
        <f>SUM(C34:C37)</f>
        <v>0</v>
      </c>
      <c r="D38" s="435">
        <f>SUM(D34:D37)</f>
        <v>12720149</v>
      </c>
      <c r="E38" s="435">
        <f>C38+D38</f>
        <v>12720149</v>
      </c>
      <c r="F38" s="435">
        <f>SUM(F34:F37)</f>
        <v>0</v>
      </c>
      <c r="G38" s="435">
        <f>SUM(G34:G37)</f>
        <v>12720149</v>
      </c>
      <c r="H38" s="435">
        <f>F38+G38</f>
        <v>12720149</v>
      </c>
      <c r="I38" s="435">
        <f t="shared" si="6"/>
        <v>0</v>
      </c>
      <c r="J38" s="435">
        <f t="shared" si="6"/>
        <v>0</v>
      </c>
      <c r="K38" s="435">
        <f>I38+J38</f>
        <v>0</v>
      </c>
    </row>
    <row r="39" spans="1:11" ht="12.75">
      <c r="A39" s="433" t="s">
        <v>5</v>
      </c>
      <c r="B39" s="434" t="s">
        <v>80</v>
      </c>
      <c r="C39" s="429"/>
      <c r="D39" s="429"/>
      <c r="E39" s="429"/>
      <c r="F39" s="429"/>
      <c r="G39" s="429"/>
      <c r="H39" s="429"/>
      <c r="I39" s="429"/>
      <c r="J39" s="429"/>
      <c r="K39" s="429"/>
    </row>
    <row r="40" spans="1:11" ht="12.75">
      <c r="A40" s="426">
        <v>1</v>
      </c>
      <c r="B40" s="426"/>
      <c r="C40" s="427"/>
      <c r="D40" s="427"/>
      <c r="E40" s="427">
        <f>C40+D40</f>
        <v>0</v>
      </c>
      <c r="F40" s="427"/>
      <c r="G40" s="427"/>
      <c r="H40" s="427">
        <f>F40+G40</f>
        <v>0</v>
      </c>
      <c r="I40" s="427">
        <f aca="true" t="shared" si="7" ref="I40:J43">F40-C40</f>
        <v>0</v>
      </c>
      <c r="J40" s="427">
        <f t="shared" si="7"/>
        <v>0</v>
      </c>
      <c r="K40" s="427">
        <f>I40+J40</f>
        <v>0</v>
      </c>
    </row>
    <row r="41" spans="1:11" ht="12.75">
      <c r="A41" s="426">
        <v>2</v>
      </c>
      <c r="B41" s="426"/>
      <c r="C41" s="427"/>
      <c r="D41" s="427"/>
      <c r="E41" s="427">
        <f>C41+D41</f>
        <v>0</v>
      </c>
      <c r="F41" s="427"/>
      <c r="G41" s="427"/>
      <c r="H41" s="427">
        <f>F41+G41</f>
        <v>0</v>
      </c>
      <c r="I41" s="427">
        <f t="shared" si="7"/>
        <v>0</v>
      </c>
      <c r="J41" s="427">
        <f t="shared" si="7"/>
        <v>0</v>
      </c>
      <c r="K41" s="427">
        <f>I41+J41</f>
        <v>0</v>
      </c>
    </row>
    <row r="42" spans="1:11" ht="12.75">
      <c r="A42" s="428"/>
      <c r="B42" s="433" t="s">
        <v>3</v>
      </c>
      <c r="C42" s="435">
        <f>SUM(C40:C41)</f>
        <v>0</v>
      </c>
      <c r="D42" s="435">
        <f>SUM(D40:D41)</f>
        <v>0</v>
      </c>
      <c r="E42" s="435">
        <f>C42+D42</f>
        <v>0</v>
      </c>
      <c r="F42" s="435">
        <f>SUM(F40:F41)</f>
        <v>0</v>
      </c>
      <c r="G42" s="435">
        <f>SUM(G40:G41)</f>
        <v>0</v>
      </c>
      <c r="H42" s="435">
        <f>F42+G42</f>
        <v>0</v>
      </c>
      <c r="I42" s="435">
        <f t="shared" si="7"/>
        <v>0</v>
      </c>
      <c r="J42" s="435">
        <f t="shared" si="7"/>
        <v>0</v>
      </c>
      <c r="K42" s="435">
        <f>I42+J42</f>
        <v>0</v>
      </c>
    </row>
    <row r="43" spans="1:11" ht="12.75">
      <c r="A43" s="428"/>
      <c r="B43" s="428" t="s">
        <v>3</v>
      </c>
      <c r="C43" s="429">
        <f>C38+C42</f>
        <v>0</v>
      </c>
      <c r="D43" s="429">
        <f>D38+D42</f>
        <v>12720149</v>
      </c>
      <c r="E43" s="429">
        <f>C43+D43</f>
        <v>12720149</v>
      </c>
      <c r="F43" s="429">
        <f>F38+F42</f>
        <v>0</v>
      </c>
      <c r="G43" s="429">
        <f>G38+G42</f>
        <v>12720149</v>
      </c>
      <c r="H43" s="429">
        <f>F43+G43</f>
        <v>12720149</v>
      </c>
      <c r="I43" s="429">
        <f t="shared" si="7"/>
        <v>0</v>
      </c>
      <c r="J43" s="429">
        <f t="shared" si="7"/>
        <v>0</v>
      </c>
      <c r="K43" s="429">
        <f>I43+J43</f>
        <v>0</v>
      </c>
    </row>
    <row r="44" spans="1:11" ht="12.75">
      <c r="A44" s="428"/>
      <c r="B44" s="425"/>
      <c r="C44" s="429"/>
      <c r="D44" s="429"/>
      <c r="E44" s="429"/>
      <c r="F44" s="429"/>
      <c r="G44" s="429"/>
      <c r="H44" s="429"/>
      <c r="I44" s="429"/>
      <c r="J44" s="429"/>
      <c r="K44" s="429"/>
    </row>
    <row r="45" spans="1:11" ht="27" customHeight="1">
      <c r="A45" s="428"/>
      <c r="B45" s="436" t="s">
        <v>82</v>
      </c>
      <c r="C45" s="429">
        <f>C12+C30+C43</f>
        <v>1478181</v>
      </c>
      <c r="D45" s="429">
        <f>D12+D30+D43</f>
        <v>685286219</v>
      </c>
      <c r="E45" s="429">
        <f>C45+D45</f>
        <v>686764400</v>
      </c>
      <c r="F45" s="429">
        <f>F12+F30+F43</f>
        <v>1478181</v>
      </c>
      <c r="G45" s="429">
        <f>G12+G30+G43</f>
        <v>716579262</v>
      </c>
      <c r="H45" s="429">
        <f>F45+G45</f>
        <v>718057443</v>
      </c>
      <c r="I45" s="429">
        <f>F45-C45</f>
        <v>0</v>
      </c>
      <c r="J45" s="429">
        <f>G45-D45</f>
        <v>31293043</v>
      </c>
      <c r="K45" s="429">
        <f>I45+J45</f>
        <v>31293043</v>
      </c>
    </row>
    <row r="46" spans="1:11" ht="12.75">
      <c r="A46" s="428"/>
      <c r="B46" s="428"/>
      <c r="C46" s="429"/>
      <c r="D46" s="429"/>
      <c r="E46" s="429"/>
      <c r="F46" s="429"/>
      <c r="G46" s="429"/>
      <c r="H46" s="429"/>
      <c r="I46" s="429"/>
      <c r="J46" s="429"/>
      <c r="K46" s="429"/>
    </row>
    <row r="47" spans="1:11" ht="12.75">
      <c r="A47" s="428" t="s">
        <v>13</v>
      </c>
      <c r="B47" s="425" t="s">
        <v>83</v>
      </c>
      <c r="C47" s="429"/>
      <c r="D47" s="429"/>
      <c r="E47" s="429"/>
      <c r="F47" s="429"/>
      <c r="G47" s="429"/>
      <c r="H47" s="429"/>
      <c r="I47" s="429"/>
      <c r="J47" s="429"/>
      <c r="K47" s="429"/>
    </row>
    <row r="48" spans="1:11" ht="18" customHeight="1">
      <c r="A48" s="426">
        <v>1</v>
      </c>
      <c r="B48" s="431" t="s">
        <v>263</v>
      </c>
      <c r="C48" s="427"/>
      <c r="D48" s="427">
        <v>639200</v>
      </c>
      <c r="E48" s="427">
        <f aca="true" t="shared" si="8" ref="E48:E65">C48+D48</f>
        <v>639200</v>
      </c>
      <c r="F48" s="427"/>
      <c r="G48" s="427">
        <v>639200</v>
      </c>
      <c r="H48" s="427">
        <f aca="true" t="shared" si="9" ref="H48:H65">F48+G48</f>
        <v>639200</v>
      </c>
      <c r="I48" s="427">
        <f aca="true" t="shared" si="10" ref="I48:I65">F48-C48</f>
        <v>0</v>
      </c>
      <c r="J48" s="427">
        <f aca="true" t="shared" si="11" ref="J48:J65">G48-D48</f>
        <v>0</v>
      </c>
      <c r="K48" s="427">
        <f aca="true" t="shared" si="12" ref="K48:K65">I48+J48</f>
        <v>0</v>
      </c>
    </row>
    <row r="49" spans="1:11" ht="19.5" customHeight="1">
      <c r="A49" s="426">
        <v>2</v>
      </c>
      <c r="B49" s="426" t="s">
        <v>264</v>
      </c>
      <c r="C49" s="427"/>
      <c r="D49" s="427">
        <v>0</v>
      </c>
      <c r="E49" s="427">
        <f t="shared" si="8"/>
        <v>0</v>
      </c>
      <c r="F49" s="427"/>
      <c r="G49" s="427">
        <v>0</v>
      </c>
      <c r="H49" s="427">
        <f t="shared" si="9"/>
        <v>0</v>
      </c>
      <c r="I49" s="427">
        <f t="shared" si="10"/>
        <v>0</v>
      </c>
      <c r="J49" s="427">
        <f t="shared" si="11"/>
        <v>0</v>
      </c>
      <c r="K49" s="427">
        <f t="shared" si="12"/>
        <v>0</v>
      </c>
    </row>
    <row r="50" spans="1:11" ht="17.25" customHeight="1">
      <c r="A50" s="426">
        <v>3</v>
      </c>
      <c r="B50" s="426" t="s">
        <v>158</v>
      </c>
      <c r="C50" s="427"/>
      <c r="D50" s="427">
        <v>15946927</v>
      </c>
      <c r="E50" s="427">
        <f t="shared" si="8"/>
        <v>15946927</v>
      </c>
      <c r="F50" s="427"/>
      <c r="G50" s="427">
        <v>15946927</v>
      </c>
      <c r="H50" s="427">
        <f t="shared" si="9"/>
        <v>15946927</v>
      </c>
      <c r="I50" s="427">
        <f t="shared" si="10"/>
        <v>0</v>
      </c>
      <c r="J50" s="427">
        <f t="shared" si="11"/>
        <v>0</v>
      </c>
      <c r="K50" s="427">
        <f t="shared" si="12"/>
        <v>0</v>
      </c>
    </row>
    <row r="51" spans="1:11" ht="15.75" customHeight="1">
      <c r="A51" s="426">
        <v>4</v>
      </c>
      <c r="B51" s="431" t="s">
        <v>265</v>
      </c>
      <c r="C51" s="437"/>
      <c r="D51" s="437">
        <v>23508817</v>
      </c>
      <c r="E51" s="427">
        <f t="shared" si="8"/>
        <v>23508817</v>
      </c>
      <c r="F51" s="427"/>
      <c r="G51" s="427">
        <v>23508817</v>
      </c>
      <c r="H51" s="427">
        <f t="shared" si="9"/>
        <v>23508817</v>
      </c>
      <c r="I51" s="427">
        <f t="shared" si="10"/>
        <v>0</v>
      </c>
      <c r="J51" s="427">
        <f t="shared" si="11"/>
        <v>0</v>
      </c>
      <c r="K51" s="427">
        <f t="shared" si="12"/>
        <v>0</v>
      </c>
    </row>
    <row r="52" spans="1:11" ht="15.75" customHeight="1">
      <c r="A52" s="426">
        <v>5</v>
      </c>
      <c r="B52" s="426" t="s">
        <v>159</v>
      </c>
      <c r="C52" s="427"/>
      <c r="D52" s="427">
        <v>2572248</v>
      </c>
      <c r="E52" s="427">
        <f t="shared" si="8"/>
        <v>2572248</v>
      </c>
      <c r="F52" s="427"/>
      <c r="G52" s="427">
        <v>2572248</v>
      </c>
      <c r="H52" s="427">
        <f t="shared" si="9"/>
        <v>2572248</v>
      </c>
      <c r="I52" s="427">
        <f t="shared" si="10"/>
        <v>0</v>
      </c>
      <c r="J52" s="427">
        <f t="shared" si="11"/>
        <v>0</v>
      </c>
      <c r="K52" s="427">
        <f t="shared" si="12"/>
        <v>0</v>
      </c>
    </row>
    <row r="53" spans="1:11" ht="17.25" customHeight="1">
      <c r="A53" s="426">
        <v>6</v>
      </c>
      <c r="B53" s="426" t="s">
        <v>160</v>
      </c>
      <c r="C53" s="427"/>
      <c r="D53" s="427">
        <v>24272390</v>
      </c>
      <c r="E53" s="427">
        <f t="shared" si="8"/>
        <v>24272390</v>
      </c>
      <c r="F53" s="427"/>
      <c r="G53" s="427">
        <v>24272390</v>
      </c>
      <c r="H53" s="427">
        <f t="shared" si="9"/>
        <v>24272390</v>
      </c>
      <c r="I53" s="427">
        <f t="shared" si="10"/>
        <v>0</v>
      </c>
      <c r="J53" s="427">
        <f t="shared" si="11"/>
        <v>0</v>
      </c>
      <c r="K53" s="427">
        <f t="shared" si="12"/>
        <v>0</v>
      </c>
    </row>
    <row r="54" spans="1:11" ht="12.75">
      <c r="A54" s="426">
        <v>7</v>
      </c>
      <c r="B54" s="426" t="s">
        <v>161</v>
      </c>
      <c r="C54" s="427"/>
      <c r="D54" s="427">
        <v>107216694</v>
      </c>
      <c r="E54" s="427">
        <f t="shared" si="8"/>
        <v>107216694</v>
      </c>
      <c r="F54" s="427"/>
      <c r="G54" s="427">
        <v>107216694</v>
      </c>
      <c r="H54" s="427">
        <f t="shared" si="9"/>
        <v>107216694</v>
      </c>
      <c r="I54" s="427">
        <f t="shared" si="10"/>
        <v>0</v>
      </c>
      <c r="J54" s="427">
        <f t="shared" si="11"/>
        <v>0</v>
      </c>
      <c r="K54" s="427">
        <f t="shared" si="12"/>
        <v>0</v>
      </c>
    </row>
    <row r="55" spans="1:11" ht="12.75">
      <c r="A55" s="426">
        <v>8</v>
      </c>
      <c r="B55" s="426" t="s">
        <v>162</v>
      </c>
      <c r="C55" s="427"/>
      <c r="D55" s="427">
        <v>182807730</v>
      </c>
      <c r="E55" s="427">
        <f t="shared" si="8"/>
        <v>182807730</v>
      </c>
      <c r="F55" s="427"/>
      <c r="G55" s="427">
        <v>182807730</v>
      </c>
      <c r="H55" s="427">
        <f t="shared" si="9"/>
        <v>182807730</v>
      </c>
      <c r="I55" s="427">
        <f t="shared" si="10"/>
        <v>0</v>
      </c>
      <c r="J55" s="427">
        <f t="shared" si="11"/>
        <v>0</v>
      </c>
      <c r="K55" s="427">
        <f t="shared" si="12"/>
        <v>0</v>
      </c>
    </row>
    <row r="56" spans="1:11" ht="12.75">
      <c r="A56" s="426">
        <v>9</v>
      </c>
      <c r="B56" s="426" t="s">
        <v>266</v>
      </c>
      <c r="C56" s="427"/>
      <c r="D56" s="427">
        <v>76818118</v>
      </c>
      <c r="E56" s="427">
        <f t="shared" si="8"/>
        <v>76818118</v>
      </c>
      <c r="F56" s="427"/>
      <c r="G56" s="427">
        <v>76818118</v>
      </c>
      <c r="H56" s="427">
        <f t="shared" si="9"/>
        <v>76818118</v>
      </c>
      <c r="I56" s="427">
        <f t="shared" si="10"/>
        <v>0</v>
      </c>
      <c r="J56" s="427">
        <f t="shared" si="11"/>
        <v>0</v>
      </c>
      <c r="K56" s="427">
        <f t="shared" si="12"/>
        <v>0</v>
      </c>
    </row>
    <row r="57" spans="1:11" ht="13.5" customHeight="1">
      <c r="A57" s="426">
        <v>10</v>
      </c>
      <c r="B57" s="431" t="s">
        <v>211</v>
      </c>
      <c r="C57" s="427"/>
      <c r="D57" s="427">
        <v>354047786</v>
      </c>
      <c r="E57" s="437">
        <f t="shared" si="8"/>
        <v>354047786</v>
      </c>
      <c r="F57" s="437"/>
      <c r="G57" s="437">
        <v>354047786</v>
      </c>
      <c r="H57" s="437">
        <f t="shared" si="9"/>
        <v>354047786</v>
      </c>
      <c r="I57" s="437">
        <f t="shared" si="10"/>
        <v>0</v>
      </c>
      <c r="J57" s="437">
        <f t="shared" si="11"/>
        <v>0</v>
      </c>
      <c r="K57" s="437">
        <f t="shared" si="12"/>
        <v>0</v>
      </c>
    </row>
    <row r="58" spans="1:11" ht="12.75">
      <c r="A58" s="426">
        <v>11</v>
      </c>
      <c r="B58" s="426" t="s">
        <v>267</v>
      </c>
      <c r="C58" s="427"/>
      <c r="D58" s="427">
        <v>39689680</v>
      </c>
      <c r="E58" s="427">
        <f t="shared" si="8"/>
        <v>39689680</v>
      </c>
      <c r="F58" s="427"/>
      <c r="G58" s="427">
        <v>39689680</v>
      </c>
      <c r="H58" s="427">
        <f t="shared" si="9"/>
        <v>39689680</v>
      </c>
      <c r="I58" s="427">
        <f t="shared" si="10"/>
        <v>0</v>
      </c>
      <c r="J58" s="427">
        <f t="shared" si="11"/>
        <v>0</v>
      </c>
      <c r="K58" s="427">
        <f t="shared" si="12"/>
        <v>0</v>
      </c>
    </row>
    <row r="59" spans="1:11" ht="12.75">
      <c r="A59" s="426">
        <v>12</v>
      </c>
      <c r="B59" s="438" t="s">
        <v>212</v>
      </c>
      <c r="C59" s="427"/>
      <c r="D59" s="427">
        <f>33847610-1570000</f>
        <v>32277610</v>
      </c>
      <c r="E59" s="427">
        <f t="shared" si="8"/>
        <v>32277610</v>
      </c>
      <c r="F59" s="427"/>
      <c r="G59" s="427">
        <v>32277610</v>
      </c>
      <c r="H59" s="427">
        <f t="shared" si="9"/>
        <v>32277610</v>
      </c>
      <c r="I59" s="427">
        <f t="shared" si="10"/>
        <v>0</v>
      </c>
      <c r="J59" s="427">
        <f t="shared" si="11"/>
        <v>0</v>
      </c>
      <c r="K59" s="427">
        <f t="shared" si="12"/>
        <v>0</v>
      </c>
    </row>
    <row r="60" spans="1:11" ht="14.25" customHeight="1">
      <c r="A60" s="426">
        <v>13</v>
      </c>
      <c r="B60" s="438" t="s">
        <v>268</v>
      </c>
      <c r="C60" s="427">
        <v>1400000</v>
      </c>
      <c r="D60" s="427">
        <v>0</v>
      </c>
      <c r="E60" s="437">
        <f t="shared" si="8"/>
        <v>1400000</v>
      </c>
      <c r="F60" s="437">
        <v>1400000</v>
      </c>
      <c r="G60" s="437">
        <v>0</v>
      </c>
      <c r="H60" s="437">
        <f t="shared" si="9"/>
        <v>1400000</v>
      </c>
      <c r="I60" s="437">
        <f t="shared" si="10"/>
        <v>0</v>
      </c>
      <c r="J60" s="437">
        <f t="shared" si="11"/>
        <v>0</v>
      </c>
      <c r="K60" s="437">
        <f t="shared" si="12"/>
        <v>0</v>
      </c>
    </row>
    <row r="61" spans="1:11" ht="12.75" customHeight="1">
      <c r="A61" s="426">
        <v>14</v>
      </c>
      <c r="B61" s="438" t="s">
        <v>269</v>
      </c>
      <c r="C61" s="427">
        <v>2167305</v>
      </c>
      <c r="D61" s="427">
        <v>0</v>
      </c>
      <c r="E61" s="437">
        <f t="shared" si="8"/>
        <v>2167305</v>
      </c>
      <c r="F61" s="437">
        <v>2167305</v>
      </c>
      <c r="G61" s="437">
        <v>0</v>
      </c>
      <c r="H61" s="437">
        <f t="shared" si="9"/>
        <v>2167305</v>
      </c>
      <c r="I61" s="437">
        <f t="shared" si="10"/>
        <v>0</v>
      </c>
      <c r="J61" s="437">
        <f t="shared" si="11"/>
        <v>0</v>
      </c>
      <c r="K61" s="437">
        <f t="shared" si="12"/>
        <v>0</v>
      </c>
    </row>
    <row r="62" spans="1:11" ht="12.75">
      <c r="A62" s="489">
        <v>15</v>
      </c>
      <c r="B62" s="494" t="s">
        <v>213</v>
      </c>
      <c r="C62" s="490"/>
      <c r="D62" s="490">
        <v>12913983</v>
      </c>
      <c r="E62" s="490">
        <f t="shared" si="8"/>
        <v>12913983</v>
      </c>
      <c r="F62" s="490"/>
      <c r="G62" s="490">
        <v>12913983</v>
      </c>
      <c r="H62" s="490">
        <f t="shared" si="9"/>
        <v>12913983</v>
      </c>
      <c r="I62" s="490">
        <f t="shared" si="10"/>
        <v>0</v>
      </c>
      <c r="J62" s="490">
        <f t="shared" si="11"/>
        <v>0</v>
      </c>
      <c r="K62" s="490">
        <f t="shared" si="12"/>
        <v>0</v>
      </c>
    </row>
    <row r="63" spans="1:11" ht="12.75">
      <c r="A63" s="489">
        <v>16</v>
      </c>
      <c r="B63" s="494" t="s">
        <v>270</v>
      </c>
      <c r="C63" s="490"/>
      <c r="D63" s="490">
        <v>3500000</v>
      </c>
      <c r="E63" s="490">
        <f t="shared" si="8"/>
        <v>3500000</v>
      </c>
      <c r="F63" s="490"/>
      <c r="G63" s="490">
        <v>3500000</v>
      </c>
      <c r="H63" s="490">
        <f t="shared" si="9"/>
        <v>3500000</v>
      </c>
      <c r="I63" s="490">
        <f t="shared" si="10"/>
        <v>0</v>
      </c>
      <c r="J63" s="490">
        <f t="shared" si="11"/>
        <v>0</v>
      </c>
      <c r="K63" s="490">
        <f t="shared" si="12"/>
        <v>0</v>
      </c>
    </row>
    <row r="64" spans="1:11" ht="12.75">
      <c r="A64" s="426">
        <v>17</v>
      </c>
      <c r="B64" s="438" t="s">
        <v>271</v>
      </c>
      <c r="C64" s="427"/>
      <c r="D64" s="427">
        <v>0</v>
      </c>
      <c r="E64" s="427">
        <f t="shared" si="8"/>
        <v>0</v>
      </c>
      <c r="F64" s="427">
        <v>4000000</v>
      </c>
      <c r="G64" s="427">
        <v>0</v>
      </c>
      <c r="H64" s="427">
        <f t="shared" si="9"/>
        <v>4000000</v>
      </c>
      <c r="I64" s="427">
        <f t="shared" si="10"/>
        <v>4000000</v>
      </c>
      <c r="J64" s="427">
        <f t="shared" si="11"/>
        <v>0</v>
      </c>
      <c r="K64" s="427">
        <f t="shared" si="12"/>
        <v>4000000</v>
      </c>
    </row>
    <row r="65" spans="1:11" ht="12.75">
      <c r="A65" s="428"/>
      <c r="B65" s="434" t="s">
        <v>3</v>
      </c>
      <c r="C65" s="435">
        <f>SUM(C48:C64)</f>
        <v>3567305</v>
      </c>
      <c r="D65" s="435">
        <f>SUM(D48:D64)</f>
        <v>876211183</v>
      </c>
      <c r="E65" s="435">
        <f t="shared" si="8"/>
        <v>879778488</v>
      </c>
      <c r="F65" s="435">
        <f>SUM(F48:F64)</f>
        <v>7567305</v>
      </c>
      <c r="G65" s="435">
        <f>SUM(G48:G64)</f>
        <v>876211183</v>
      </c>
      <c r="H65" s="435">
        <f t="shared" si="9"/>
        <v>883778488</v>
      </c>
      <c r="I65" s="435">
        <f t="shared" si="10"/>
        <v>4000000</v>
      </c>
      <c r="J65" s="435">
        <f t="shared" si="11"/>
        <v>0</v>
      </c>
      <c r="K65" s="435">
        <f t="shared" si="12"/>
        <v>4000000</v>
      </c>
    </row>
    <row r="66" spans="1:11" ht="12.75">
      <c r="A66" s="428"/>
      <c r="B66" s="434"/>
      <c r="C66" s="435"/>
      <c r="D66" s="435"/>
      <c r="E66" s="435"/>
      <c r="F66" s="435"/>
      <c r="G66" s="435"/>
      <c r="H66" s="435"/>
      <c r="I66" s="435"/>
      <c r="J66" s="435"/>
      <c r="K66" s="435"/>
    </row>
    <row r="67" spans="1:11" ht="12.75">
      <c r="A67" s="428" t="s">
        <v>214</v>
      </c>
      <c r="B67" s="425" t="s">
        <v>198</v>
      </c>
      <c r="C67" s="435"/>
      <c r="D67" s="435"/>
      <c r="E67" s="435"/>
      <c r="F67" s="435"/>
      <c r="G67" s="435"/>
      <c r="H67" s="435"/>
      <c r="I67" s="435"/>
      <c r="J67" s="435"/>
      <c r="K67" s="435"/>
    </row>
    <row r="68" spans="1:11" ht="12.75">
      <c r="A68" s="428"/>
      <c r="B68" s="434"/>
      <c r="C68" s="435"/>
      <c r="D68" s="435"/>
      <c r="E68" s="435"/>
      <c r="F68" s="435"/>
      <c r="G68" s="435"/>
      <c r="H68" s="435"/>
      <c r="I68" s="435"/>
      <c r="J68" s="435"/>
      <c r="K68" s="435"/>
    </row>
    <row r="69" spans="1:11" ht="12.75">
      <c r="A69" s="439">
        <v>1</v>
      </c>
      <c r="B69" s="440" t="s">
        <v>215</v>
      </c>
      <c r="C69" s="441">
        <v>0</v>
      </c>
      <c r="D69" s="441">
        <v>0</v>
      </c>
      <c r="E69" s="441">
        <f>C69+D69</f>
        <v>0</v>
      </c>
      <c r="F69" s="441">
        <v>0</v>
      </c>
      <c r="G69" s="441">
        <v>0</v>
      </c>
      <c r="H69" s="441">
        <f>F69+G69</f>
        <v>0</v>
      </c>
      <c r="I69" s="441">
        <f>F69-C69</f>
        <v>0</v>
      </c>
      <c r="J69" s="441">
        <f>G69-D69</f>
        <v>0</v>
      </c>
      <c r="K69" s="441">
        <f>I69+J69</f>
        <v>0</v>
      </c>
    </row>
    <row r="70" spans="1:11" ht="12.75">
      <c r="A70" s="82"/>
      <c r="B70" s="82"/>
      <c r="C70" s="442"/>
      <c r="D70" s="442"/>
      <c r="E70" s="442"/>
      <c r="F70" s="442"/>
      <c r="G70" s="442"/>
      <c r="H70" s="442"/>
      <c r="I70" s="442"/>
      <c r="J70" s="442"/>
      <c r="K70" s="442"/>
    </row>
    <row r="71" spans="1:11" ht="12.75">
      <c r="A71" s="428"/>
      <c r="B71" s="425" t="s">
        <v>84</v>
      </c>
      <c r="C71" s="429">
        <f>C65+C69</f>
        <v>3567305</v>
      </c>
      <c r="D71" s="429">
        <f>D65+D69</f>
        <v>876211183</v>
      </c>
      <c r="E71" s="429">
        <f>C71+D71</f>
        <v>879778488</v>
      </c>
      <c r="F71" s="429">
        <f>F65+F69</f>
        <v>7567305</v>
      </c>
      <c r="G71" s="429">
        <f>G65+G69</f>
        <v>876211183</v>
      </c>
      <c r="H71" s="429">
        <f>F71+G71</f>
        <v>883778488</v>
      </c>
      <c r="I71" s="429">
        <f>F71-C71</f>
        <v>4000000</v>
      </c>
      <c r="J71" s="429">
        <f>G71-D71</f>
        <v>0</v>
      </c>
      <c r="K71" s="429">
        <f>I71+J71</f>
        <v>4000000</v>
      </c>
    </row>
    <row r="72" spans="1:11" ht="12.75">
      <c r="A72" s="428"/>
      <c r="B72" s="425"/>
      <c r="C72" s="429"/>
      <c r="D72" s="429"/>
      <c r="E72" s="429"/>
      <c r="F72" s="429"/>
      <c r="G72" s="429"/>
      <c r="H72" s="429"/>
      <c r="I72" s="429"/>
      <c r="J72" s="429"/>
      <c r="K72" s="429"/>
    </row>
    <row r="73" spans="1:11" ht="12.75">
      <c r="A73" s="82"/>
      <c r="B73" s="428" t="s">
        <v>14</v>
      </c>
      <c r="C73" s="443">
        <f>C45+C71</f>
        <v>5045486</v>
      </c>
      <c r="D73" s="443">
        <f>D45+D71</f>
        <v>1561497402</v>
      </c>
      <c r="E73" s="443">
        <f>C73+D73</f>
        <v>1566542888</v>
      </c>
      <c r="F73" s="443">
        <f>F45+F71</f>
        <v>9045486</v>
      </c>
      <c r="G73" s="443">
        <f>G45+G71</f>
        <v>1592790445</v>
      </c>
      <c r="H73" s="443">
        <f>F73+G73</f>
        <v>1601835931</v>
      </c>
      <c r="I73" s="443">
        <f>F73-C73</f>
        <v>4000000</v>
      </c>
      <c r="J73" s="443">
        <f>G73-D73</f>
        <v>31293043</v>
      </c>
      <c r="K73" s="443">
        <f>I73+J73</f>
        <v>35293043</v>
      </c>
    </row>
    <row r="74" spans="1:11" ht="12.75">
      <c r="A74" s="82"/>
      <c r="B74" s="428" t="s">
        <v>45</v>
      </c>
      <c r="C74" s="442"/>
      <c r="D74" s="442"/>
      <c r="E74" s="442"/>
      <c r="F74" s="442"/>
      <c r="G74" s="442"/>
      <c r="H74" s="442"/>
      <c r="I74" s="442"/>
      <c r="J74" s="442"/>
      <c r="K74" s="442"/>
    </row>
    <row r="75" spans="1:11" ht="12.75">
      <c r="A75" s="82"/>
      <c r="B75" s="444" t="s">
        <v>46</v>
      </c>
      <c r="C75" s="437">
        <f>C73-C76-C77</f>
        <v>5045486</v>
      </c>
      <c r="D75" s="437">
        <f>D73-D76-D77</f>
        <v>1491563538</v>
      </c>
      <c r="E75" s="437">
        <f>C75+D75</f>
        <v>1496609024</v>
      </c>
      <c r="F75" s="437">
        <f>F73-F76-F77</f>
        <v>9045486</v>
      </c>
      <c r="G75" s="437">
        <f>G73-G76-G77</f>
        <v>1522856581</v>
      </c>
      <c r="H75" s="437">
        <f>F75+G75</f>
        <v>1531902067</v>
      </c>
      <c r="I75" s="437">
        <f>F75-C75</f>
        <v>4000000</v>
      </c>
      <c r="J75" s="437">
        <f>G75-D75</f>
        <v>31293043</v>
      </c>
      <c r="K75" s="437">
        <f>I75+J75</f>
        <v>35293043</v>
      </c>
    </row>
    <row r="76" spans="1:11" ht="12.75">
      <c r="A76" s="82"/>
      <c r="B76" s="495" t="s">
        <v>44</v>
      </c>
      <c r="C76" s="496">
        <f aca="true" t="shared" si="13" ref="C76:K76">C37+C36+C35+C28+C29+C62+C63</f>
        <v>0</v>
      </c>
      <c r="D76" s="496">
        <f t="shared" si="13"/>
        <v>69933864</v>
      </c>
      <c r="E76" s="496">
        <f t="shared" si="13"/>
        <v>69933864</v>
      </c>
      <c r="F76" s="496">
        <f t="shared" si="13"/>
        <v>0</v>
      </c>
      <c r="G76" s="496">
        <f t="shared" si="13"/>
        <v>69933864</v>
      </c>
      <c r="H76" s="496">
        <f t="shared" si="13"/>
        <v>69933864</v>
      </c>
      <c r="I76" s="496">
        <f t="shared" si="13"/>
        <v>0</v>
      </c>
      <c r="J76" s="496">
        <f t="shared" si="13"/>
        <v>0</v>
      </c>
      <c r="K76" s="496">
        <f t="shared" si="13"/>
        <v>0</v>
      </c>
    </row>
    <row r="77" spans="1:11" ht="12.75">
      <c r="A77" s="82"/>
      <c r="B77" s="439" t="s">
        <v>216</v>
      </c>
      <c r="C77" s="445">
        <f>C69</f>
        <v>0</v>
      </c>
      <c r="D77" s="445">
        <f>D69</f>
        <v>0</v>
      </c>
      <c r="E77" s="445">
        <f>C77+D77</f>
        <v>0</v>
      </c>
      <c r="F77" s="445">
        <f>F69</f>
        <v>0</v>
      </c>
      <c r="G77" s="445">
        <f>G69</f>
        <v>0</v>
      </c>
      <c r="H77" s="445">
        <f>F77+G77</f>
        <v>0</v>
      </c>
      <c r="I77" s="445">
        <f>F77-C77</f>
        <v>0</v>
      </c>
      <c r="J77" s="445">
        <f>G77-D77</f>
        <v>0</v>
      </c>
      <c r="K77" s="445">
        <f>I77+J77</f>
        <v>0</v>
      </c>
    </row>
  </sheetData>
  <sheetProtection/>
  <mergeCells count="7">
    <mergeCell ref="C6:E6"/>
    <mergeCell ref="F6:H6"/>
    <mergeCell ref="I6:K6"/>
    <mergeCell ref="A4:K4"/>
    <mergeCell ref="A5:E5"/>
    <mergeCell ref="A1:B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5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70.75390625" style="0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</cols>
  <sheetData>
    <row r="1" spans="1:5" ht="13.5" customHeight="1">
      <c r="A1" s="559" t="s">
        <v>299</v>
      </c>
      <c r="B1" s="559"/>
      <c r="C1" s="559"/>
      <c r="D1" s="559"/>
      <c r="E1" s="559"/>
    </row>
    <row r="2" spans="1:5" ht="13.5">
      <c r="A2" s="559" t="s">
        <v>287</v>
      </c>
      <c r="B2" s="559"/>
      <c r="C2" s="559"/>
      <c r="D2" s="559"/>
      <c r="E2" s="559"/>
    </row>
    <row r="3" spans="1:11" ht="12.75">
      <c r="A3" s="557" t="s">
        <v>272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</row>
    <row r="4" spans="1:11" ht="12.75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</row>
    <row r="5" spans="1:11" ht="24" customHeight="1">
      <c r="A5" s="423"/>
      <c r="B5" s="423"/>
      <c r="C5" s="560" t="s">
        <v>176</v>
      </c>
      <c r="D5" s="560"/>
      <c r="E5" s="560"/>
      <c r="F5" s="560" t="s">
        <v>257</v>
      </c>
      <c r="G5" s="560"/>
      <c r="H5" s="560"/>
      <c r="I5" s="560" t="s">
        <v>177</v>
      </c>
      <c r="J5" s="560"/>
      <c r="K5" s="560"/>
    </row>
    <row r="6" spans="1:11" ht="24" customHeight="1">
      <c r="A6" s="423"/>
      <c r="B6" s="423"/>
      <c r="C6" s="423" t="s">
        <v>200</v>
      </c>
      <c r="D6" s="423" t="s">
        <v>201</v>
      </c>
      <c r="E6" s="423" t="s">
        <v>202</v>
      </c>
      <c r="F6" s="423" t="s">
        <v>200</v>
      </c>
      <c r="G6" s="423" t="s">
        <v>201</v>
      </c>
      <c r="H6" s="423" t="s">
        <v>202</v>
      </c>
      <c r="I6" s="423" t="s">
        <v>200</v>
      </c>
      <c r="J6" s="423" t="s">
        <v>201</v>
      </c>
      <c r="K6" s="423" t="s">
        <v>202</v>
      </c>
    </row>
    <row r="7" spans="1:11" ht="12.75">
      <c r="A7" s="428" t="s">
        <v>1</v>
      </c>
      <c r="B7" s="436" t="s">
        <v>69</v>
      </c>
      <c r="C7" s="429"/>
      <c r="D7" s="429"/>
      <c r="E7" s="429"/>
      <c r="F7" s="429"/>
      <c r="G7" s="429"/>
      <c r="H7" s="429"/>
      <c r="I7" s="429"/>
      <c r="J7" s="429"/>
      <c r="K7" s="429"/>
    </row>
    <row r="8" spans="1:12" ht="15" customHeight="1">
      <c r="A8" s="497">
        <v>1</v>
      </c>
      <c r="B8" s="498" t="s">
        <v>22</v>
      </c>
      <c r="C8" s="499"/>
      <c r="D8" s="499">
        <v>6000000</v>
      </c>
      <c r="E8" s="499">
        <f aca="true" t="shared" si="0" ref="E8:E47">C8+D8</f>
        <v>6000000</v>
      </c>
      <c r="F8" s="499"/>
      <c r="G8" s="499">
        <v>6000000</v>
      </c>
      <c r="H8" s="499">
        <f aca="true" t="shared" si="1" ref="H8:H47">F8+G8</f>
        <v>6000000</v>
      </c>
      <c r="I8" s="499">
        <f aca="true" t="shared" si="2" ref="I8:I48">F8-C8</f>
        <v>0</v>
      </c>
      <c r="J8" s="499">
        <f aca="true" t="shared" si="3" ref="J8:J48">G8-D8</f>
        <v>0</v>
      </c>
      <c r="K8" s="499">
        <f aca="true" t="shared" si="4" ref="K8:K47">I8+J8</f>
        <v>0</v>
      </c>
      <c r="L8" s="510"/>
    </row>
    <row r="9" spans="1:12" ht="15" customHeight="1">
      <c r="A9" s="497">
        <v>2</v>
      </c>
      <c r="B9" s="498" t="s">
        <v>20</v>
      </c>
      <c r="C9" s="499"/>
      <c r="D9" s="499">
        <v>5000000</v>
      </c>
      <c r="E9" s="499">
        <f t="shared" si="0"/>
        <v>5000000</v>
      </c>
      <c r="F9" s="499"/>
      <c r="G9" s="499">
        <v>5000000</v>
      </c>
      <c r="H9" s="499">
        <f t="shared" si="1"/>
        <v>5000000</v>
      </c>
      <c r="I9" s="499">
        <f t="shared" si="2"/>
        <v>0</v>
      </c>
      <c r="J9" s="499">
        <f t="shared" si="3"/>
        <v>0</v>
      </c>
      <c r="K9" s="499">
        <f t="shared" si="4"/>
        <v>0</v>
      </c>
      <c r="L9" s="510"/>
    </row>
    <row r="10" spans="1:12" ht="15" customHeight="1">
      <c r="A10" s="497">
        <v>3</v>
      </c>
      <c r="B10" s="491" t="s">
        <v>122</v>
      </c>
      <c r="C10" s="488"/>
      <c r="D10" s="488">
        <v>4000000</v>
      </c>
      <c r="E10" s="488">
        <f t="shared" si="0"/>
        <v>4000000</v>
      </c>
      <c r="F10" s="488"/>
      <c r="G10" s="488">
        <v>8972569</v>
      </c>
      <c r="H10" s="488">
        <f t="shared" si="1"/>
        <v>8972569</v>
      </c>
      <c r="I10" s="488">
        <f t="shared" si="2"/>
        <v>0</v>
      </c>
      <c r="J10" s="488">
        <f t="shared" si="3"/>
        <v>4972569</v>
      </c>
      <c r="K10" s="488">
        <f t="shared" si="4"/>
        <v>4972569</v>
      </c>
      <c r="L10" s="510"/>
    </row>
    <row r="11" spans="1:12" ht="15" customHeight="1">
      <c r="A11" s="497">
        <v>4</v>
      </c>
      <c r="B11" s="491" t="s">
        <v>61</v>
      </c>
      <c r="C11" s="488"/>
      <c r="D11" s="488">
        <v>5000000</v>
      </c>
      <c r="E11" s="488">
        <f t="shared" si="0"/>
        <v>5000000</v>
      </c>
      <c r="F11" s="488"/>
      <c r="G11" s="488">
        <v>5000000</v>
      </c>
      <c r="H11" s="488">
        <f t="shared" si="1"/>
        <v>5000000</v>
      </c>
      <c r="I11" s="488">
        <f t="shared" si="2"/>
        <v>0</v>
      </c>
      <c r="J11" s="488">
        <f t="shared" si="3"/>
        <v>0</v>
      </c>
      <c r="K11" s="488">
        <f t="shared" si="4"/>
        <v>0</v>
      </c>
      <c r="L11" s="510"/>
    </row>
    <row r="12" spans="1:12" ht="15" customHeight="1">
      <c r="A12" s="497">
        <v>5</v>
      </c>
      <c r="B12" s="493" t="s">
        <v>273</v>
      </c>
      <c r="C12" s="488"/>
      <c r="D12" s="488">
        <v>96639200</v>
      </c>
      <c r="E12" s="488">
        <f t="shared" si="0"/>
        <v>96639200</v>
      </c>
      <c r="F12" s="488"/>
      <c r="G12" s="488">
        <v>96639200</v>
      </c>
      <c r="H12" s="488">
        <f t="shared" si="1"/>
        <v>96639200</v>
      </c>
      <c r="I12" s="488">
        <f t="shared" si="2"/>
        <v>0</v>
      </c>
      <c r="J12" s="488">
        <f t="shared" si="3"/>
        <v>0</v>
      </c>
      <c r="K12" s="488">
        <f t="shared" si="4"/>
        <v>0</v>
      </c>
      <c r="L12" s="510"/>
    </row>
    <row r="13" spans="1:12" ht="15" customHeight="1">
      <c r="A13" s="500">
        <v>6</v>
      </c>
      <c r="B13" s="501" t="s">
        <v>217</v>
      </c>
      <c r="C13" s="496"/>
      <c r="D13" s="496">
        <v>53500000</v>
      </c>
      <c r="E13" s="490">
        <f t="shared" si="0"/>
        <v>53500000</v>
      </c>
      <c r="F13" s="490"/>
      <c r="G13" s="490">
        <v>53500000</v>
      </c>
      <c r="H13" s="490">
        <f t="shared" si="1"/>
        <v>53500000</v>
      </c>
      <c r="I13" s="490">
        <f t="shared" si="2"/>
        <v>0</v>
      </c>
      <c r="J13" s="490">
        <f t="shared" si="3"/>
        <v>0</v>
      </c>
      <c r="K13" s="490">
        <f t="shared" si="4"/>
        <v>0</v>
      </c>
      <c r="L13" s="510"/>
    </row>
    <row r="14" spans="1:12" ht="15" customHeight="1">
      <c r="A14" s="497">
        <v>7</v>
      </c>
      <c r="B14" s="491" t="s">
        <v>218</v>
      </c>
      <c r="C14" s="488"/>
      <c r="D14" s="488">
        <v>10000000</v>
      </c>
      <c r="E14" s="492">
        <f t="shared" si="0"/>
        <v>10000000</v>
      </c>
      <c r="F14" s="492"/>
      <c r="G14" s="492">
        <v>10000000</v>
      </c>
      <c r="H14" s="492">
        <f t="shared" si="1"/>
        <v>10000000</v>
      </c>
      <c r="I14" s="492">
        <f t="shared" si="2"/>
        <v>0</v>
      </c>
      <c r="J14" s="492">
        <f t="shared" si="3"/>
        <v>0</v>
      </c>
      <c r="K14" s="492">
        <f t="shared" si="4"/>
        <v>0</v>
      </c>
      <c r="L14" s="510"/>
    </row>
    <row r="15" spans="1:12" ht="15" customHeight="1">
      <c r="A15" s="497">
        <v>8</v>
      </c>
      <c r="B15" s="491" t="s">
        <v>219</v>
      </c>
      <c r="C15" s="488"/>
      <c r="D15" s="488">
        <v>1700000</v>
      </c>
      <c r="E15" s="488">
        <f t="shared" si="0"/>
        <v>1700000</v>
      </c>
      <c r="F15" s="488"/>
      <c r="G15" s="488">
        <v>1700000</v>
      </c>
      <c r="H15" s="488">
        <f t="shared" si="1"/>
        <v>1700000</v>
      </c>
      <c r="I15" s="488">
        <f t="shared" si="2"/>
        <v>0</v>
      </c>
      <c r="J15" s="488">
        <f t="shared" si="3"/>
        <v>0</v>
      </c>
      <c r="K15" s="488">
        <f t="shared" si="4"/>
        <v>0</v>
      </c>
      <c r="L15" s="510"/>
    </row>
    <row r="16" spans="1:12" ht="15" customHeight="1">
      <c r="A16" s="497">
        <v>9</v>
      </c>
      <c r="B16" s="491" t="s">
        <v>212</v>
      </c>
      <c r="C16" s="488"/>
      <c r="D16" s="488">
        <v>33847610</v>
      </c>
      <c r="E16" s="488">
        <f t="shared" si="0"/>
        <v>33847610</v>
      </c>
      <c r="F16" s="488"/>
      <c r="G16" s="488">
        <f>33847610-1570000-6144522-1902820-861345+947254</f>
        <v>24316177</v>
      </c>
      <c r="H16" s="488">
        <f t="shared" si="1"/>
        <v>24316177</v>
      </c>
      <c r="I16" s="488">
        <f t="shared" si="2"/>
        <v>0</v>
      </c>
      <c r="J16" s="488">
        <f t="shared" si="3"/>
        <v>-9531433</v>
      </c>
      <c r="K16" s="488">
        <f t="shared" si="4"/>
        <v>-9531433</v>
      </c>
      <c r="L16" s="510"/>
    </row>
    <row r="17" spans="1:12" ht="15" customHeight="1">
      <c r="A17" s="497">
        <v>10</v>
      </c>
      <c r="B17" s="491" t="s">
        <v>158</v>
      </c>
      <c r="C17" s="492"/>
      <c r="D17" s="492">
        <v>265946927</v>
      </c>
      <c r="E17" s="488">
        <f t="shared" si="0"/>
        <v>265946927</v>
      </c>
      <c r="F17" s="488"/>
      <c r="G17" s="488">
        <v>265946927</v>
      </c>
      <c r="H17" s="488">
        <f t="shared" si="1"/>
        <v>265946927</v>
      </c>
      <c r="I17" s="488">
        <f t="shared" si="2"/>
        <v>0</v>
      </c>
      <c r="J17" s="488">
        <f t="shared" si="3"/>
        <v>0</v>
      </c>
      <c r="K17" s="488">
        <f t="shared" si="4"/>
        <v>0</v>
      </c>
      <c r="L17" s="510"/>
    </row>
    <row r="18" spans="1:13" ht="15" customHeight="1">
      <c r="A18" s="497">
        <v>11</v>
      </c>
      <c r="B18" s="491" t="s">
        <v>274</v>
      </c>
      <c r="C18" s="492"/>
      <c r="D18" s="492">
        <v>23508817</v>
      </c>
      <c r="E18" s="488">
        <f t="shared" si="0"/>
        <v>23508817</v>
      </c>
      <c r="F18" s="488"/>
      <c r="G18" s="488">
        <v>23508817</v>
      </c>
      <c r="H18" s="488">
        <f t="shared" si="1"/>
        <v>23508817</v>
      </c>
      <c r="I18" s="488">
        <f t="shared" si="2"/>
        <v>0</v>
      </c>
      <c r="J18" s="488">
        <f t="shared" si="3"/>
        <v>0</v>
      </c>
      <c r="K18" s="488">
        <f t="shared" si="4"/>
        <v>0</v>
      </c>
      <c r="L18" s="510"/>
      <c r="M18" s="510"/>
    </row>
    <row r="19" spans="1:13" ht="15" customHeight="1">
      <c r="A19" s="497">
        <v>12</v>
      </c>
      <c r="B19" s="491" t="s">
        <v>159</v>
      </c>
      <c r="C19" s="492"/>
      <c r="D19" s="492">
        <v>65021250</v>
      </c>
      <c r="E19" s="488">
        <f t="shared" si="0"/>
        <v>65021250</v>
      </c>
      <c r="F19" s="488"/>
      <c r="G19" s="488">
        <v>65021250</v>
      </c>
      <c r="H19" s="488">
        <f t="shared" si="1"/>
        <v>65021250</v>
      </c>
      <c r="I19" s="488">
        <f t="shared" si="2"/>
        <v>0</v>
      </c>
      <c r="J19" s="488">
        <f t="shared" si="3"/>
        <v>0</v>
      </c>
      <c r="K19" s="488">
        <f t="shared" si="4"/>
        <v>0</v>
      </c>
      <c r="L19" s="510"/>
      <c r="M19" s="510"/>
    </row>
    <row r="20" spans="1:13" ht="15" customHeight="1">
      <c r="A20" s="497">
        <v>13</v>
      </c>
      <c r="B20" s="491" t="s">
        <v>160</v>
      </c>
      <c r="C20" s="492"/>
      <c r="D20" s="492">
        <v>87975023</v>
      </c>
      <c r="E20" s="488">
        <f t="shared" si="0"/>
        <v>87975023</v>
      </c>
      <c r="F20" s="488"/>
      <c r="G20" s="488">
        <v>87975023</v>
      </c>
      <c r="H20" s="488">
        <f t="shared" si="1"/>
        <v>87975023</v>
      </c>
      <c r="I20" s="488">
        <f t="shared" si="2"/>
        <v>0</v>
      </c>
      <c r="J20" s="488">
        <f t="shared" si="3"/>
        <v>0</v>
      </c>
      <c r="K20" s="488">
        <f t="shared" si="4"/>
        <v>0</v>
      </c>
      <c r="L20" s="510"/>
      <c r="M20" s="510"/>
    </row>
    <row r="21" spans="1:13" ht="15" customHeight="1">
      <c r="A21" s="497">
        <v>14</v>
      </c>
      <c r="B21" s="491" t="s">
        <v>161</v>
      </c>
      <c r="C21" s="492"/>
      <c r="D21" s="492">
        <v>154919894</v>
      </c>
      <c r="E21" s="488">
        <f t="shared" si="0"/>
        <v>154919894</v>
      </c>
      <c r="F21" s="488"/>
      <c r="G21" s="488">
        <v>154919894</v>
      </c>
      <c r="H21" s="488">
        <f t="shared" si="1"/>
        <v>154919894</v>
      </c>
      <c r="I21" s="488">
        <f t="shared" si="2"/>
        <v>0</v>
      </c>
      <c r="J21" s="488">
        <f t="shared" si="3"/>
        <v>0</v>
      </c>
      <c r="K21" s="488">
        <f t="shared" si="4"/>
        <v>0</v>
      </c>
      <c r="L21" s="510"/>
      <c r="M21" s="510"/>
    </row>
    <row r="22" spans="1:13" ht="15" customHeight="1">
      <c r="A22" s="497">
        <v>15</v>
      </c>
      <c r="B22" s="491" t="s">
        <v>162</v>
      </c>
      <c r="C22" s="492"/>
      <c r="D22" s="492">
        <v>182807730</v>
      </c>
      <c r="E22" s="488">
        <f t="shared" si="0"/>
        <v>182807730</v>
      </c>
      <c r="F22" s="488"/>
      <c r="G22" s="488">
        <v>182807730</v>
      </c>
      <c r="H22" s="488">
        <f t="shared" si="1"/>
        <v>182807730</v>
      </c>
      <c r="I22" s="488">
        <f t="shared" si="2"/>
        <v>0</v>
      </c>
      <c r="J22" s="488">
        <f t="shared" si="3"/>
        <v>0</v>
      </c>
      <c r="K22" s="488">
        <f t="shared" si="4"/>
        <v>0</v>
      </c>
      <c r="L22" s="510"/>
      <c r="M22" s="510"/>
    </row>
    <row r="23" spans="1:13" ht="15" customHeight="1">
      <c r="A23" s="497">
        <v>16</v>
      </c>
      <c r="B23" s="491" t="s">
        <v>211</v>
      </c>
      <c r="C23" s="488"/>
      <c r="D23" s="488">
        <v>354047786</v>
      </c>
      <c r="E23" s="488">
        <f t="shared" si="0"/>
        <v>354047786</v>
      </c>
      <c r="F23" s="488"/>
      <c r="G23" s="488">
        <v>354047786</v>
      </c>
      <c r="H23" s="488">
        <f t="shared" si="1"/>
        <v>354047786</v>
      </c>
      <c r="I23" s="488">
        <f t="shared" si="2"/>
        <v>0</v>
      </c>
      <c r="J23" s="488">
        <f t="shared" si="3"/>
        <v>0</v>
      </c>
      <c r="K23" s="488">
        <f t="shared" si="4"/>
        <v>0</v>
      </c>
      <c r="L23" s="510"/>
      <c r="M23" s="510"/>
    </row>
    <row r="24" spans="1:13" ht="15" customHeight="1">
      <c r="A24" s="497">
        <v>17</v>
      </c>
      <c r="B24" s="491" t="s">
        <v>266</v>
      </c>
      <c r="C24" s="488"/>
      <c r="D24" s="488">
        <v>76818118</v>
      </c>
      <c r="E24" s="492">
        <f t="shared" si="0"/>
        <v>76818118</v>
      </c>
      <c r="F24" s="492"/>
      <c r="G24" s="492">
        <v>76818118</v>
      </c>
      <c r="H24" s="492">
        <f t="shared" si="1"/>
        <v>76818118</v>
      </c>
      <c r="I24" s="492">
        <f t="shared" si="2"/>
        <v>0</v>
      </c>
      <c r="J24" s="492">
        <f t="shared" si="3"/>
        <v>0</v>
      </c>
      <c r="K24" s="492">
        <f t="shared" si="4"/>
        <v>0</v>
      </c>
      <c r="L24" s="510"/>
      <c r="M24" s="510"/>
    </row>
    <row r="25" spans="1:13" ht="15" customHeight="1">
      <c r="A25" s="497">
        <v>18</v>
      </c>
      <c r="B25" s="487" t="s">
        <v>275</v>
      </c>
      <c r="C25" s="488"/>
      <c r="D25" s="488">
        <v>30047761</v>
      </c>
      <c r="E25" s="492">
        <f t="shared" si="0"/>
        <v>30047761</v>
      </c>
      <c r="F25" s="492"/>
      <c r="G25" s="492">
        <f>30047761-9705003-947254-154710</f>
        <v>19240794</v>
      </c>
      <c r="H25" s="492">
        <f t="shared" si="1"/>
        <v>19240794</v>
      </c>
      <c r="I25" s="492">
        <f t="shared" si="2"/>
        <v>0</v>
      </c>
      <c r="J25" s="492">
        <f t="shared" si="3"/>
        <v>-10806967</v>
      </c>
      <c r="K25" s="492">
        <f t="shared" si="4"/>
        <v>-10806967</v>
      </c>
      <c r="L25" s="510"/>
      <c r="M25" s="510"/>
    </row>
    <row r="26" spans="1:12" ht="15" customHeight="1">
      <c r="A26" s="497">
        <v>19</v>
      </c>
      <c r="B26" s="487" t="s">
        <v>174</v>
      </c>
      <c r="C26" s="488">
        <v>1478181</v>
      </c>
      <c r="D26" s="488"/>
      <c r="E26" s="492">
        <f t="shared" si="0"/>
        <v>1478181</v>
      </c>
      <c r="F26" s="492">
        <v>4884255</v>
      </c>
      <c r="G26" s="492"/>
      <c r="H26" s="492">
        <f t="shared" si="1"/>
        <v>4884255</v>
      </c>
      <c r="I26" s="492">
        <f t="shared" si="2"/>
        <v>3406074</v>
      </c>
      <c r="J26" s="492">
        <f t="shared" si="3"/>
        <v>0</v>
      </c>
      <c r="K26" s="492">
        <f t="shared" si="4"/>
        <v>3406074</v>
      </c>
      <c r="L26" s="510"/>
    </row>
    <row r="27" spans="1:12" ht="15" customHeight="1">
      <c r="A27" s="497">
        <v>20</v>
      </c>
      <c r="B27" s="487" t="s">
        <v>139</v>
      </c>
      <c r="C27" s="488">
        <v>1000000</v>
      </c>
      <c r="D27" s="488"/>
      <c r="E27" s="492">
        <f t="shared" si="0"/>
        <v>1000000</v>
      </c>
      <c r="F27" s="492">
        <v>1000000</v>
      </c>
      <c r="G27" s="492"/>
      <c r="H27" s="492">
        <f t="shared" si="1"/>
        <v>1000000</v>
      </c>
      <c r="I27" s="492">
        <f t="shared" si="2"/>
        <v>0</v>
      </c>
      <c r="J27" s="492">
        <f t="shared" si="3"/>
        <v>0</v>
      </c>
      <c r="K27" s="492">
        <f t="shared" si="4"/>
        <v>0</v>
      </c>
      <c r="L27" s="510"/>
    </row>
    <row r="28" spans="1:12" ht="15" customHeight="1">
      <c r="A28" s="497">
        <v>21</v>
      </c>
      <c r="B28" s="491" t="s">
        <v>220</v>
      </c>
      <c r="C28" s="488">
        <v>271900</v>
      </c>
      <c r="D28" s="488"/>
      <c r="E28" s="492">
        <f t="shared" si="0"/>
        <v>271900</v>
      </c>
      <c r="F28" s="492">
        <v>4271900</v>
      </c>
      <c r="G28" s="492"/>
      <c r="H28" s="492">
        <f t="shared" si="1"/>
        <v>4271900</v>
      </c>
      <c r="I28" s="492">
        <f t="shared" si="2"/>
        <v>4000000</v>
      </c>
      <c r="J28" s="492">
        <f t="shared" si="3"/>
        <v>0</v>
      </c>
      <c r="K28" s="492">
        <f t="shared" si="4"/>
        <v>4000000</v>
      </c>
      <c r="L28" s="510"/>
    </row>
    <row r="29" spans="1:12" ht="15" customHeight="1">
      <c r="A29" s="497">
        <v>22</v>
      </c>
      <c r="B29" s="491" t="s">
        <v>221</v>
      </c>
      <c r="C29" s="488">
        <v>757530</v>
      </c>
      <c r="D29" s="488"/>
      <c r="E29" s="492">
        <f t="shared" si="0"/>
        <v>757530</v>
      </c>
      <c r="F29" s="492">
        <v>362560</v>
      </c>
      <c r="G29" s="492"/>
      <c r="H29" s="492">
        <f t="shared" si="1"/>
        <v>362560</v>
      </c>
      <c r="I29" s="492">
        <f t="shared" si="2"/>
        <v>-394970</v>
      </c>
      <c r="J29" s="492">
        <f t="shared" si="3"/>
        <v>0</v>
      </c>
      <c r="K29" s="492">
        <f t="shared" si="4"/>
        <v>-394970</v>
      </c>
      <c r="L29" s="510"/>
    </row>
    <row r="30" spans="1:12" ht="15" customHeight="1">
      <c r="A30" s="497">
        <v>23</v>
      </c>
      <c r="B30" s="491" t="s">
        <v>276</v>
      </c>
      <c r="C30" s="488">
        <v>2167305</v>
      </c>
      <c r="D30" s="488"/>
      <c r="E30" s="492">
        <f t="shared" si="0"/>
        <v>2167305</v>
      </c>
      <c r="F30" s="492">
        <v>92309</v>
      </c>
      <c r="G30" s="492"/>
      <c r="H30" s="492">
        <f t="shared" si="1"/>
        <v>92309</v>
      </c>
      <c r="I30" s="492">
        <f t="shared" si="2"/>
        <v>-2074996</v>
      </c>
      <c r="J30" s="492">
        <f t="shared" si="3"/>
        <v>0</v>
      </c>
      <c r="K30" s="492">
        <f t="shared" si="4"/>
        <v>-2074996</v>
      </c>
      <c r="L30" s="510"/>
    </row>
    <row r="31" spans="1:12" ht="15" customHeight="1">
      <c r="A31" s="497">
        <v>24</v>
      </c>
      <c r="B31" s="491" t="s">
        <v>277</v>
      </c>
      <c r="C31" s="488">
        <v>500000</v>
      </c>
      <c r="D31" s="488"/>
      <c r="E31" s="492">
        <f t="shared" si="0"/>
        <v>500000</v>
      </c>
      <c r="F31" s="492">
        <v>500000</v>
      </c>
      <c r="G31" s="492"/>
      <c r="H31" s="492">
        <f t="shared" si="1"/>
        <v>500000</v>
      </c>
      <c r="I31" s="492">
        <f t="shared" si="2"/>
        <v>0</v>
      </c>
      <c r="J31" s="492">
        <f t="shared" si="3"/>
        <v>0</v>
      </c>
      <c r="K31" s="492">
        <f t="shared" si="4"/>
        <v>0</v>
      </c>
      <c r="L31" s="510"/>
    </row>
    <row r="32" spans="1:12" ht="15" customHeight="1">
      <c r="A32" s="497">
        <v>25</v>
      </c>
      <c r="B32" s="487" t="s">
        <v>140</v>
      </c>
      <c r="C32" s="488">
        <v>5000000</v>
      </c>
      <c r="D32" s="488"/>
      <c r="E32" s="492">
        <f t="shared" si="0"/>
        <v>5000000</v>
      </c>
      <c r="F32" s="492">
        <v>4000000</v>
      </c>
      <c r="G32" s="492"/>
      <c r="H32" s="492">
        <f t="shared" si="1"/>
        <v>4000000</v>
      </c>
      <c r="I32" s="492">
        <f t="shared" si="2"/>
        <v>-1000000</v>
      </c>
      <c r="J32" s="492">
        <f t="shared" si="3"/>
        <v>0</v>
      </c>
      <c r="K32" s="492">
        <f t="shared" si="4"/>
        <v>-1000000</v>
      </c>
      <c r="L32" s="510"/>
    </row>
    <row r="33" spans="1:12" ht="15" customHeight="1">
      <c r="A33" s="497">
        <v>26</v>
      </c>
      <c r="B33" s="487" t="s">
        <v>222</v>
      </c>
      <c r="C33" s="488">
        <v>180000</v>
      </c>
      <c r="D33" s="488"/>
      <c r="E33" s="492">
        <f t="shared" si="0"/>
        <v>180000</v>
      </c>
      <c r="F33" s="492">
        <v>180000</v>
      </c>
      <c r="G33" s="492"/>
      <c r="H33" s="492">
        <f t="shared" si="1"/>
        <v>180000</v>
      </c>
      <c r="I33" s="492">
        <f t="shared" si="2"/>
        <v>0</v>
      </c>
      <c r="J33" s="492">
        <f t="shared" si="3"/>
        <v>0</v>
      </c>
      <c r="K33" s="492">
        <f t="shared" si="4"/>
        <v>0</v>
      </c>
      <c r="L33" s="510"/>
    </row>
    <row r="34" spans="1:12" ht="15" customHeight="1">
      <c r="A34" s="497">
        <v>27</v>
      </c>
      <c r="B34" s="487" t="s">
        <v>166</v>
      </c>
      <c r="C34" s="488">
        <v>1821000</v>
      </c>
      <c r="D34" s="488"/>
      <c r="E34" s="492">
        <f t="shared" si="0"/>
        <v>1821000</v>
      </c>
      <c r="F34" s="492">
        <v>1821000</v>
      </c>
      <c r="G34" s="492"/>
      <c r="H34" s="492">
        <f t="shared" si="1"/>
        <v>1821000</v>
      </c>
      <c r="I34" s="492">
        <f t="shared" si="2"/>
        <v>0</v>
      </c>
      <c r="J34" s="492">
        <f t="shared" si="3"/>
        <v>0</v>
      </c>
      <c r="K34" s="492">
        <f t="shared" si="4"/>
        <v>0</v>
      </c>
      <c r="L34" s="510"/>
    </row>
    <row r="35" spans="1:12" ht="15" customHeight="1">
      <c r="A35" s="497">
        <v>28</v>
      </c>
      <c r="B35" s="487" t="s">
        <v>167</v>
      </c>
      <c r="C35" s="488">
        <v>1050000</v>
      </c>
      <c r="D35" s="488"/>
      <c r="E35" s="492">
        <f t="shared" si="0"/>
        <v>1050000</v>
      </c>
      <c r="F35" s="492">
        <v>0</v>
      </c>
      <c r="G35" s="492"/>
      <c r="H35" s="492">
        <f t="shared" si="1"/>
        <v>0</v>
      </c>
      <c r="I35" s="492">
        <f t="shared" si="2"/>
        <v>-1050000</v>
      </c>
      <c r="J35" s="492">
        <f t="shared" si="3"/>
        <v>0</v>
      </c>
      <c r="K35" s="492">
        <f t="shared" si="4"/>
        <v>-1050000</v>
      </c>
      <c r="L35" s="510"/>
    </row>
    <row r="36" spans="1:12" ht="15" customHeight="1">
      <c r="A36" s="497">
        <v>29</v>
      </c>
      <c r="B36" s="487" t="s">
        <v>168</v>
      </c>
      <c r="C36" s="488">
        <v>934784</v>
      </c>
      <c r="D36" s="488"/>
      <c r="E36" s="488">
        <f t="shared" si="0"/>
        <v>934784</v>
      </c>
      <c r="F36" s="488">
        <v>934784</v>
      </c>
      <c r="G36" s="488"/>
      <c r="H36" s="488">
        <f t="shared" si="1"/>
        <v>934784</v>
      </c>
      <c r="I36" s="488">
        <f t="shared" si="2"/>
        <v>0</v>
      </c>
      <c r="J36" s="488">
        <f t="shared" si="3"/>
        <v>0</v>
      </c>
      <c r="K36" s="488">
        <f t="shared" si="4"/>
        <v>0</v>
      </c>
      <c r="L36" s="510"/>
    </row>
    <row r="37" spans="1:12" ht="15" customHeight="1">
      <c r="A37" s="497">
        <v>30</v>
      </c>
      <c r="B37" s="487" t="s">
        <v>223</v>
      </c>
      <c r="C37" s="488">
        <v>580000</v>
      </c>
      <c r="D37" s="488"/>
      <c r="E37" s="488">
        <f t="shared" si="0"/>
        <v>580000</v>
      </c>
      <c r="F37" s="488">
        <v>580000</v>
      </c>
      <c r="G37" s="488"/>
      <c r="H37" s="488">
        <f t="shared" si="1"/>
        <v>580000</v>
      </c>
      <c r="I37" s="488">
        <f t="shared" si="2"/>
        <v>0</v>
      </c>
      <c r="J37" s="488">
        <f t="shared" si="3"/>
        <v>0</v>
      </c>
      <c r="K37" s="488">
        <f t="shared" si="4"/>
        <v>0</v>
      </c>
      <c r="L37" s="510"/>
    </row>
    <row r="38" spans="1:12" ht="15" customHeight="1">
      <c r="A38" s="497">
        <v>31</v>
      </c>
      <c r="B38" s="487" t="s">
        <v>224</v>
      </c>
      <c r="C38" s="488">
        <v>304800</v>
      </c>
      <c r="D38" s="488"/>
      <c r="E38" s="488">
        <f t="shared" si="0"/>
        <v>304800</v>
      </c>
      <c r="F38" s="488">
        <v>304800</v>
      </c>
      <c r="G38" s="488"/>
      <c r="H38" s="488">
        <f t="shared" si="1"/>
        <v>304800</v>
      </c>
      <c r="I38" s="488">
        <f t="shared" si="2"/>
        <v>0</v>
      </c>
      <c r="J38" s="488">
        <f t="shared" si="3"/>
        <v>0</v>
      </c>
      <c r="K38" s="488">
        <f t="shared" si="4"/>
        <v>0</v>
      </c>
      <c r="L38" s="510"/>
    </row>
    <row r="39" spans="1:12" ht="15" customHeight="1">
      <c r="A39" s="497">
        <v>32</v>
      </c>
      <c r="B39" s="487" t="s">
        <v>225</v>
      </c>
      <c r="C39" s="488">
        <v>317500</v>
      </c>
      <c r="D39" s="488"/>
      <c r="E39" s="488">
        <f t="shared" si="0"/>
        <v>317500</v>
      </c>
      <c r="F39" s="488">
        <v>317500</v>
      </c>
      <c r="G39" s="488"/>
      <c r="H39" s="488">
        <f t="shared" si="1"/>
        <v>317500</v>
      </c>
      <c r="I39" s="488">
        <f t="shared" si="2"/>
        <v>0</v>
      </c>
      <c r="J39" s="488">
        <f t="shared" si="3"/>
        <v>0</v>
      </c>
      <c r="K39" s="488">
        <f t="shared" si="4"/>
        <v>0</v>
      </c>
      <c r="L39" s="510"/>
    </row>
    <row r="40" spans="1:12" ht="15" customHeight="1">
      <c r="A40" s="497">
        <v>33</v>
      </c>
      <c r="B40" s="487" t="s">
        <v>169</v>
      </c>
      <c r="C40" s="488">
        <v>1320000</v>
      </c>
      <c r="D40" s="488"/>
      <c r="E40" s="488">
        <f t="shared" si="0"/>
        <v>1320000</v>
      </c>
      <c r="F40" s="488">
        <v>616966</v>
      </c>
      <c r="G40" s="488"/>
      <c r="H40" s="488">
        <f t="shared" si="1"/>
        <v>616966</v>
      </c>
      <c r="I40" s="488">
        <f t="shared" si="2"/>
        <v>-703034</v>
      </c>
      <c r="J40" s="488">
        <f t="shared" si="3"/>
        <v>0</v>
      </c>
      <c r="K40" s="488">
        <f t="shared" si="4"/>
        <v>-703034</v>
      </c>
      <c r="L40" s="510"/>
    </row>
    <row r="41" spans="1:12" ht="15" customHeight="1">
      <c r="A41" s="497">
        <v>34</v>
      </c>
      <c r="B41" s="487" t="s">
        <v>170</v>
      </c>
      <c r="C41" s="488">
        <v>330000</v>
      </c>
      <c r="D41" s="488"/>
      <c r="E41" s="488">
        <f t="shared" si="0"/>
        <v>330000</v>
      </c>
      <c r="F41" s="488">
        <v>330000</v>
      </c>
      <c r="G41" s="488"/>
      <c r="H41" s="488">
        <f t="shared" si="1"/>
        <v>330000</v>
      </c>
      <c r="I41" s="488">
        <f t="shared" si="2"/>
        <v>0</v>
      </c>
      <c r="J41" s="488">
        <f t="shared" si="3"/>
        <v>0</v>
      </c>
      <c r="K41" s="488">
        <f t="shared" si="4"/>
        <v>0</v>
      </c>
      <c r="L41" s="510"/>
    </row>
    <row r="42" spans="1:12" ht="15" customHeight="1">
      <c r="A42" s="500">
        <v>35</v>
      </c>
      <c r="B42" s="501" t="s">
        <v>141</v>
      </c>
      <c r="C42" s="490"/>
      <c r="D42" s="490">
        <v>9500000</v>
      </c>
      <c r="E42" s="490">
        <f t="shared" si="0"/>
        <v>9500000</v>
      </c>
      <c r="F42" s="490"/>
      <c r="G42" s="490">
        <v>9500000</v>
      </c>
      <c r="H42" s="490">
        <f t="shared" si="1"/>
        <v>9500000</v>
      </c>
      <c r="I42" s="490">
        <f t="shared" si="2"/>
        <v>0</v>
      </c>
      <c r="J42" s="490">
        <f t="shared" si="3"/>
        <v>0</v>
      </c>
      <c r="K42" s="490">
        <f t="shared" si="4"/>
        <v>0</v>
      </c>
      <c r="L42" s="510"/>
    </row>
    <row r="43" spans="1:12" ht="15" customHeight="1">
      <c r="A43" s="500">
        <v>36</v>
      </c>
      <c r="B43" s="501" t="s">
        <v>278</v>
      </c>
      <c r="C43" s="490"/>
      <c r="D43" s="490">
        <v>3000000</v>
      </c>
      <c r="E43" s="490">
        <f t="shared" si="0"/>
        <v>3000000</v>
      </c>
      <c r="F43" s="490"/>
      <c r="G43" s="490">
        <v>3000000</v>
      </c>
      <c r="H43" s="490">
        <f t="shared" si="1"/>
        <v>3000000</v>
      </c>
      <c r="I43" s="490">
        <f t="shared" si="2"/>
        <v>0</v>
      </c>
      <c r="J43" s="490">
        <f t="shared" si="3"/>
        <v>0</v>
      </c>
      <c r="K43" s="490">
        <f t="shared" si="4"/>
        <v>0</v>
      </c>
      <c r="L43" s="510"/>
    </row>
    <row r="44" spans="1:12" ht="15" customHeight="1">
      <c r="A44" s="500">
        <v>37</v>
      </c>
      <c r="B44" s="501" t="s">
        <v>142</v>
      </c>
      <c r="C44" s="490"/>
      <c r="D44" s="490">
        <f>1498983+1915000</f>
        <v>3413983</v>
      </c>
      <c r="E44" s="490">
        <f t="shared" si="0"/>
        <v>3413983</v>
      </c>
      <c r="F44" s="490"/>
      <c r="G44" s="490">
        <v>3413983</v>
      </c>
      <c r="H44" s="490">
        <f t="shared" si="1"/>
        <v>3413983</v>
      </c>
      <c r="I44" s="490">
        <f t="shared" si="2"/>
        <v>0</v>
      </c>
      <c r="J44" s="490">
        <f t="shared" si="3"/>
        <v>0</v>
      </c>
      <c r="K44" s="490">
        <f t="shared" si="4"/>
        <v>0</v>
      </c>
      <c r="L44" s="510"/>
    </row>
    <row r="45" spans="1:12" ht="15" customHeight="1">
      <c r="A45" s="497">
        <v>38</v>
      </c>
      <c r="B45" s="491" t="s">
        <v>289</v>
      </c>
      <c r="C45" s="508"/>
      <c r="D45" s="509"/>
      <c r="E45" s="488">
        <f t="shared" si="0"/>
        <v>0</v>
      </c>
      <c r="F45" s="488">
        <v>495300</v>
      </c>
      <c r="G45" s="488"/>
      <c r="H45" s="488">
        <f t="shared" si="1"/>
        <v>495300</v>
      </c>
      <c r="I45" s="488">
        <f t="shared" si="2"/>
        <v>495300</v>
      </c>
      <c r="J45" s="488">
        <f t="shared" si="3"/>
        <v>0</v>
      </c>
      <c r="K45" s="488">
        <f t="shared" si="4"/>
        <v>495300</v>
      </c>
      <c r="L45" s="510"/>
    </row>
    <row r="46" spans="1:12" ht="15" customHeight="1">
      <c r="A46" s="497">
        <v>39</v>
      </c>
      <c r="B46" s="491" t="s">
        <v>290</v>
      </c>
      <c r="C46" s="508"/>
      <c r="D46" s="509"/>
      <c r="E46" s="488">
        <f t="shared" si="0"/>
        <v>0</v>
      </c>
      <c r="F46" s="488"/>
      <c r="G46" s="488">
        <v>500000</v>
      </c>
      <c r="H46" s="488">
        <f t="shared" si="1"/>
        <v>500000</v>
      </c>
      <c r="I46" s="488">
        <f t="shared" si="2"/>
        <v>0</v>
      </c>
      <c r="J46" s="488">
        <f t="shared" si="3"/>
        <v>500000</v>
      </c>
      <c r="K46" s="488">
        <f t="shared" si="4"/>
        <v>500000</v>
      </c>
      <c r="L46" s="510"/>
    </row>
    <row r="47" spans="1:12" ht="15" customHeight="1">
      <c r="A47" s="497">
        <v>40</v>
      </c>
      <c r="B47" s="491" t="s">
        <v>291</v>
      </c>
      <c r="C47" s="508"/>
      <c r="D47" s="509"/>
      <c r="E47" s="488">
        <f t="shared" si="0"/>
        <v>0</v>
      </c>
      <c r="F47" s="488">
        <v>20000</v>
      </c>
      <c r="G47" s="488"/>
      <c r="H47" s="488">
        <f t="shared" si="1"/>
        <v>20000</v>
      </c>
      <c r="I47" s="488">
        <f t="shared" si="2"/>
        <v>20000</v>
      </c>
      <c r="J47" s="488">
        <f t="shared" si="3"/>
        <v>0</v>
      </c>
      <c r="K47" s="488">
        <f t="shared" si="4"/>
        <v>20000</v>
      </c>
      <c r="L47" s="510"/>
    </row>
    <row r="48" spans="1:11" ht="15" customHeight="1">
      <c r="A48" s="446"/>
      <c r="B48" s="428" t="s">
        <v>3</v>
      </c>
      <c r="C48" s="443">
        <f aca="true" t="shared" si="5" ref="C48:H48">SUM(C8:C47)</f>
        <v>18013000</v>
      </c>
      <c r="D48" s="443">
        <f t="shared" si="5"/>
        <v>1472694099</v>
      </c>
      <c r="E48" s="443">
        <f t="shared" si="5"/>
        <v>1490707099</v>
      </c>
      <c r="F48" s="443">
        <f t="shared" si="5"/>
        <v>20711374</v>
      </c>
      <c r="G48" s="443">
        <f t="shared" si="5"/>
        <v>1457828268</v>
      </c>
      <c r="H48" s="443">
        <f t="shared" si="5"/>
        <v>1478539642</v>
      </c>
      <c r="I48" s="443">
        <f t="shared" si="2"/>
        <v>2698374</v>
      </c>
      <c r="J48" s="443">
        <f t="shared" si="3"/>
        <v>-14865831</v>
      </c>
      <c r="K48" s="443">
        <f>SUM(K8:K47)</f>
        <v>-12167457</v>
      </c>
    </row>
    <row r="49" spans="1:11" ht="15" customHeight="1">
      <c r="A49" s="446"/>
      <c r="B49" s="428"/>
      <c r="C49" s="443"/>
      <c r="D49" s="443"/>
      <c r="E49" s="443"/>
      <c r="F49" s="443"/>
      <c r="G49" s="443"/>
      <c r="H49" s="443"/>
      <c r="I49" s="443"/>
      <c r="J49" s="443"/>
      <c r="K49" s="443"/>
    </row>
    <row r="50" spans="1:11" ht="15" customHeight="1">
      <c r="A50" s="446"/>
      <c r="B50" s="428"/>
      <c r="C50" s="443"/>
      <c r="D50" s="443"/>
      <c r="E50" s="443"/>
      <c r="F50" s="443"/>
      <c r="G50" s="443"/>
      <c r="H50" s="443"/>
      <c r="I50" s="443"/>
      <c r="J50" s="443"/>
      <c r="K50" s="443"/>
    </row>
    <row r="51" spans="1:11" ht="15" customHeight="1">
      <c r="A51" s="446"/>
      <c r="B51" s="428"/>
      <c r="C51" s="443"/>
      <c r="D51" s="443"/>
      <c r="E51" s="443"/>
      <c r="F51" s="443"/>
      <c r="G51" s="443"/>
      <c r="H51" s="443"/>
      <c r="I51" s="443"/>
      <c r="J51" s="443"/>
      <c r="K51" s="443"/>
    </row>
    <row r="52" spans="1:11" ht="15" customHeight="1">
      <c r="A52" s="446"/>
      <c r="B52" s="428"/>
      <c r="C52" s="443"/>
      <c r="D52" s="443"/>
      <c r="E52" s="443"/>
      <c r="F52" s="443"/>
      <c r="G52" s="443"/>
      <c r="H52" s="443"/>
      <c r="I52" s="443"/>
      <c r="J52" s="443"/>
      <c r="K52" s="443"/>
    </row>
    <row r="53" spans="1:11" ht="15" customHeight="1">
      <c r="A53" s="446"/>
      <c r="B53" s="428"/>
      <c r="C53" s="443"/>
      <c r="D53" s="443"/>
      <c r="E53" s="443"/>
      <c r="F53" s="443"/>
      <c r="G53" s="443"/>
      <c r="H53" s="443"/>
      <c r="I53" s="443"/>
      <c r="J53" s="443"/>
      <c r="K53" s="443"/>
    </row>
    <row r="54" spans="1:11" ht="15" customHeight="1">
      <c r="A54" s="428" t="s">
        <v>2</v>
      </c>
      <c r="B54" s="428" t="s">
        <v>70</v>
      </c>
      <c r="C54" s="429"/>
      <c r="D54" s="429"/>
      <c r="E54" s="429"/>
      <c r="F54" s="429"/>
      <c r="G54" s="429"/>
      <c r="H54" s="429"/>
      <c r="I54" s="429"/>
      <c r="J54" s="429"/>
      <c r="K54" s="429"/>
    </row>
    <row r="55" spans="1:12" ht="15" customHeight="1">
      <c r="A55" s="502">
        <v>1</v>
      </c>
      <c r="B55" s="487" t="s">
        <v>292</v>
      </c>
      <c r="C55" s="499"/>
      <c r="D55" s="499">
        <v>39689680</v>
      </c>
      <c r="E55" s="499">
        <f aca="true" t="shared" si="6" ref="E55:E68">C55+D55</f>
        <v>39689680</v>
      </c>
      <c r="F55" s="499"/>
      <c r="G55" s="499">
        <v>48744063</v>
      </c>
      <c r="H55" s="499">
        <f aca="true" t="shared" si="7" ref="H55:H68">F55+G55</f>
        <v>48744063</v>
      </c>
      <c r="I55" s="499">
        <f aca="true" t="shared" si="8" ref="I55:I69">F55-C55</f>
        <v>0</v>
      </c>
      <c r="J55" s="499">
        <f aca="true" t="shared" si="9" ref="J55:J69">G55-D55</f>
        <v>9054383</v>
      </c>
      <c r="K55" s="499">
        <f aca="true" t="shared" si="10" ref="K55:K68">I55+J55</f>
        <v>9054383</v>
      </c>
      <c r="L55" s="510"/>
    </row>
    <row r="56" spans="1:12" ht="15" customHeight="1">
      <c r="A56" s="502">
        <v>2</v>
      </c>
      <c r="B56" s="491" t="s">
        <v>165</v>
      </c>
      <c r="C56" s="488"/>
      <c r="D56" s="488">
        <v>7500000</v>
      </c>
      <c r="E56" s="488">
        <f t="shared" si="6"/>
        <v>7500000</v>
      </c>
      <c r="F56" s="488"/>
      <c r="G56" s="488">
        <v>7500000</v>
      </c>
      <c r="H56" s="488">
        <f t="shared" si="7"/>
        <v>7500000</v>
      </c>
      <c r="I56" s="488">
        <f t="shared" si="8"/>
        <v>0</v>
      </c>
      <c r="J56" s="488">
        <f t="shared" si="9"/>
        <v>0</v>
      </c>
      <c r="K56" s="488">
        <f t="shared" si="10"/>
        <v>0</v>
      </c>
      <c r="L56" s="510"/>
    </row>
    <row r="57" spans="1:12" ht="15" customHeight="1">
      <c r="A57" s="502">
        <v>3</v>
      </c>
      <c r="B57" s="487" t="s">
        <v>226</v>
      </c>
      <c r="C57" s="488">
        <v>250000</v>
      </c>
      <c r="D57" s="488"/>
      <c r="E57" s="488">
        <f t="shared" si="6"/>
        <v>250000</v>
      </c>
      <c r="F57" s="488">
        <v>0</v>
      </c>
      <c r="G57" s="488"/>
      <c r="H57" s="488">
        <f t="shared" si="7"/>
        <v>0</v>
      </c>
      <c r="I57" s="488">
        <f t="shared" si="8"/>
        <v>-250000</v>
      </c>
      <c r="J57" s="488">
        <f t="shared" si="9"/>
        <v>0</v>
      </c>
      <c r="K57" s="488">
        <f t="shared" si="10"/>
        <v>-250000</v>
      </c>
      <c r="L57" s="510"/>
    </row>
    <row r="58" spans="1:12" ht="15" customHeight="1">
      <c r="A58" s="502">
        <v>4</v>
      </c>
      <c r="B58" s="487" t="s">
        <v>227</v>
      </c>
      <c r="C58" s="488">
        <v>100000</v>
      </c>
      <c r="D58" s="488"/>
      <c r="E58" s="488">
        <f t="shared" si="6"/>
        <v>100000</v>
      </c>
      <c r="F58" s="488">
        <v>100000</v>
      </c>
      <c r="G58" s="488"/>
      <c r="H58" s="488">
        <f t="shared" si="7"/>
        <v>100000</v>
      </c>
      <c r="I58" s="488">
        <f t="shared" si="8"/>
        <v>0</v>
      </c>
      <c r="J58" s="488">
        <f t="shared" si="9"/>
        <v>0</v>
      </c>
      <c r="K58" s="488">
        <f t="shared" si="10"/>
        <v>0</v>
      </c>
      <c r="L58" s="510"/>
    </row>
    <row r="59" spans="1:12" ht="15" customHeight="1">
      <c r="A59" s="502">
        <v>5</v>
      </c>
      <c r="B59" s="487" t="s">
        <v>228</v>
      </c>
      <c r="C59" s="488">
        <v>100000</v>
      </c>
      <c r="D59" s="488"/>
      <c r="E59" s="488">
        <f t="shared" si="6"/>
        <v>100000</v>
      </c>
      <c r="F59" s="488">
        <v>100000</v>
      </c>
      <c r="G59" s="488"/>
      <c r="H59" s="488">
        <f t="shared" si="7"/>
        <v>100000</v>
      </c>
      <c r="I59" s="488">
        <f t="shared" si="8"/>
        <v>0</v>
      </c>
      <c r="J59" s="488">
        <f t="shared" si="9"/>
        <v>0</v>
      </c>
      <c r="K59" s="488">
        <f t="shared" si="10"/>
        <v>0</v>
      </c>
      <c r="L59" s="510"/>
    </row>
    <row r="60" spans="1:12" ht="15" customHeight="1">
      <c r="A60" s="502">
        <v>6</v>
      </c>
      <c r="B60" s="487" t="s">
        <v>229</v>
      </c>
      <c r="C60" s="488">
        <v>640000</v>
      </c>
      <c r="D60" s="488"/>
      <c r="E60" s="488">
        <f t="shared" si="6"/>
        <v>640000</v>
      </c>
      <c r="F60" s="488">
        <v>640000</v>
      </c>
      <c r="G60" s="488"/>
      <c r="H60" s="488">
        <f t="shared" si="7"/>
        <v>640000</v>
      </c>
      <c r="I60" s="488">
        <f t="shared" si="8"/>
        <v>0</v>
      </c>
      <c r="J60" s="488">
        <f t="shared" si="9"/>
        <v>0</v>
      </c>
      <c r="K60" s="488">
        <f t="shared" si="10"/>
        <v>0</v>
      </c>
      <c r="L60" s="510"/>
    </row>
    <row r="61" spans="1:12" ht="15" customHeight="1">
      <c r="A61" s="502">
        <v>7</v>
      </c>
      <c r="B61" s="487" t="s">
        <v>268</v>
      </c>
      <c r="C61" s="488">
        <v>1400000</v>
      </c>
      <c r="D61" s="488"/>
      <c r="E61" s="488">
        <f t="shared" si="6"/>
        <v>1400000</v>
      </c>
      <c r="F61" s="488">
        <v>260000</v>
      </c>
      <c r="G61" s="488"/>
      <c r="H61" s="488">
        <f t="shared" si="7"/>
        <v>260000</v>
      </c>
      <c r="I61" s="488">
        <f t="shared" si="8"/>
        <v>-1140000</v>
      </c>
      <c r="J61" s="488">
        <f t="shared" si="9"/>
        <v>0</v>
      </c>
      <c r="K61" s="488">
        <f t="shared" si="10"/>
        <v>-1140000</v>
      </c>
      <c r="L61" s="510"/>
    </row>
    <row r="62" spans="1:12" ht="15" customHeight="1">
      <c r="A62" s="502">
        <v>8</v>
      </c>
      <c r="B62" s="487" t="s">
        <v>230</v>
      </c>
      <c r="C62" s="488">
        <v>50800</v>
      </c>
      <c r="D62" s="488"/>
      <c r="E62" s="488">
        <f t="shared" si="6"/>
        <v>50800</v>
      </c>
      <c r="F62" s="488">
        <v>0</v>
      </c>
      <c r="G62" s="488"/>
      <c r="H62" s="488">
        <f t="shared" si="7"/>
        <v>0</v>
      </c>
      <c r="I62" s="488">
        <f t="shared" si="8"/>
        <v>-50800</v>
      </c>
      <c r="J62" s="488">
        <f t="shared" si="9"/>
        <v>0</v>
      </c>
      <c r="K62" s="488">
        <f t="shared" si="10"/>
        <v>-50800</v>
      </c>
      <c r="L62" s="510"/>
    </row>
    <row r="63" spans="1:12" ht="15" customHeight="1">
      <c r="A63" s="502">
        <v>9</v>
      </c>
      <c r="B63" s="487" t="s">
        <v>279</v>
      </c>
      <c r="C63" s="488">
        <v>3550000</v>
      </c>
      <c r="D63" s="488"/>
      <c r="E63" s="488">
        <f t="shared" si="6"/>
        <v>3550000</v>
      </c>
      <c r="F63" s="488">
        <v>3550000</v>
      </c>
      <c r="G63" s="488"/>
      <c r="H63" s="488">
        <f t="shared" si="7"/>
        <v>3550000</v>
      </c>
      <c r="I63" s="488">
        <f t="shared" si="8"/>
        <v>0</v>
      </c>
      <c r="J63" s="488">
        <f t="shared" si="9"/>
        <v>0</v>
      </c>
      <c r="K63" s="488">
        <f t="shared" si="10"/>
        <v>0</v>
      </c>
      <c r="L63" s="510"/>
    </row>
    <row r="64" spans="1:12" ht="15" customHeight="1">
      <c r="A64" s="502">
        <v>10</v>
      </c>
      <c r="B64" s="487" t="s">
        <v>231</v>
      </c>
      <c r="C64" s="488">
        <v>748500</v>
      </c>
      <c r="D64" s="488"/>
      <c r="E64" s="488">
        <f t="shared" si="6"/>
        <v>748500</v>
      </c>
      <c r="F64" s="488">
        <v>748500</v>
      </c>
      <c r="G64" s="488"/>
      <c r="H64" s="488">
        <f t="shared" si="7"/>
        <v>748500</v>
      </c>
      <c r="I64" s="488">
        <f t="shared" si="8"/>
        <v>0</v>
      </c>
      <c r="J64" s="488">
        <f t="shared" si="9"/>
        <v>0</v>
      </c>
      <c r="K64" s="488">
        <f t="shared" si="10"/>
        <v>0</v>
      </c>
      <c r="L64" s="510"/>
    </row>
    <row r="65" spans="1:12" ht="15" customHeight="1">
      <c r="A65" s="502">
        <v>11</v>
      </c>
      <c r="B65" s="487" t="s">
        <v>232</v>
      </c>
      <c r="C65" s="488">
        <v>150000</v>
      </c>
      <c r="D65" s="488"/>
      <c r="E65" s="488">
        <f t="shared" si="6"/>
        <v>150000</v>
      </c>
      <c r="F65" s="488">
        <v>150000</v>
      </c>
      <c r="G65" s="488"/>
      <c r="H65" s="488">
        <f t="shared" si="7"/>
        <v>150000</v>
      </c>
      <c r="I65" s="488">
        <f t="shared" si="8"/>
        <v>0</v>
      </c>
      <c r="J65" s="488">
        <f t="shared" si="9"/>
        <v>0</v>
      </c>
      <c r="K65" s="488">
        <f t="shared" si="10"/>
        <v>0</v>
      </c>
      <c r="L65" s="510"/>
    </row>
    <row r="66" spans="1:12" ht="15" customHeight="1">
      <c r="A66" s="502">
        <v>12</v>
      </c>
      <c r="B66" s="487" t="s">
        <v>233</v>
      </c>
      <c r="C66" s="488">
        <v>150000</v>
      </c>
      <c r="D66" s="488"/>
      <c r="E66" s="488">
        <f t="shared" si="6"/>
        <v>150000</v>
      </c>
      <c r="F66" s="488">
        <v>150000</v>
      </c>
      <c r="G66" s="488"/>
      <c r="H66" s="488">
        <f t="shared" si="7"/>
        <v>150000</v>
      </c>
      <c r="I66" s="488">
        <f t="shared" si="8"/>
        <v>0</v>
      </c>
      <c r="J66" s="488">
        <f t="shared" si="9"/>
        <v>0</v>
      </c>
      <c r="K66" s="488">
        <f t="shared" si="10"/>
        <v>0</v>
      </c>
      <c r="L66" s="510"/>
    </row>
    <row r="67" spans="1:12" ht="15" customHeight="1">
      <c r="A67" s="502">
        <v>13</v>
      </c>
      <c r="B67" s="487" t="s">
        <v>276</v>
      </c>
      <c r="C67" s="488"/>
      <c r="D67" s="488"/>
      <c r="E67" s="488">
        <f t="shared" si="6"/>
        <v>0</v>
      </c>
      <c r="F67" s="488">
        <v>700000</v>
      </c>
      <c r="G67" s="488"/>
      <c r="H67" s="488">
        <f t="shared" si="7"/>
        <v>700000</v>
      </c>
      <c r="I67" s="488">
        <f t="shared" si="8"/>
        <v>700000</v>
      </c>
      <c r="J67" s="488">
        <f t="shared" si="9"/>
        <v>0</v>
      </c>
      <c r="K67" s="488">
        <f t="shared" si="10"/>
        <v>700000</v>
      </c>
      <c r="L67" s="510"/>
    </row>
    <row r="68" spans="1:12" ht="15" customHeight="1">
      <c r="A68" s="502">
        <v>14</v>
      </c>
      <c r="B68" s="487" t="s">
        <v>293</v>
      </c>
      <c r="C68" s="488"/>
      <c r="D68" s="488"/>
      <c r="E68" s="488">
        <f t="shared" si="6"/>
        <v>0</v>
      </c>
      <c r="F68" s="488">
        <v>1593139</v>
      </c>
      <c r="G68" s="488"/>
      <c r="H68" s="488">
        <f t="shared" si="7"/>
        <v>1593139</v>
      </c>
      <c r="I68" s="488">
        <f t="shared" si="8"/>
        <v>1593139</v>
      </c>
      <c r="J68" s="488">
        <f t="shared" si="9"/>
        <v>0</v>
      </c>
      <c r="K68" s="488">
        <f t="shared" si="10"/>
        <v>1593139</v>
      </c>
      <c r="L68" s="510"/>
    </row>
    <row r="69" spans="1:11" ht="15" customHeight="1">
      <c r="A69" s="82"/>
      <c r="B69" s="436" t="s">
        <v>3</v>
      </c>
      <c r="C69" s="443">
        <f aca="true" t="shared" si="11" ref="C69:H69">SUM(C55:C68)</f>
        <v>7139300</v>
      </c>
      <c r="D69" s="443">
        <f t="shared" si="11"/>
        <v>47189680</v>
      </c>
      <c r="E69" s="443">
        <f t="shared" si="11"/>
        <v>54328980</v>
      </c>
      <c r="F69" s="443">
        <f t="shared" si="11"/>
        <v>7991639</v>
      </c>
      <c r="G69" s="443">
        <f t="shared" si="11"/>
        <v>56244063</v>
      </c>
      <c r="H69" s="443">
        <f t="shared" si="11"/>
        <v>64235702</v>
      </c>
      <c r="I69" s="443">
        <f t="shared" si="8"/>
        <v>852339</v>
      </c>
      <c r="J69" s="443">
        <f t="shared" si="9"/>
        <v>9054383</v>
      </c>
      <c r="K69" s="443">
        <f>SUM(K55:K68)</f>
        <v>9906722</v>
      </c>
    </row>
    <row r="70" spans="1:11" ht="15" customHeight="1">
      <c r="A70" s="82"/>
      <c r="B70" s="436"/>
      <c r="C70" s="443"/>
      <c r="D70" s="443"/>
      <c r="E70" s="443"/>
      <c r="F70" s="443"/>
      <c r="G70" s="443"/>
      <c r="H70" s="443"/>
      <c r="I70" s="443"/>
      <c r="J70" s="443"/>
      <c r="K70" s="443"/>
    </row>
    <row r="71" spans="1:11" ht="15" customHeight="1">
      <c r="A71" s="428" t="s">
        <v>10</v>
      </c>
      <c r="B71" s="428" t="s">
        <v>85</v>
      </c>
      <c r="C71" s="429"/>
      <c r="D71" s="429"/>
      <c r="E71" s="429"/>
      <c r="F71" s="429"/>
      <c r="G71" s="429"/>
      <c r="H71" s="429"/>
      <c r="I71" s="429"/>
      <c r="J71" s="429"/>
      <c r="K71" s="429"/>
    </row>
    <row r="72" spans="1:11" ht="15" customHeight="1">
      <c r="A72" s="433" t="s">
        <v>4</v>
      </c>
      <c r="B72" s="433" t="s">
        <v>86</v>
      </c>
      <c r="C72" s="435"/>
      <c r="D72" s="435"/>
      <c r="E72" s="435"/>
      <c r="F72" s="435"/>
      <c r="G72" s="435"/>
      <c r="H72" s="435"/>
      <c r="I72" s="435"/>
      <c r="J72" s="435"/>
      <c r="K72" s="435"/>
    </row>
    <row r="73" spans="1:11" ht="15" customHeight="1">
      <c r="A73" s="503">
        <v>1</v>
      </c>
      <c r="B73" s="489" t="s">
        <v>12</v>
      </c>
      <c r="C73" s="496"/>
      <c r="D73" s="496">
        <v>1003165</v>
      </c>
      <c r="E73" s="496">
        <f>C73+D73</f>
        <v>1003165</v>
      </c>
      <c r="F73" s="496"/>
      <c r="G73" s="496">
        <v>1003165</v>
      </c>
      <c r="H73" s="496">
        <f>F73+G73</f>
        <v>1003165</v>
      </c>
      <c r="I73" s="496">
        <f aca="true" t="shared" si="12" ref="I73:J75">F73-C73</f>
        <v>0</v>
      </c>
      <c r="J73" s="496">
        <f t="shared" si="12"/>
        <v>0</v>
      </c>
      <c r="K73" s="496">
        <f>I73+J73</f>
        <v>0</v>
      </c>
    </row>
    <row r="74" spans="1:11" ht="15" customHeight="1">
      <c r="A74" s="503">
        <v>2</v>
      </c>
      <c r="B74" s="489" t="s">
        <v>43</v>
      </c>
      <c r="C74" s="496"/>
      <c r="D74" s="496">
        <v>0</v>
      </c>
      <c r="E74" s="496">
        <f>C74+D74</f>
        <v>0</v>
      </c>
      <c r="F74" s="496"/>
      <c r="G74" s="496">
        <v>0</v>
      </c>
      <c r="H74" s="496">
        <f>F74+G74</f>
        <v>0</v>
      </c>
      <c r="I74" s="496">
        <f t="shared" si="12"/>
        <v>0</v>
      </c>
      <c r="J74" s="496">
        <f t="shared" si="12"/>
        <v>0</v>
      </c>
      <c r="K74" s="496">
        <f>I74+J74</f>
        <v>0</v>
      </c>
    </row>
    <row r="75" spans="1:11" ht="15" customHeight="1">
      <c r="A75" s="428"/>
      <c r="B75" s="433" t="s">
        <v>3</v>
      </c>
      <c r="C75" s="435">
        <f aca="true" t="shared" si="13" ref="C75:H75">SUM(C73:C74)</f>
        <v>0</v>
      </c>
      <c r="D75" s="435">
        <f t="shared" si="13"/>
        <v>1003165</v>
      </c>
      <c r="E75" s="435">
        <f t="shared" si="13"/>
        <v>1003165</v>
      </c>
      <c r="F75" s="435">
        <f t="shared" si="13"/>
        <v>0</v>
      </c>
      <c r="G75" s="435">
        <f t="shared" si="13"/>
        <v>1003165</v>
      </c>
      <c r="H75" s="435">
        <f t="shared" si="13"/>
        <v>1003165</v>
      </c>
      <c r="I75" s="435">
        <f t="shared" si="12"/>
        <v>0</v>
      </c>
      <c r="J75" s="435">
        <f t="shared" si="12"/>
        <v>0</v>
      </c>
      <c r="K75" s="435">
        <f>SUM(K73:K74)</f>
        <v>0</v>
      </c>
    </row>
    <row r="76" spans="1:11" ht="15" customHeight="1">
      <c r="A76" s="433" t="s">
        <v>5</v>
      </c>
      <c r="B76" s="433" t="s">
        <v>87</v>
      </c>
      <c r="C76" s="429"/>
      <c r="D76" s="429"/>
      <c r="E76" s="429"/>
      <c r="F76" s="429"/>
      <c r="G76" s="429"/>
      <c r="H76" s="429"/>
      <c r="I76" s="429"/>
      <c r="J76" s="429"/>
      <c r="K76" s="429"/>
    </row>
    <row r="77" spans="1:11" ht="15" customHeight="1">
      <c r="A77" s="447">
        <v>1</v>
      </c>
      <c r="B77" s="426" t="s">
        <v>164</v>
      </c>
      <c r="C77" s="437"/>
      <c r="D77" s="437">
        <v>5802000</v>
      </c>
      <c r="E77" s="437">
        <f>C77+D77</f>
        <v>5802000</v>
      </c>
      <c r="F77" s="437"/>
      <c r="G77" s="437">
        <v>5802000</v>
      </c>
      <c r="H77" s="437">
        <f>F77+G77</f>
        <v>5802000</v>
      </c>
      <c r="I77" s="437">
        <f aca="true" t="shared" si="14" ref="I77:J81">F77-C77</f>
        <v>0</v>
      </c>
      <c r="J77" s="437">
        <f t="shared" si="14"/>
        <v>0</v>
      </c>
      <c r="K77" s="437">
        <f>I77+J77</f>
        <v>0</v>
      </c>
    </row>
    <row r="78" spans="1:11" ht="15" customHeight="1">
      <c r="A78" s="447">
        <v>2</v>
      </c>
      <c r="B78" s="426" t="s">
        <v>234</v>
      </c>
      <c r="C78" s="437"/>
      <c r="D78" s="437">
        <v>5802000</v>
      </c>
      <c r="E78" s="437">
        <f>C78+D78</f>
        <v>5802000</v>
      </c>
      <c r="F78" s="437"/>
      <c r="G78" s="437">
        <v>5802000</v>
      </c>
      <c r="H78" s="437">
        <f>F78+G78</f>
        <v>5802000</v>
      </c>
      <c r="I78" s="437">
        <f t="shared" si="14"/>
        <v>0</v>
      </c>
      <c r="J78" s="437">
        <f t="shared" si="14"/>
        <v>0</v>
      </c>
      <c r="K78" s="437">
        <f>I78+J78</f>
        <v>0</v>
      </c>
    </row>
    <row r="79" spans="1:11" ht="15" customHeight="1">
      <c r="A79" s="447">
        <v>3</v>
      </c>
      <c r="B79" s="426" t="s">
        <v>280</v>
      </c>
      <c r="C79" s="437"/>
      <c r="D79" s="437">
        <v>5802000</v>
      </c>
      <c r="E79" s="437">
        <f>C79+D79</f>
        <v>5802000</v>
      </c>
      <c r="F79" s="437"/>
      <c r="G79" s="437">
        <v>5802000</v>
      </c>
      <c r="H79" s="437">
        <f>F79+G79</f>
        <v>5802000</v>
      </c>
      <c r="I79" s="437">
        <f t="shared" si="14"/>
        <v>0</v>
      </c>
      <c r="J79" s="437">
        <f t="shared" si="14"/>
        <v>0</v>
      </c>
      <c r="K79" s="437">
        <f>I79+J79</f>
        <v>0</v>
      </c>
    </row>
    <row r="80" spans="1:11" ht="15" customHeight="1">
      <c r="A80" s="447">
        <v>4</v>
      </c>
      <c r="B80" s="426" t="s">
        <v>294</v>
      </c>
      <c r="C80" s="437"/>
      <c r="D80" s="437">
        <v>0</v>
      </c>
      <c r="E80" s="437">
        <f>C80+D80</f>
        <v>0</v>
      </c>
      <c r="F80" s="437"/>
      <c r="G80" s="437">
        <v>861345</v>
      </c>
      <c r="H80" s="437">
        <f>F80+G80</f>
        <v>861345</v>
      </c>
      <c r="I80" s="437">
        <f t="shared" si="14"/>
        <v>0</v>
      </c>
      <c r="J80" s="437">
        <f t="shared" si="14"/>
        <v>861345</v>
      </c>
      <c r="K80" s="437">
        <f>I80+J80</f>
        <v>861345</v>
      </c>
    </row>
    <row r="81" spans="1:11" ht="15" customHeight="1">
      <c r="A81" s="428"/>
      <c r="B81" s="433" t="s">
        <v>3</v>
      </c>
      <c r="C81" s="435">
        <f aca="true" t="shared" si="15" ref="C81:H81">SUM(C77:C80)</f>
        <v>0</v>
      </c>
      <c r="D81" s="435">
        <f t="shared" si="15"/>
        <v>17406000</v>
      </c>
      <c r="E81" s="435">
        <f t="shared" si="15"/>
        <v>17406000</v>
      </c>
      <c r="F81" s="435">
        <f t="shared" si="15"/>
        <v>0</v>
      </c>
      <c r="G81" s="435">
        <f t="shared" si="15"/>
        <v>18267345</v>
      </c>
      <c r="H81" s="435">
        <f t="shared" si="15"/>
        <v>18267345</v>
      </c>
      <c r="I81" s="435">
        <f t="shared" si="14"/>
        <v>0</v>
      </c>
      <c r="J81" s="435">
        <f t="shared" si="14"/>
        <v>861345</v>
      </c>
      <c r="K81" s="435">
        <f>SUM(K77:K80)</f>
        <v>861345</v>
      </c>
    </row>
    <row r="82" spans="1:11" ht="15" customHeight="1">
      <c r="A82" s="448" t="s">
        <v>6</v>
      </c>
      <c r="B82" s="433" t="s">
        <v>88</v>
      </c>
      <c r="C82" s="429"/>
      <c r="D82" s="429"/>
      <c r="E82" s="429"/>
      <c r="F82" s="429"/>
      <c r="G82" s="429"/>
      <c r="H82" s="429"/>
      <c r="I82" s="429"/>
      <c r="J82" s="429"/>
      <c r="K82" s="429"/>
    </row>
    <row r="83" spans="1:11" ht="15" customHeight="1">
      <c r="A83" s="503">
        <v>1</v>
      </c>
      <c r="B83" s="489" t="s">
        <v>281</v>
      </c>
      <c r="C83" s="496"/>
      <c r="D83" s="496">
        <v>1200000</v>
      </c>
      <c r="E83" s="496">
        <f>C83+D83</f>
        <v>1200000</v>
      </c>
      <c r="F83" s="496"/>
      <c r="G83" s="496">
        <v>1200000</v>
      </c>
      <c r="H83" s="496">
        <f>F83+G83</f>
        <v>1200000</v>
      </c>
      <c r="I83" s="496">
        <f aca="true" t="shared" si="16" ref="I83:J86">F83-C83</f>
        <v>0</v>
      </c>
      <c r="J83" s="496">
        <f t="shared" si="16"/>
        <v>0</v>
      </c>
      <c r="K83" s="496">
        <f>I83+J83</f>
        <v>0</v>
      </c>
    </row>
    <row r="84" spans="1:11" ht="15" customHeight="1">
      <c r="A84" s="503">
        <v>2</v>
      </c>
      <c r="B84" s="489" t="s">
        <v>235</v>
      </c>
      <c r="C84" s="496"/>
      <c r="D84" s="496">
        <v>0</v>
      </c>
      <c r="E84" s="496">
        <f>C84+D84</f>
        <v>0</v>
      </c>
      <c r="F84" s="496"/>
      <c r="G84" s="496">
        <v>927644</v>
      </c>
      <c r="H84" s="496">
        <f>F84+G84</f>
        <v>927644</v>
      </c>
      <c r="I84" s="496">
        <f t="shared" si="16"/>
        <v>0</v>
      </c>
      <c r="J84" s="496">
        <f t="shared" si="16"/>
        <v>927644</v>
      </c>
      <c r="K84" s="496">
        <f>I84+J84</f>
        <v>927644</v>
      </c>
    </row>
    <row r="85" spans="1:11" ht="15" customHeight="1">
      <c r="A85" s="503">
        <v>3</v>
      </c>
      <c r="B85" s="489"/>
      <c r="C85" s="496"/>
      <c r="D85" s="496">
        <v>0</v>
      </c>
      <c r="E85" s="496">
        <f>C85+D85</f>
        <v>0</v>
      </c>
      <c r="F85" s="496"/>
      <c r="G85" s="496">
        <v>0</v>
      </c>
      <c r="H85" s="496">
        <f>F85+G85</f>
        <v>0</v>
      </c>
      <c r="I85" s="496">
        <f t="shared" si="16"/>
        <v>0</v>
      </c>
      <c r="J85" s="496">
        <f t="shared" si="16"/>
        <v>0</v>
      </c>
      <c r="K85" s="496">
        <f>I85+J85</f>
        <v>0</v>
      </c>
    </row>
    <row r="86" spans="1:11" ht="15" customHeight="1">
      <c r="A86" s="428"/>
      <c r="B86" s="433" t="s">
        <v>3</v>
      </c>
      <c r="C86" s="435">
        <f aca="true" t="shared" si="17" ref="C86:H86">SUM(C83:C85)</f>
        <v>0</v>
      </c>
      <c r="D86" s="435">
        <f t="shared" si="17"/>
        <v>1200000</v>
      </c>
      <c r="E86" s="435">
        <f t="shared" si="17"/>
        <v>1200000</v>
      </c>
      <c r="F86" s="435">
        <f t="shared" si="17"/>
        <v>0</v>
      </c>
      <c r="G86" s="435">
        <f t="shared" si="17"/>
        <v>2127644</v>
      </c>
      <c r="H86" s="435">
        <f t="shared" si="17"/>
        <v>2127644</v>
      </c>
      <c r="I86" s="435">
        <f t="shared" si="16"/>
        <v>0</v>
      </c>
      <c r="J86" s="435">
        <f t="shared" si="16"/>
        <v>927644</v>
      </c>
      <c r="K86" s="435">
        <f>SUM(K83:K85)</f>
        <v>927644</v>
      </c>
    </row>
    <row r="87" spans="1:11" ht="15" customHeight="1">
      <c r="A87" s="449" t="s">
        <v>7</v>
      </c>
      <c r="B87" s="434" t="s">
        <v>89</v>
      </c>
      <c r="C87" s="450"/>
      <c r="D87" s="450"/>
      <c r="E87" s="450"/>
      <c r="F87" s="450"/>
      <c r="G87" s="450"/>
      <c r="H87" s="450"/>
      <c r="I87" s="450"/>
      <c r="J87" s="450"/>
      <c r="K87" s="450"/>
    </row>
    <row r="88" spans="1:11" ht="15" customHeight="1">
      <c r="A88" s="504">
        <v>1</v>
      </c>
      <c r="B88" s="505" t="s">
        <v>236</v>
      </c>
      <c r="C88" s="506"/>
      <c r="D88" s="506">
        <v>1897644</v>
      </c>
      <c r="E88" s="506">
        <f>C88+D88</f>
        <v>1897644</v>
      </c>
      <c r="F88" s="506"/>
      <c r="G88" s="506">
        <f>1897644+1570000</f>
        <v>3467644</v>
      </c>
      <c r="H88" s="506">
        <f>F88+G88</f>
        <v>3467644</v>
      </c>
      <c r="I88" s="506">
        <f aca="true" t="shared" si="18" ref="I88:J90">F88-C88</f>
        <v>0</v>
      </c>
      <c r="J88" s="506">
        <f t="shared" si="18"/>
        <v>1570000</v>
      </c>
      <c r="K88" s="506">
        <f>I88+J88</f>
        <v>1570000</v>
      </c>
    </row>
    <row r="89" spans="1:11" ht="15" customHeight="1">
      <c r="A89" s="451"/>
      <c r="B89" s="434" t="s">
        <v>3</v>
      </c>
      <c r="C89" s="452">
        <f aca="true" t="shared" si="19" ref="C89:H89">SUM(C88:C88)</f>
        <v>0</v>
      </c>
      <c r="D89" s="452">
        <f t="shared" si="19"/>
        <v>1897644</v>
      </c>
      <c r="E89" s="452">
        <f t="shared" si="19"/>
        <v>1897644</v>
      </c>
      <c r="F89" s="452">
        <f t="shared" si="19"/>
        <v>0</v>
      </c>
      <c r="G89" s="452">
        <f t="shared" si="19"/>
        <v>3467644</v>
      </c>
      <c r="H89" s="452">
        <f t="shared" si="19"/>
        <v>3467644</v>
      </c>
      <c r="I89" s="452">
        <f t="shared" si="18"/>
        <v>0</v>
      </c>
      <c r="J89" s="452">
        <f t="shared" si="18"/>
        <v>1570000</v>
      </c>
      <c r="K89" s="452">
        <f>SUM(K88:K88)</f>
        <v>1570000</v>
      </c>
    </row>
    <row r="90" spans="1:11" ht="15" customHeight="1">
      <c r="A90" s="82"/>
      <c r="B90" s="436" t="s">
        <v>3</v>
      </c>
      <c r="C90" s="443">
        <f aca="true" t="shared" si="20" ref="C90:H90">C89+C86+C81+C75</f>
        <v>0</v>
      </c>
      <c r="D90" s="443">
        <f t="shared" si="20"/>
        <v>21506809</v>
      </c>
      <c r="E90" s="443">
        <f t="shared" si="20"/>
        <v>21506809</v>
      </c>
      <c r="F90" s="443">
        <f t="shared" si="20"/>
        <v>0</v>
      </c>
      <c r="G90" s="443">
        <f t="shared" si="20"/>
        <v>24865798</v>
      </c>
      <c r="H90" s="443">
        <f t="shared" si="20"/>
        <v>24865798</v>
      </c>
      <c r="I90" s="443">
        <f t="shared" si="18"/>
        <v>0</v>
      </c>
      <c r="J90" s="443">
        <f t="shared" si="18"/>
        <v>3358989</v>
      </c>
      <c r="K90" s="443">
        <f>K89+K86+K81+K75</f>
        <v>3358989</v>
      </c>
    </row>
    <row r="91" spans="1:11" ht="15" customHeight="1">
      <c r="A91" s="428"/>
      <c r="B91" s="428"/>
      <c r="C91" s="429"/>
      <c r="D91" s="429"/>
      <c r="E91" s="429"/>
      <c r="F91" s="429"/>
      <c r="G91" s="429"/>
      <c r="H91" s="429"/>
      <c r="I91" s="429"/>
      <c r="J91" s="429"/>
      <c r="K91" s="429"/>
    </row>
    <row r="92" spans="1:11" ht="15" customHeight="1">
      <c r="A92" s="428"/>
      <c r="B92" s="436" t="s">
        <v>90</v>
      </c>
      <c r="C92" s="429">
        <f aca="true" t="shared" si="21" ref="C92:H92">C90+C69+C48</f>
        <v>25152300</v>
      </c>
      <c r="D92" s="429">
        <f t="shared" si="21"/>
        <v>1541390588</v>
      </c>
      <c r="E92" s="429">
        <f t="shared" si="21"/>
        <v>1566542888</v>
      </c>
      <c r="F92" s="429">
        <f t="shared" si="21"/>
        <v>28703013</v>
      </c>
      <c r="G92" s="429">
        <f t="shared" si="21"/>
        <v>1538938129</v>
      </c>
      <c r="H92" s="429">
        <f t="shared" si="21"/>
        <v>1567641142</v>
      </c>
      <c r="I92" s="429">
        <f>F92-C92</f>
        <v>3550713</v>
      </c>
      <c r="J92" s="429">
        <f>G92-D92</f>
        <v>-2452459</v>
      </c>
      <c r="K92" s="429">
        <f>K90+K69+K48</f>
        <v>1098254</v>
      </c>
    </row>
    <row r="93" spans="1:11" ht="15" customHeight="1">
      <c r="A93" s="428"/>
      <c r="B93" s="436"/>
      <c r="C93" s="429"/>
      <c r="D93" s="429"/>
      <c r="E93" s="429"/>
      <c r="F93" s="429"/>
      <c r="G93" s="429"/>
      <c r="H93" s="429"/>
      <c r="I93" s="429"/>
      <c r="J93" s="429"/>
      <c r="K93" s="429"/>
    </row>
    <row r="94" spans="1:11" ht="15" customHeight="1">
      <c r="A94" s="428" t="s">
        <v>13</v>
      </c>
      <c r="B94" s="453" t="s">
        <v>93</v>
      </c>
      <c r="C94" s="429"/>
      <c r="D94" s="429"/>
      <c r="E94" s="429"/>
      <c r="F94" s="429"/>
      <c r="G94" s="429"/>
      <c r="H94" s="429"/>
      <c r="I94" s="429"/>
      <c r="J94" s="429"/>
      <c r="K94" s="429"/>
    </row>
    <row r="95" spans="1:11" ht="15" customHeight="1">
      <c r="A95" s="447">
        <v>1</v>
      </c>
      <c r="B95" s="431" t="s">
        <v>92</v>
      </c>
      <c r="C95" s="427">
        <v>0</v>
      </c>
      <c r="D95" s="427">
        <v>0</v>
      </c>
      <c r="E95" s="427">
        <f>C95+D95</f>
        <v>0</v>
      </c>
      <c r="F95" s="427">
        <v>0</v>
      </c>
      <c r="G95" s="427">
        <v>0</v>
      </c>
      <c r="H95" s="427">
        <f>F95+G95</f>
        <v>0</v>
      </c>
      <c r="I95" s="427">
        <f aca="true" t="shared" si="22" ref="I95:J97">F95-C95</f>
        <v>0</v>
      </c>
      <c r="J95" s="427">
        <f t="shared" si="22"/>
        <v>0</v>
      </c>
      <c r="K95" s="427">
        <f>I95+J95</f>
        <v>0</v>
      </c>
    </row>
    <row r="96" spans="1:11" ht="15" customHeight="1">
      <c r="A96" s="428"/>
      <c r="B96" s="453" t="s">
        <v>3</v>
      </c>
      <c r="C96" s="429">
        <f aca="true" t="shared" si="23" ref="C96:H96">SUM(C95:C95)</f>
        <v>0</v>
      </c>
      <c r="D96" s="429">
        <f t="shared" si="23"/>
        <v>0</v>
      </c>
      <c r="E96" s="429">
        <f t="shared" si="23"/>
        <v>0</v>
      </c>
      <c r="F96" s="429">
        <f t="shared" si="23"/>
        <v>0</v>
      </c>
      <c r="G96" s="429">
        <f t="shared" si="23"/>
        <v>0</v>
      </c>
      <c r="H96" s="429">
        <f t="shared" si="23"/>
        <v>0</v>
      </c>
      <c r="I96" s="429">
        <f t="shared" si="22"/>
        <v>0</v>
      </c>
      <c r="J96" s="429">
        <f t="shared" si="22"/>
        <v>0</v>
      </c>
      <c r="K96" s="429">
        <f>SUM(K95:K95)</f>
        <v>0</v>
      </c>
    </row>
    <row r="97" spans="1:11" ht="15" customHeight="1">
      <c r="A97" s="454"/>
      <c r="B97" s="453" t="s">
        <v>91</v>
      </c>
      <c r="C97" s="429">
        <v>0</v>
      </c>
      <c r="D97" s="429">
        <v>0</v>
      </c>
      <c r="E97" s="429">
        <v>0</v>
      </c>
      <c r="F97" s="429">
        <v>0</v>
      </c>
      <c r="G97" s="429">
        <v>0</v>
      </c>
      <c r="H97" s="429">
        <v>0</v>
      </c>
      <c r="I97" s="429">
        <f t="shared" si="22"/>
        <v>0</v>
      </c>
      <c r="J97" s="429">
        <f t="shared" si="22"/>
        <v>0</v>
      </c>
      <c r="K97" s="429">
        <v>0</v>
      </c>
    </row>
    <row r="98" spans="1:11" ht="15" customHeight="1">
      <c r="A98" s="82"/>
      <c r="B98" s="428"/>
      <c r="C98" s="429"/>
      <c r="D98" s="429"/>
      <c r="E98" s="429"/>
      <c r="F98" s="429"/>
      <c r="G98" s="429"/>
      <c r="H98" s="429"/>
      <c r="I98" s="429"/>
      <c r="J98" s="429"/>
      <c r="K98" s="429"/>
    </row>
    <row r="99" spans="1:11" ht="15" customHeight="1">
      <c r="A99" s="82"/>
      <c r="B99" s="428" t="s">
        <v>14</v>
      </c>
      <c r="C99" s="429">
        <f aca="true" t="shared" si="24" ref="C99:H99">C92+C97</f>
        <v>25152300</v>
      </c>
      <c r="D99" s="429">
        <f t="shared" si="24"/>
        <v>1541390588</v>
      </c>
      <c r="E99" s="429">
        <f t="shared" si="24"/>
        <v>1566542888</v>
      </c>
      <c r="F99" s="429">
        <f t="shared" si="24"/>
        <v>28703013</v>
      </c>
      <c r="G99" s="429">
        <f t="shared" si="24"/>
        <v>1538938129</v>
      </c>
      <c r="H99" s="429">
        <f t="shared" si="24"/>
        <v>1567641142</v>
      </c>
      <c r="I99" s="429">
        <f>F99-C99</f>
        <v>3550713</v>
      </c>
      <c r="J99" s="429">
        <f>G99-D99</f>
        <v>-2452459</v>
      </c>
      <c r="K99" s="429">
        <f>K92+K97</f>
        <v>1098254</v>
      </c>
    </row>
    <row r="100" spans="1:11" ht="15" customHeight="1">
      <c r="A100" s="82"/>
      <c r="B100" s="428" t="s">
        <v>45</v>
      </c>
      <c r="C100" s="429"/>
      <c r="D100" s="429"/>
      <c r="E100" s="429"/>
      <c r="F100" s="429"/>
      <c r="G100" s="429"/>
      <c r="H100" s="429"/>
      <c r="I100" s="429"/>
      <c r="J100" s="429"/>
      <c r="K100" s="429"/>
    </row>
    <row r="101" spans="1:11" ht="15" customHeight="1">
      <c r="A101" s="82"/>
      <c r="B101" s="444" t="s">
        <v>46</v>
      </c>
      <c r="C101" s="455">
        <f aca="true" t="shared" si="25" ref="C101:H101">C99-C102-C103</f>
        <v>25152300</v>
      </c>
      <c r="D101" s="455">
        <f t="shared" si="25"/>
        <v>1467875796</v>
      </c>
      <c r="E101" s="455">
        <f t="shared" si="25"/>
        <v>1493028096</v>
      </c>
      <c r="F101" s="455">
        <f t="shared" si="25"/>
        <v>28703013</v>
      </c>
      <c r="G101" s="455">
        <f t="shared" si="25"/>
        <v>1462925693</v>
      </c>
      <c r="H101" s="455">
        <f t="shared" si="25"/>
        <v>1491628706</v>
      </c>
      <c r="I101" s="455">
        <f>F101-C101</f>
        <v>3550713</v>
      </c>
      <c r="J101" s="455">
        <f>G101-D101</f>
        <v>-4950103</v>
      </c>
      <c r="K101" s="455">
        <f>K99-K102-K103</f>
        <v>-1399390</v>
      </c>
    </row>
    <row r="102" spans="1:11" ht="15" customHeight="1">
      <c r="A102" s="82"/>
      <c r="B102" s="495" t="s">
        <v>44</v>
      </c>
      <c r="C102" s="507">
        <f aca="true" t="shared" si="26" ref="C102:K102">C88+C74+C73+C85+C83+C84+C13+C42+C43+C44</f>
        <v>0</v>
      </c>
      <c r="D102" s="507">
        <f t="shared" si="26"/>
        <v>73514792</v>
      </c>
      <c r="E102" s="507">
        <f t="shared" si="26"/>
        <v>73514792</v>
      </c>
      <c r="F102" s="507">
        <f t="shared" si="26"/>
        <v>0</v>
      </c>
      <c r="G102" s="507">
        <f t="shared" si="26"/>
        <v>76012436</v>
      </c>
      <c r="H102" s="507">
        <f t="shared" si="26"/>
        <v>76012436</v>
      </c>
      <c r="I102" s="507">
        <f t="shared" si="26"/>
        <v>0</v>
      </c>
      <c r="J102" s="507">
        <f t="shared" si="26"/>
        <v>2497644</v>
      </c>
      <c r="K102" s="507">
        <f t="shared" si="26"/>
        <v>2497644</v>
      </c>
    </row>
    <row r="103" spans="1:11" ht="15" customHeight="1">
      <c r="A103" s="82"/>
      <c r="B103" s="456" t="s">
        <v>237</v>
      </c>
      <c r="C103" s="457"/>
      <c r="D103" s="457"/>
      <c r="E103" s="457"/>
      <c r="F103" s="457"/>
      <c r="G103" s="457"/>
      <c r="H103" s="457"/>
      <c r="I103" s="457"/>
      <c r="J103" s="457"/>
      <c r="K103" s="457"/>
    </row>
    <row r="104" spans="1:12" ht="15" customHeight="1">
      <c r="A104" s="82"/>
      <c r="B104" s="428" t="s">
        <v>62</v>
      </c>
      <c r="C104" s="429">
        <f>'4.melléklet'!C73-'5.melléklet'!C99</f>
        <v>-20106814</v>
      </c>
      <c r="D104" s="429">
        <f>'4.melléklet'!D73-'5.melléklet'!D99</f>
        <v>20106814</v>
      </c>
      <c r="E104" s="429">
        <f>'4.melléklet'!E73-'5.melléklet'!E99</f>
        <v>0</v>
      </c>
      <c r="F104" s="429">
        <f>'4.melléklet'!F73-'5.melléklet'!F99</f>
        <v>-19657527</v>
      </c>
      <c r="G104" s="429">
        <f>'4.melléklet'!G73-'5.melléklet'!G99</f>
        <v>53852316</v>
      </c>
      <c r="H104" s="429">
        <f>'4.melléklet'!H73-'5.melléklet'!H99</f>
        <v>34194789</v>
      </c>
      <c r="I104" s="429">
        <f>'4.melléklet'!I73-'5.melléklet'!I99</f>
        <v>449287</v>
      </c>
      <c r="J104" s="429">
        <f>'4.melléklet'!J73-'5.melléklet'!J99</f>
        <v>33745502</v>
      </c>
      <c r="K104" s="429">
        <f>'4.melléklet'!K73-'5.melléklet'!K99</f>
        <v>34194789</v>
      </c>
      <c r="L104" t="s">
        <v>179</v>
      </c>
    </row>
    <row r="105" spans="1:11" ht="15" customHeight="1">
      <c r="A105" s="82"/>
      <c r="B105" s="428"/>
      <c r="C105" s="429"/>
      <c r="D105" s="429"/>
      <c r="E105" s="429"/>
      <c r="F105" s="429"/>
      <c r="G105" s="429"/>
      <c r="H105" s="429"/>
      <c r="I105" s="429"/>
      <c r="J105" s="429"/>
      <c r="K105" s="429"/>
    </row>
  </sheetData>
  <sheetProtection/>
  <mergeCells count="6">
    <mergeCell ref="A2:E2"/>
    <mergeCell ref="A1:E1"/>
    <mergeCell ref="C5:E5"/>
    <mergeCell ref="F5:H5"/>
    <mergeCell ref="I5:K5"/>
    <mergeCell ref="A3:K3"/>
  </mergeCells>
  <printOptions/>
  <pageMargins left="0.7" right="0.7" top="0.75" bottom="0.75" header="0.3" footer="0.3"/>
  <pageSetup horizontalDpi="600" verticalDpi="600" orientation="landscape" paperSize="8" scale="96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Vezetői</cp:lastModifiedBy>
  <cp:lastPrinted>2020-08-13T08:09:54Z</cp:lastPrinted>
  <dcterms:created xsi:type="dcterms:W3CDTF">2007-11-15T07:32:30Z</dcterms:created>
  <dcterms:modified xsi:type="dcterms:W3CDTF">2020-09-27T05:37:10Z</dcterms:modified>
  <cp:category/>
  <cp:version/>
  <cp:contentType/>
  <cp:contentStatus/>
</cp:coreProperties>
</file>