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9320" windowHeight="10230" tabRatio="598" activeTab="5"/>
  </bookViews>
  <sheets>
    <sheet name="1_mell" sheetId="1" r:id="rId1"/>
    <sheet name="2_mell" sheetId="2" r:id="rId2"/>
    <sheet name="3_mell" sheetId="3" r:id="rId3"/>
    <sheet name="4_mell" sheetId="4" r:id="rId4"/>
    <sheet name="4_1 mell" sheetId="5" r:id="rId5"/>
    <sheet name="5_mell" sheetId="6" r:id="rId6"/>
    <sheet name="6_mell" sheetId="7" r:id="rId7"/>
    <sheet name="7_mell" sheetId="8" r:id="rId8"/>
    <sheet name="8_mell" sheetId="9" r:id="rId9"/>
    <sheet name="9_mell" sheetId="10" r:id="rId10"/>
    <sheet name="10_mell" sheetId="11" r:id="rId11"/>
    <sheet name="11_mell" sheetId="12" r:id="rId12"/>
    <sheet name="12_mell" sheetId="13" r:id="rId13"/>
    <sheet name="13_mell" sheetId="14" r:id="rId14"/>
    <sheet name="14_mell" sheetId="15" r:id="rId15"/>
    <sheet name="15_mell" sheetId="16" r:id="rId16"/>
    <sheet name="16_mell" sheetId="17" r:id="rId17"/>
    <sheet name="17_mell" sheetId="18" r:id="rId18"/>
    <sheet name="18_mell" sheetId="19" r:id="rId19"/>
    <sheet name="19_mell" sheetId="20" r:id="rId20"/>
    <sheet name="20_mell" sheetId="21" r:id="rId21"/>
    <sheet name="21_mell" sheetId="22" r:id="rId22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0">'1_mell'!$A$1:$F$55</definedName>
    <definedName name="_xlnm.Print_Area" localSheetId="10">'10_mell'!$A$1:$D$38</definedName>
    <definedName name="_xlnm.Print_Area" localSheetId="11">'11_mell'!$A$1:$K$23</definedName>
    <definedName name="_xlnm.Print_Area" localSheetId="12">'12_mell'!$A$1:$X$71</definedName>
    <definedName name="_xlnm.Print_Area" localSheetId="13">'13_mell'!$A$1:$H$74</definedName>
    <definedName name="_xlnm.Print_Area" localSheetId="15">'15_mell'!$A$1:$P$30</definedName>
    <definedName name="_xlnm.Print_Area" localSheetId="16">'16_mell'!$A$1:$O$29</definedName>
    <definedName name="_xlnm.Print_Area" localSheetId="17">'17_mell'!$A$1:$P$33</definedName>
    <definedName name="_xlnm.Print_Area" localSheetId="18">'18_mell'!$A$1:$P$33</definedName>
    <definedName name="_xlnm.Print_Area" localSheetId="19">'19_mell'!$A$1:$P$33</definedName>
    <definedName name="_xlnm.Print_Area" localSheetId="1">'2_mell'!$A$1:$F$34</definedName>
    <definedName name="_xlnm.Print_Area" localSheetId="20">'20_mell'!$A$1:$P$32</definedName>
    <definedName name="_xlnm.Print_Area" localSheetId="21">'21_mell'!$A$1:$N$24</definedName>
    <definedName name="_xlnm.Print_Area" localSheetId="2">'3_mell'!$A$1:$M$33</definedName>
    <definedName name="_xlnm.Print_Area" localSheetId="3">'4_mell'!$A$1:$M$36</definedName>
    <definedName name="_xlnm.Print_Area" localSheetId="5">'5_mell'!$A$1:$D$37</definedName>
    <definedName name="_xlnm.Print_Area" localSheetId="6">'6_mell'!$A$1:$L$31</definedName>
    <definedName name="_xlnm.Print_Area" localSheetId="7">'7_mell'!$A$1:$D$21</definedName>
    <definedName name="_xlnm.Print_Area" localSheetId="8">'8_mell'!$A$1:$D$18</definedName>
    <definedName name="_xlnm.Print_Area" localSheetId="9">'9_mell'!$A$1:$G$25</definedName>
  </definedNames>
  <calcPr fullCalcOnLoad="1"/>
</workbook>
</file>

<file path=xl/sharedStrings.xml><?xml version="1.0" encoding="utf-8"?>
<sst xmlns="http://schemas.openxmlformats.org/spreadsheetml/2006/main" count="1543" uniqueCount="520">
  <si>
    <t>Intézmény/ jogcím</t>
  </si>
  <si>
    <t>Int.bev.</t>
  </si>
  <si>
    <t>Pénzm.</t>
  </si>
  <si>
    <t>Átvett pénzeszköz</t>
  </si>
  <si>
    <t>Finansz.</t>
  </si>
  <si>
    <t>Összesen</t>
  </si>
  <si>
    <t>Kiadás</t>
  </si>
  <si>
    <t>műk.</t>
  </si>
  <si>
    <t>PM</t>
  </si>
  <si>
    <t>felh.</t>
  </si>
  <si>
    <t>Állami támogatás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</si>
  <si>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</si>
  <si>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</si>
  <si>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</si>
  <si>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</si>
  <si>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</si>
  <si>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</si>
  <si>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</si>
  <si>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</si>
  <si>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</si>
  <si>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</si>
  <si>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</si>
  <si>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</si>
  <si>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</si>
  <si>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</si>
  <si>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</si>
  <si>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</si>
  <si>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</si>
  <si>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</si>
  <si>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</si>
  <si>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</si>
  <si>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</si>
  <si>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</si>
  <si>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</si>
  <si>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</si>
  <si>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</si>
  <si>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</si>
  <si>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</si>
  <si>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Kiadás összesen</t>
  </si>
  <si>
    <t>felhalm.</t>
  </si>
  <si>
    <t>19.</t>
  </si>
  <si>
    <t>Battonya Város Önkormányzata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</si>
  <si>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</si>
  <si>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</si>
  <si>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</si>
  <si>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</si>
  <si>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</si>
  <si>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</si>
  <si>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</si>
  <si>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</si>
  <si>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</si>
  <si>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</si>
  <si>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</si>
  <si>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Önkormányzat mindössz.</t>
  </si>
  <si>
    <t>2013.évi er.ei.</t>
  </si>
  <si>
    <t>év</t>
  </si>
  <si>
    <t>szem.jutt</t>
  </si>
  <si>
    <t>járulék</t>
  </si>
  <si>
    <t>dologi</t>
  </si>
  <si>
    <t>műk.össz.</t>
  </si>
  <si>
    <t>átadott pénzeszközök</t>
  </si>
  <si>
    <t>összesen</t>
  </si>
  <si>
    <t>segély</t>
  </si>
  <si>
    <t>I</t>
  </si>
  <si>
    <t>Városi Művelődési Központ és Könyvtár</t>
  </si>
  <si>
    <t>Önkormányzat mindösszesen</t>
  </si>
  <si>
    <t>Átadott pénzeszközök  ( eFt-ban )</t>
  </si>
  <si>
    <t>Megnevezés</t>
  </si>
  <si>
    <t>er.ei.</t>
  </si>
  <si>
    <t>Működésre átadott összesen</t>
  </si>
  <si>
    <t>Felhalmozásra átadott</t>
  </si>
  <si>
    <t>Átadott pénzeszköz összesen</t>
  </si>
  <si>
    <t>Polgármesteri Hivatal</t>
  </si>
  <si>
    <t>Iskolai étkeztetés támogatása</t>
  </si>
  <si>
    <t>Társadalom- és szociálpolitikai juttatások (eFt-ban)</t>
  </si>
  <si>
    <t>Saját forr.</t>
  </si>
  <si>
    <t>Külső forr.</t>
  </si>
  <si>
    <t>Polghiv.</t>
  </si>
  <si>
    <t>Önk.</t>
  </si>
  <si>
    <t>Rendszeres szociális segély</t>
  </si>
  <si>
    <t>Lakásfenntartási támogatás</t>
  </si>
  <si>
    <t>Egyes jövedelempótló támogatás összesen</t>
  </si>
  <si>
    <t>Temetési segély</t>
  </si>
  <si>
    <t>Átmeneti segély</t>
  </si>
  <si>
    <t>Családok átmeneti gondozása(Orosháza)</t>
  </si>
  <si>
    <t>Rendkívüli gyermekvédelmi tám.</t>
  </si>
  <si>
    <t>Rászorultságtól függő ellátás</t>
  </si>
  <si>
    <t>Köztemetés</t>
  </si>
  <si>
    <t>Természetben nyújtott összesen</t>
  </si>
  <si>
    <t>Óvodáztatási támogatás</t>
  </si>
  <si>
    <t>Ingyenes nyári gyermekétkeztetés</t>
  </si>
  <si>
    <t>Mindösszesen önk.által folyósított szoc.ellátás</t>
  </si>
  <si>
    <t>Szociális segélyek összesen</t>
  </si>
  <si>
    <t>Felhalmozási kiadások eft-ban</t>
  </si>
  <si>
    <t>Beruházási kiadás</t>
  </si>
  <si>
    <t>Felújítási kiadás</t>
  </si>
  <si>
    <t>Mindösszesen</t>
  </si>
  <si>
    <t>Bevételek</t>
  </si>
  <si>
    <t>I.Saját bevételek</t>
  </si>
  <si>
    <t>Intézményi bevételek</t>
  </si>
  <si>
    <t xml:space="preserve"> -intézményi működési bevétel</t>
  </si>
  <si>
    <t xml:space="preserve"> -közhatalmi bevétel</t>
  </si>
  <si>
    <t xml:space="preserve"> -működési c. kamat bevétel</t>
  </si>
  <si>
    <t>Kommunális adó</t>
  </si>
  <si>
    <t xml:space="preserve"> -magánszemélyek</t>
  </si>
  <si>
    <t>Iparűzési adó</t>
  </si>
  <si>
    <t>Turisztikai adó</t>
  </si>
  <si>
    <t>Talajterhelési díj</t>
  </si>
  <si>
    <t>Pótlék, bírság</t>
  </si>
  <si>
    <t>II. Átengedett bevételek</t>
  </si>
  <si>
    <t>Gépjármű adó</t>
  </si>
  <si>
    <t>Termőföld SZJA</t>
  </si>
  <si>
    <t>III. Állami hozzájárulás</t>
  </si>
  <si>
    <t xml:space="preserve">IV. Átvett pénzeszközök, visszatérülések  </t>
  </si>
  <si>
    <t>Működésre átvett pénzeszközök</t>
  </si>
  <si>
    <t>TB</t>
  </si>
  <si>
    <t>Kiegészítő támogatás egyes jövpótló fel.</t>
  </si>
  <si>
    <t xml:space="preserve">Mezőőri szolgálatra átvett     </t>
  </si>
  <si>
    <t>Vállalkozók mezőőri hozzájárulása</t>
  </si>
  <si>
    <t>Szenvedélybetegek Közösségi Ellátása</t>
  </si>
  <si>
    <t>Önkormányzati dolgozóknak nyújtott kölcsönök</t>
  </si>
  <si>
    <t>Költségvetési bevételek összesen</t>
  </si>
  <si>
    <t>Bevételek összesen</t>
  </si>
  <si>
    <t>Kiadások összesen</t>
  </si>
  <si>
    <t>függő bev</t>
  </si>
  <si>
    <t>Kiadások</t>
  </si>
  <si>
    <t>I.</t>
  </si>
  <si>
    <t>fő</t>
  </si>
  <si>
    <t>I.1.bb) Közvilágítás fenntartásának támogatása</t>
  </si>
  <si>
    <t>I.1.bc) Köztemető fenntartással kapcsolatos feladatok támogatása</t>
  </si>
  <si>
    <t>I.1.bd) Közutak fenntartásának támogatása</t>
  </si>
  <si>
    <t>III.</t>
  </si>
  <si>
    <t>IV.</t>
  </si>
  <si>
    <t>II.</t>
  </si>
  <si>
    <t>Egészségügyi és Szociális  Ellátó Szervezet</t>
  </si>
  <si>
    <t>V.</t>
  </si>
  <si>
    <t>VI.</t>
  </si>
  <si>
    <t>VII.</t>
  </si>
  <si>
    <t>VIII.</t>
  </si>
  <si>
    <t>IX.</t>
  </si>
  <si>
    <t>Szociális segélyezés járulékokkal</t>
  </si>
  <si>
    <t xml:space="preserve">          Saját forrás</t>
  </si>
  <si>
    <t xml:space="preserve">          Külső forrás</t>
  </si>
  <si>
    <t>Működésre átadott pénzeszközök</t>
  </si>
  <si>
    <t>Felhalmozásra átadott pénzeszköz</t>
  </si>
  <si>
    <t>Felhalmozási kiadások</t>
  </si>
  <si>
    <t xml:space="preserve">               -beruházás</t>
  </si>
  <si>
    <t xml:space="preserve">               - felújítás</t>
  </si>
  <si>
    <t>Költségvetési kiadások összesen</t>
  </si>
  <si>
    <t>Bevétel összesen</t>
  </si>
  <si>
    <t>Felhalmozási bevételek</t>
  </si>
  <si>
    <t>Jogcím</t>
  </si>
  <si>
    <t>Felhalmozási célú kölcsön visszatérülés</t>
  </si>
  <si>
    <t>Felhalmozási bevételek összesen</t>
  </si>
  <si>
    <t>bevételek</t>
  </si>
  <si>
    <t>kiadások</t>
  </si>
  <si>
    <t>megnevezés</t>
  </si>
  <si>
    <t>Beruházási feladatok</t>
  </si>
  <si>
    <t>Felújítási kiadások</t>
  </si>
  <si>
    <t>Kötvény kamata</t>
  </si>
  <si>
    <t>Felhalmozási kiadás összesen</t>
  </si>
  <si>
    <t>Bevétel - kiadás</t>
  </si>
  <si>
    <t>Több éves kihatású kötelezettségvállalások ( eFt-ban)</t>
  </si>
  <si>
    <t>Hitelvisszafizetési kötelezettség</t>
  </si>
  <si>
    <t>"BATTONYA 2027" kötvény</t>
  </si>
  <si>
    <t>2013. április 01-től félévetne 0,0333 CHF -2027. október 01-ig</t>
  </si>
  <si>
    <t>300000 ft, 1.986.361 CHF</t>
  </si>
  <si>
    <t>246 ft-os árfolyamon</t>
  </si>
  <si>
    <t>2010. és 2011. évben megvalósult beruházásokhoz kapcsoslódó önk.saját erő finanszírozása</t>
  </si>
  <si>
    <t>2013. 03-31-tól negyedévente 2.500 eft, 2020.12.31-ig</t>
  </si>
  <si>
    <t>Tőketörlesztés összesen</t>
  </si>
  <si>
    <t>Kamatok</t>
  </si>
  <si>
    <t>Kamatok összesen</t>
  </si>
  <si>
    <t>Adósságszolgálat összesen</t>
  </si>
  <si>
    <t>kiadás</t>
  </si>
  <si>
    <t>889926 KÖZÖSSÉGI ELLÁTÁS</t>
  </si>
  <si>
    <t>Bevétel</t>
  </si>
  <si>
    <t>Személyi juttatás</t>
  </si>
  <si>
    <t>Rendszeres személyi juttatás</t>
  </si>
  <si>
    <t>2 fő közalkalmazott bére</t>
  </si>
  <si>
    <t>ft*1 hó</t>
  </si>
  <si>
    <t>Ft*11 hó</t>
  </si>
  <si>
    <t>Nem rendszeres személyi juttatás</t>
  </si>
  <si>
    <t>munkábajárás ktsg-e</t>
  </si>
  <si>
    <t>Közlekedési költségtérítés</t>
  </si>
  <si>
    <t>szakmai vezető megbízási díja</t>
  </si>
  <si>
    <t>80000*12 hó</t>
  </si>
  <si>
    <t>Személyi juttatás összesen</t>
  </si>
  <si>
    <t>Munkaadókat terhelő járulékok</t>
  </si>
  <si>
    <t>Dologi kiadás</t>
  </si>
  <si>
    <t>irodaszer</t>
  </si>
  <si>
    <t>Könyv, folyóirat, egyéb inf.hord.</t>
  </si>
  <si>
    <t>Szakmai anyag</t>
  </si>
  <si>
    <t>telefon</t>
  </si>
  <si>
    <t xml:space="preserve">mobil </t>
  </si>
  <si>
    <t>vonalas</t>
  </si>
  <si>
    <t>12 hó*12000Ft/hó</t>
  </si>
  <si>
    <t>gázenergia</t>
  </si>
  <si>
    <t>villamosenergia</t>
  </si>
  <si>
    <t>vízdíj</t>
  </si>
  <si>
    <t>karbantartási szolgáltatás</t>
  </si>
  <si>
    <t>egyéb szolgáltatás</t>
  </si>
  <si>
    <t>vásárolt közszolgáltatás</t>
  </si>
  <si>
    <t>pszichiáter megbiz.díj</t>
  </si>
  <si>
    <t>pszichológus 40000Ft/hó</t>
  </si>
  <si>
    <t>továbbképzés</t>
  </si>
  <si>
    <t>előadók díja</t>
  </si>
  <si>
    <t>területre kijárás, továbbképzés utiktsge</t>
  </si>
  <si>
    <t>ÁFA</t>
  </si>
  <si>
    <t>Dologi kiadás összesen</t>
  </si>
  <si>
    <t>889926  Szakfeladat összesen</t>
  </si>
  <si>
    <t>Szoc.hozzájárulási adó</t>
  </si>
  <si>
    <t>Bevétel-kiadás</t>
  </si>
  <si>
    <t>e Ft-ban</t>
  </si>
  <si>
    <t>SZAKFELADATOK</t>
  </si>
  <si>
    <t>Személyi juttatások</t>
  </si>
  <si>
    <t>Munkaadót terhelő járulékok</t>
  </si>
  <si>
    <t>Dologi és folyó kiadások</t>
  </si>
  <si>
    <t>Beruházások, felújítások, pénzügyi befektetések</t>
  </si>
  <si>
    <t>Pénzeszköz átadás</t>
  </si>
  <si>
    <t>Ellátottak pénzbeni juttatása</t>
  </si>
  <si>
    <t>Működésre átadott</t>
  </si>
  <si>
    <t>Intézmény finanszírozás</t>
  </si>
  <si>
    <t>Önkormányzati képviselők</t>
  </si>
  <si>
    <t>Polgármesteri Hivatal összesen</t>
  </si>
  <si>
    <t>ÖNKORMÁNYZATI KIADÁSOK</t>
  </si>
  <si>
    <t>Közterületek rendjének fenntartása</t>
  </si>
  <si>
    <t>Közfoglalkoztatás</t>
  </si>
  <si>
    <t>Támogatások</t>
  </si>
  <si>
    <t>Önkormányzat összesen</t>
  </si>
  <si>
    <t>Gyerekház támogatása</t>
  </si>
  <si>
    <t>2012-ben 8950 eft. Előtörlesztés</t>
  </si>
  <si>
    <t>Strandfürdő működési támogatás</t>
  </si>
  <si>
    <t>Egészségügyi és Szociális Ellátó Szervezet</t>
  </si>
  <si>
    <t>járulékok</t>
  </si>
  <si>
    <t xml:space="preserve">dologi </t>
  </si>
  <si>
    <t>Korai fejl..gond.</t>
  </si>
  <si>
    <t>Közösségi ellátás</t>
  </si>
  <si>
    <t>Nappali ellátás</t>
  </si>
  <si>
    <t>Demens</t>
  </si>
  <si>
    <t>Gyerekjólét</t>
  </si>
  <si>
    <t>Családsegítö</t>
  </si>
  <si>
    <t>Házi segítségnyújtás</t>
  </si>
  <si>
    <t>Fogászat</t>
  </si>
  <si>
    <t>Védőnők</t>
  </si>
  <si>
    <t>Ifjúságieü.gondozás</t>
  </si>
  <si>
    <t>Labor</t>
  </si>
  <si>
    <t>Háziorvos</t>
  </si>
  <si>
    <t>műk-re átvett pénz</t>
  </si>
  <si>
    <t>TB fin</t>
  </si>
  <si>
    <t>műk.bev</t>
  </si>
  <si>
    <t>Dologi kiadások</t>
  </si>
  <si>
    <t>kiadások összesen :</t>
  </si>
  <si>
    <t xml:space="preserve"> Víztermelés,-kezelés,-ellátás</t>
  </si>
  <si>
    <t>Egyéb nem veszélyes hulladék gyűjtése, szállítása, átrakása</t>
  </si>
  <si>
    <t xml:space="preserve"> Közutak, hidak, alagutak üzemelt. Fenntartása(buszváró)</t>
  </si>
  <si>
    <t xml:space="preserve"> Intézményi étkeztetés</t>
  </si>
  <si>
    <t xml:space="preserve"> Lakóingatlan bérbeadása, üzemeltetése</t>
  </si>
  <si>
    <t xml:space="preserve"> Nem lakóingatlan bérbeadása, üzemeltetése</t>
  </si>
  <si>
    <t>Állat-egészségügyi ellátás</t>
  </si>
  <si>
    <t>M.n.s. egyéb kiegészítő szolg. -102</t>
  </si>
  <si>
    <t>Közvilágítás</t>
  </si>
  <si>
    <t>Város,-községgazdálkodási m.n.s. szolg.(piac)</t>
  </si>
  <si>
    <t>Sportlétesítmények működtetése és fejlesztése</t>
  </si>
  <si>
    <t>Köztemető fenntartás és működtetés</t>
  </si>
  <si>
    <t>állami</t>
  </si>
  <si>
    <t>Pénzforgalmi mérleg ( e ft-ban )</t>
  </si>
  <si>
    <t>II.félév</t>
  </si>
  <si>
    <t>I.félév</t>
  </si>
  <si>
    <t>Működési kiadások összesen (I-V.)</t>
  </si>
  <si>
    <t>Köztisztviselők, jegyző, polgármesterek</t>
  </si>
  <si>
    <t>Önkéntes tűzoltók</t>
  </si>
  <si>
    <t>intézmény összesen</t>
  </si>
  <si>
    <t>Városellátó Szervezet</t>
  </si>
  <si>
    <t>Önk.igazgatási feladatai</t>
  </si>
  <si>
    <t>Mezőőri szolgálat</t>
  </si>
  <si>
    <t>Önkéntes tűzoltói tevékenység</t>
  </si>
  <si>
    <t>átadott peszk.műk.</t>
  </si>
  <si>
    <t>átadott peszk. felhalm..</t>
  </si>
  <si>
    <t>kiadás össz.</t>
  </si>
  <si>
    <t>kiadás összesen:</t>
  </si>
  <si>
    <t>finanszírozás forrása</t>
  </si>
  <si>
    <t>Szociális étkezés</t>
  </si>
  <si>
    <t>Szociális segélyezés</t>
  </si>
  <si>
    <t>Közművelődési tev.</t>
  </si>
  <si>
    <t>Múzeumi tevékenység</t>
  </si>
  <si>
    <t>Könyvt.áll.gyarapítása</t>
  </si>
  <si>
    <t>Könyvt.áll.védelme</t>
  </si>
  <si>
    <t>Könyvtári szolg.</t>
  </si>
  <si>
    <t>felhal.bev.</t>
  </si>
  <si>
    <t>adó</t>
  </si>
  <si>
    <t>egyéb sajátos</t>
  </si>
  <si>
    <t>többlet bevételű tevékenységekről</t>
  </si>
  <si>
    <t>átengedett</t>
  </si>
  <si>
    <t>kölcsön visszatér</t>
  </si>
  <si>
    <t>bev.összesen</t>
  </si>
  <si>
    <t>tevékenység</t>
  </si>
  <si>
    <t>bevétel</t>
  </si>
  <si>
    <t>Előirányzat-felhasználási terv</t>
  </si>
  <si>
    <t>Ezer forintban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</si>
  <si>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</si>
  <si>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</si>
  <si>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</si>
  <si>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</si>
  <si>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</si>
  <si>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</si>
  <si>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</si>
  <si>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</si>
  <si>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</si>
  <si>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</si>
  <si>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</si>
  <si>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</si>
  <si>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</si>
  <si>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</si>
  <si>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Közhatalmi bevételek</t>
  </si>
  <si>
    <t>Intézményi működési bevételek</t>
  </si>
  <si>
    <t>Támogatások, hozzájárulások bevételei</t>
  </si>
  <si>
    <t>Támogatásértékű bevételek</t>
  </si>
  <si>
    <t>Felhalmozási célú bevételek</t>
  </si>
  <si>
    <t>Átvett pénzeszközök</t>
  </si>
  <si>
    <t>Kölcsönök</t>
  </si>
  <si>
    <t>Előző évi pénzmaradvány, vállalkozási eredmény</t>
  </si>
  <si>
    <t>Bevételek összesen:</t>
  </si>
  <si>
    <t>Munkaadókat terhelő járulékok és szociális hozzájárulási adó</t>
  </si>
  <si>
    <t>Ellátottak pénzbeli juttatása</t>
  </si>
  <si>
    <t>Támogatások, elvonások</t>
  </si>
  <si>
    <t>Támogatásértékű kiadások</t>
  </si>
  <si>
    <t>Lakosságnak juttatott tám., szociális, rászorultság jellegű tám.</t>
  </si>
  <si>
    <t>Tartalékok</t>
  </si>
  <si>
    <t>Hitelek kamatai</t>
  </si>
  <si>
    <t>Felhalmozási költségvetés kiadásai</t>
  </si>
  <si>
    <t>Finanszírozási célú kiadások</t>
  </si>
  <si>
    <t>Kiadások összesen:</t>
  </si>
  <si>
    <t>Egyenleg</t>
  </si>
  <si>
    <t>Nyitó pénzkészlet</t>
  </si>
  <si>
    <t>-----</t>
  </si>
  <si>
    <t>Finanszírozási célú bevételek</t>
  </si>
  <si>
    <t>Egyenleg (10-23)</t>
  </si>
  <si>
    <t>Battonyai Polgármesteri Hivatal</t>
  </si>
  <si>
    <t>Felhalmozási célú kamat</t>
  </si>
  <si>
    <t>intézmény</t>
  </si>
  <si>
    <t>mindösszesen</t>
  </si>
  <si>
    <t>2013. évi er.ei.</t>
  </si>
  <si>
    <t>Battonya Város Önkormányzatának 2013. évi engedélyezett létszámkerete</t>
  </si>
  <si>
    <t xml:space="preserve">Közfoglalkoztatás </t>
  </si>
  <si>
    <t>Battonya Város Önkormányzat saját bevételeinek részletezése az adósságot keletkeztető ügyletből származó tárgyévi fizetési kötelezettség megállapításához</t>
  </si>
  <si>
    <t xml:space="preserve">Ezer forintban </t>
  </si>
  <si>
    <t>Bevételi jogcímek</t>
  </si>
  <si>
    <t>Helyi adók</t>
  </si>
  <si>
    <t>Osztalékok, koncessziós díjak, hozam</t>
  </si>
  <si>
    <t>Díjak, pótlékok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</si>
  <si>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</si>
  <si>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</si>
  <si>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</si>
  <si>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</si>
  <si>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</si>
  <si>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</si>
  <si>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 xml:space="preserve">Fizikoterápia </t>
  </si>
  <si>
    <t>Egészségügyi és Szociális Ellátó Szervezet Előirányzat-felhasználási terv</t>
  </si>
  <si>
    <t>Városellátó  Szervezet Előirányzat-felhasználási terv</t>
  </si>
  <si>
    <t>Városi Művelődési Központ és Könyvtár Előirányzat-felhasználási terv</t>
  </si>
  <si>
    <t>Támogatások, hozzájárulások, sajátos</t>
  </si>
  <si>
    <t xml:space="preserve">B </t>
  </si>
  <si>
    <t>K</t>
  </si>
  <si>
    <t>L</t>
  </si>
  <si>
    <t xml:space="preserve">A </t>
  </si>
  <si>
    <t>M</t>
  </si>
  <si>
    <t>jogcím/ intézmény</t>
  </si>
  <si>
    <t xml:space="preserve">I </t>
  </si>
  <si>
    <t xml:space="preserve">J </t>
  </si>
  <si>
    <t xml:space="preserve">N </t>
  </si>
  <si>
    <t>O</t>
  </si>
  <si>
    <t>P</t>
  </si>
  <si>
    <t xml:space="preserve">J  </t>
  </si>
  <si>
    <t>2013.mód.ei</t>
  </si>
  <si>
    <t>2013.évi mód.ei.</t>
  </si>
  <si>
    <t>pályázat</t>
  </si>
  <si>
    <t>Erzsébet utalvány</t>
  </si>
  <si>
    <t>2014.évi er.ei.</t>
  </si>
  <si>
    <t>2014.</t>
  </si>
  <si>
    <t>Felhalmozási tartalék</t>
  </si>
  <si>
    <t xml:space="preserve">E </t>
  </si>
  <si>
    <t>2014. évi felhalmozási bevételek és kiadások bemutatása mérlegszerűen, eft-ban</t>
  </si>
  <si>
    <t>Időskorúak járadéka</t>
  </si>
  <si>
    <t>Ápolási díj</t>
  </si>
  <si>
    <t>Mutató</t>
  </si>
  <si>
    <t xml:space="preserve"> I. A HELYI ÖNKORMÁNYZATOK MŰKÖDÉSÉNEK ÁLTALÁNOS TÁMOGATÁSA</t>
  </si>
  <si>
    <t>I.1.a) Önkormányzati hivatal működésének támogatása</t>
  </si>
  <si>
    <t>I.1.a) Önkormányzati hivatal működésének támogatása - elismert hivatali létszám alapján</t>
  </si>
  <si>
    <t xml:space="preserve">I.1.a) - V. Önkormányzati hivatal működésének támogatása - beszámítás után
</t>
  </si>
  <si>
    <t>I.1.b) Település-üzemeltetéshez kapcsolódó feladatellátás támogatása összesen</t>
  </si>
  <si>
    <t>I.1.b) - V. Támogatás összesen - beszámítás után</t>
  </si>
  <si>
    <t>I.1.ba) A zöldterület-gazdálkodással kapcsolatos feladatok ellátásának támogatása</t>
  </si>
  <si>
    <t>I.1.ba) - V. A zöldterület-gazdálkodással kapcsolatos feladatok ellátásának támogatása - beszámítás után</t>
  </si>
  <si>
    <t xml:space="preserve">I.1.bb) - V. Közvilágítás fenntartásának támogatása - beszámítás után
</t>
  </si>
  <si>
    <t>I.1.bc) - V. Köztemető fenntartással kapcsolatos feladatok támogatása - beszámítás után</t>
  </si>
  <si>
    <t>I.1.bd) - V. Közutak fenntartásának támogatása - beszámítás után</t>
  </si>
  <si>
    <t>I.1.c) Egyéb önkormányzati feladatok támogatása</t>
  </si>
  <si>
    <t xml:space="preserve">I.1.c) - V. Egyéb önkormányzati feladatok támogatása - beszámítás után 
</t>
  </si>
  <si>
    <t xml:space="preserve">I.2. Nem közművel összegyűjtött háztartási szennyvíz ártalmatlanítása 
</t>
  </si>
  <si>
    <t>köbméter</t>
  </si>
  <si>
    <t>V. Info Beszámítás</t>
  </si>
  <si>
    <t xml:space="preserve"> III. A TELEPÜLÉSI ÖNKORMÁNYZATOK SZOCIÁLIS ÉS GYERMEKJÓLÉTI FELADATAINAK TÁMOGATÁSA</t>
  </si>
  <si>
    <t xml:space="preserve">III.2. Hozzájárulás a pénzbeli szociális ellátásokhoz </t>
  </si>
  <si>
    <t>III.2. - V. Hozzájárulás a pénzbeli szociális ellátásokhoz beszámítás után</t>
  </si>
  <si>
    <t>III.3. Egyes szociális és gyermekjóléti feladatok támogatása</t>
  </si>
  <si>
    <t>III.3.a (1) Szociális és gyermekjóléti alapszolgáltatások általános feladatai - családsegítés</t>
  </si>
  <si>
    <t>III.3.aa (1) 70 000 fő lakosságszámig működési engedéllyel családsegítés</t>
  </si>
  <si>
    <t>III.3.a (2) Szociális és gyermekjóléti alapszolgáltatások általános feladatai - gyermekjóléti szolgálat</t>
  </si>
  <si>
    <t>III.3.aa (2) 70 000 fő lakosságszámig működési engedéllyel - gyermekjóléti szolgálat</t>
  </si>
  <si>
    <t>III.3.b gyermekjóléti központ</t>
  </si>
  <si>
    <t>működési hó</t>
  </si>
  <si>
    <t>III.3.c (1) szociális étkeztetés</t>
  </si>
  <si>
    <t>III.3.d (1) házi segítségnyújtás</t>
  </si>
  <si>
    <t>III.3.f Időskorúak nappali intézményi ellátása</t>
  </si>
  <si>
    <t>III.3.f (1) időskorúak nappali intézményi ellátása</t>
  </si>
  <si>
    <t xml:space="preserve">III.3.g Fogyatékos és demens személyek nappali intézményi ellátása </t>
  </si>
  <si>
    <t>III.3.g (5) demens személyek nappali intézményi ellátása</t>
  </si>
  <si>
    <t>X.</t>
  </si>
  <si>
    <t>Finanszírozási műveletek</t>
  </si>
  <si>
    <t>Felhalmozási c. hitel törlesztése</t>
  </si>
  <si>
    <t>Felhalmozási c. kötvény törl.első félévi</t>
  </si>
  <si>
    <t>Felhalmozási c. kötvény törl.mádodik félévi 50%</t>
  </si>
  <si>
    <t>2013.</t>
  </si>
  <si>
    <t>Felhalmozási és tőkejellegű bevétel</t>
  </si>
  <si>
    <t>menny.e</t>
  </si>
  <si>
    <t>2014. évre</t>
  </si>
  <si>
    <t>Battonya Város Önkormányzat előirányzat felhasználási terve
2014. évre</t>
  </si>
  <si>
    <t xml:space="preserve">5830 Battonya, Hunyadi u. </t>
  </si>
  <si>
    <t>2014. évi költségvetés</t>
  </si>
  <si>
    <t>2013. dec.31</t>
  </si>
  <si>
    <t>2014.jan.01</t>
  </si>
  <si>
    <t>22 nap*36 km*9Ft/km*12 hó</t>
  </si>
  <si>
    <t>Külsős megbizási díj,és további jogviszony</t>
  </si>
  <si>
    <t>rendszeres szem.juttatás</t>
  </si>
  <si>
    <t>ft*27%</t>
  </si>
  <si>
    <t>külső személyi juttatás</t>
  </si>
  <si>
    <t>ft*90%*27%</t>
  </si>
  <si>
    <t>Munkaadókat terhelő árulék összesen</t>
  </si>
  <si>
    <t>3*4000Ft/hó</t>
  </si>
  <si>
    <t>ft*12hó</t>
  </si>
  <si>
    <t>ft*6hó</t>
  </si>
  <si>
    <t>alkalmassági vizsgálat</t>
  </si>
  <si>
    <t>ft*2fő</t>
  </si>
  <si>
    <t xml:space="preserve"> </t>
  </si>
  <si>
    <t>Strandfürdő</t>
  </si>
  <si>
    <t>Központi költségvetéstől átvett</t>
  </si>
  <si>
    <t>Városnap</t>
  </si>
  <si>
    <t>Számítógéppark cseréje az önkormányzatnál</t>
  </si>
  <si>
    <t>Gimnázium hőszolgáltatás kiváltása</t>
  </si>
  <si>
    <t>2014. ÉVI SZÖVEGES KÖLTSÉGVETÉS ÖSSZESÍTŐ</t>
  </si>
  <si>
    <t>felhalm.bev.</t>
  </si>
  <si>
    <t>Átadott felhalmozásra</t>
  </si>
  <si>
    <t>Felhalmozási bevétel áfa befizetés</t>
  </si>
  <si>
    <t>Hősök tere 11. értékesítése</t>
  </si>
  <si>
    <t>Egyéb ingatlan értékesítése</t>
  </si>
  <si>
    <t>Felhalm áfa befizetés</t>
  </si>
  <si>
    <t>Hitelkamatok</t>
  </si>
  <si>
    <t>Mg-i ügyintéző és honlap szerkesztő</t>
  </si>
  <si>
    <t>Battonyai Polgármesteri Hivatala és Battonya Város Önkormányzata kiadásai szakfeladatonként 2014.év</t>
  </si>
  <si>
    <t>ebbő áfa befizetés az önkormányzat dologi kiadásai között megtervezve</t>
  </si>
  <si>
    <t>A HELYI ÖNKORMÁNYZATOK MŰKÖDÉSÉNEK ÁLTALÁNOS TÁMOGATÁSA    ft-ban</t>
  </si>
  <si>
    <t>2014. évben teljes konszolidáció</t>
  </si>
  <si>
    <t>Működési pályázati alap</t>
  </si>
  <si>
    <t>Battonya Város Önkormányzat likvidási terve
2014. évre</t>
  </si>
  <si>
    <t>Közművelődési érdekeltségnövelő pályázati alap</t>
  </si>
  <si>
    <t>Múzeumi érdekeltségnövelő pályázati alap</t>
  </si>
  <si>
    <t>Számíthatsz Ránk! Egyesület pályázati önerő</t>
  </si>
  <si>
    <t>Temető ravatalozó tető felújítása</t>
  </si>
  <si>
    <t>Temetőbe urnafal építése</t>
  </si>
  <si>
    <t>Foglalkoztatást helyettesítő támogatás</t>
  </si>
  <si>
    <t>Egészségkárosodottak rendszeres szociális segélye</t>
  </si>
  <si>
    <t>Felhalmozási kiadás</t>
  </si>
  <si>
    <t>Önkormányzati segélyek  ( 2014-től    )</t>
  </si>
  <si>
    <t>Jelzőrendszeres házi segítségnyújtás működtetésének támogatása, 15 fő*3.000ft</t>
  </si>
  <si>
    <t>II. IV.1.d. Közművelődési támogatás</t>
  </si>
  <si>
    <t>III.15. Üdülőhelyi feladatok</t>
  </si>
  <si>
    <t>mód.ei.</t>
  </si>
  <si>
    <t>Békés Megyei Ivóvízminőség-javító Program KEOP-1.3.0/09/11-2012-0009   158/2013.(X.14.) KT.határozat</t>
  </si>
  <si>
    <t>Felhalmozási kötelezettségvállalás</t>
  </si>
  <si>
    <t>Felhalmozási kötelezettségvállalás összesen</t>
  </si>
  <si>
    <t>BM EU Önerő Alap KEOP-1.3.0/09-11 pályázathoz</t>
  </si>
  <si>
    <t>Felhalmozásra átvett pénzeszköz</t>
  </si>
  <si>
    <t>mód.ei</t>
  </si>
  <si>
    <t>2014.évi mód.ei.</t>
  </si>
  <si>
    <t>2014.mód.ei.</t>
  </si>
  <si>
    <t>Kölcsön visszatérülés</t>
  </si>
  <si>
    <t>felhalm.átvett peszk.</t>
  </si>
  <si>
    <t>2014. évi előirányzat</t>
  </si>
  <si>
    <t>Ágazati pótlék</t>
  </si>
  <si>
    <t>Közszféra bérkompenzáció</t>
  </si>
  <si>
    <t>Egyes jövedelempótló támogatások</t>
  </si>
  <si>
    <t>Technikai</t>
  </si>
  <si>
    <t>Közmunka</t>
  </si>
  <si>
    <t>Országgyűlési képviselő választás</t>
  </si>
  <si>
    <t>Városi Önkéntes Tűzoltó Egyesület</t>
  </si>
  <si>
    <t>Gödrösöki Sporthorgász Egyesület</t>
  </si>
  <si>
    <t>Battonyai Sakk Egyesület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</si>
  <si>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</si>
  <si>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</si>
  <si>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</si>
  <si>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</si>
  <si>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</si>
  <si>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</si>
  <si>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</si>
  <si>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</si>
  <si>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</si>
  <si>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Működési hitel</t>
  </si>
  <si>
    <t>40.</t>
  </si>
  <si>
    <t>Battonyai Polgárőr Egyesület</t>
  </si>
  <si>
    <t>Battonyai Testgyakorlók Köre</t>
  </si>
  <si>
    <t>Barátság  Sportegyesület</t>
  </si>
  <si>
    <t>Szabad forrás</t>
  </si>
  <si>
    <t>működési hitel</t>
  </si>
  <si>
    <t>Fantázia Sport Egyesület</t>
  </si>
  <si>
    <t>Battonyai Általános Iskoláért Alapítvány</t>
  </si>
  <si>
    <t>Közalapítvány a Battonyai Napköziotthonos Óvodákért</t>
  </si>
  <si>
    <t>Lucian Magdu Alapítvány</t>
  </si>
  <si>
    <t>Fodor Manó Helytörténeti Egyesület</t>
  </si>
  <si>
    <t>Mikes Kelemen Középiskoláért Egyesület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</si>
</sst>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0.0%"/>
    <numFmt numFmtId="166" formatCode="0.00_ ;[Red]\-0.00\ "/>
    <numFmt numFmtId="167" formatCode="yyyy\-mm\-dd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-40E]yyyy\.\ mmmm\ d\."/>
    <numFmt numFmtId="173" formatCode="m\.\ d\.;@"/>
    <numFmt numFmtId="174" formatCode="0.0"/>
    <numFmt numFmtId="175" formatCode="#,##0.000"/>
    <numFmt numFmtId="176" formatCode="#,##0.0000"/>
  </numFmts>
  <fonts count="80">
    <font>
      <sz val="10"/>
      <name val="Arial"/>
      <family val="0"/>
    </font>
    <font>
      <b/>
      <sz val="12"/>
      <name val="Arial"/>
      <family val="0"/>
    </font>
    <font>
      <b/>
      <sz val="12"/>
      <name val="Arial CE"/>
      <family val="2"/>
    </font>
    <font>
      <b/>
      <sz val="11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u val="single"/>
      <sz val="12"/>
      <name val="Arial CE"/>
      <family val="2"/>
    </font>
    <font>
      <sz val="12"/>
      <name val="Arial CE"/>
      <family val="2"/>
    </font>
    <font>
      <sz val="12"/>
      <name val="Arial"/>
      <family val="0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0"/>
    </font>
    <font>
      <b/>
      <i/>
      <sz val="11"/>
      <name val="Arial"/>
      <family val="2"/>
    </font>
    <font>
      <b/>
      <sz val="10"/>
      <name val="Arial CE"/>
      <family val="2"/>
    </font>
    <font>
      <i/>
      <sz val="11"/>
      <name val="Arial CE"/>
      <family val="2"/>
    </font>
    <font>
      <b/>
      <i/>
      <sz val="12"/>
      <name val="Arial CE"/>
      <family val="2"/>
    </font>
    <font>
      <b/>
      <u val="single"/>
      <sz val="11"/>
      <name val="Arial CE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u val="single"/>
      <sz val="11"/>
      <name val="Times New Roman CE"/>
      <family val="1"/>
    </font>
    <font>
      <b/>
      <sz val="9"/>
      <color indexed="8"/>
      <name val="Arial CE"/>
      <family val="0"/>
    </font>
    <font>
      <u val="single"/>
      <sz val="9"/>
      <color indexed="8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12"/>
      <color indexed="8"/>
      <name val="Arial CE"/>
      <family val="2"/>
    </font>
    <font>
      <b/>
      <u val="single"/>
      <sz val="11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u val="single"/>
      <sz val="11"/>
      <name val="Arial CE"/>
      <family val="0"/>
    </font>
    <font>
      <b/>
      <i/>
      <sz val="11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  <font>
      <sz val="10"/>
      <color indexed="48"/>
      <name val="Arial"/>
      <family val="0"/>
    </font>
    <font>
      <i/>
      <sz val="11"/>
      <color indexed="8"/>
      <name val="Arial CE"/>
      <family val="0"/>
    </font>
    <font>
      <sz val="8"/>
      <color indexed="10"/>
      <name val="Times New Roman CE"/>
      <family val="1"/>
    </font>
    <font>
      <i/>
      <sz val="12"/>
      <name val="Arial CE"/>
      <family val="0"/>
    </font>
    <font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>
        <color indexed="8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/>
      <right style="medium"/>
      <top/>
      <bottom>
        <color indexed="63"/>
      </bottom>
    </border>
    <border>
      <left/>
      <right/>
      <top style="medium"/>
      <bottom style="medium"/>
    </border>
    <border>
      <left>
        <color indexed="63"/>
      </left>
      <right/>
      <top style="medium"/>
      <bottom style="medium"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 style="medium"/>
      <bottom/>
    </border>
    <border>
      <left>
        <color indexed="63"/>
      </left>
      <right style="medium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64" fillId="7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17" borderId="7" applyNumberFormat="0" applyFont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21" borderId="0" applyNumberFormat="0" applyBorder="0" applyAlignment="0" applyProtection="0"/>
    <xf numFmtId="0" fontId="61" fillId="4" borderId="0" applyNumberFormat="0" applyBorder="0" applyAlignment="0" applyProtection="0"/>
    <xf numFmtId="0" fontId="65" fillId="22" borderId="8" applyNumberFormat="0" applyAlignment="0" applyProtection="0"/>
    <xf numFmtId="0" fontId="7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" borderId="0" applyNumberFormat="0" applyBorder="0" applyAlignment="0" applyProtection="0"/>
    <xf numFmtId="0" fontId="63" fillId="23" borderId="0" applyNumberFormat="0" applyBorder="0" applyAlignment="0" applyProtection="0"/>
    <xf numFmtId="0" fontId="66" fillId="22" borderId="1" applyNumberFormat="0" applyAlignment="0" applyProtection="0"/>
    <xf numFmtId="9" fontId="0" fillId="0" borderId="0" applyFont="0" applyFill="0" applyBorder="0" applyAlignment="0" applyProtection="0"/>
  </cellStyleXfs>
  <cellXfs count="7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19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3" fontId="17" fillId="0" borderId="0" xfId="0" applyNumberFormat="1" applyFont="1" applyAlignment="1">
      <alignment/>
    </xf>
    <xf numFmtId="0" fontId="2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22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22" xfId="0" applyFont="1" applyBorder="1" applyAlignment="1">
      <alignment/>
    </xf>
    <xf numFmtId="0" fontId="23" fillId="0" borderId="22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22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1" fontId="2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3" fontId="1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1" fillId="0" borderId="23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3" fontId="31" fillId="0" borderId="24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/>
    </xf>
    <xf numFmtId="3" fontId="33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3" fontId="34" fillId="0" borderId="0" xfId="0" applyNumberFormat="1" applyFont="1" applyFill="1" applyAlignment="1">
      <alignment/>
    </xf>
    <xf numFmtId="1" fontId="33" fillId="0" borderId="0" xfId="0" applyNumberFormat="1" applyFont="1" applyFill="1" applyBorder="1" applyAlignment="1">
      <alignment/>
    </xf>
    <xf numFmtId="0" fontId="34" fillId="0" borderId="23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3" fontId="34" fillId="0" borderId="24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35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35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36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>
      <alignment/>
    </xf>
    <xf numFmtId="0" fontId="34" fillId="0" borderId="24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7" fillId="0" borderId="24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7" fillId="0" borderId="25" xfId="0" applyFont="1" applyBorder="1" applyAlignment="1">
      <alignment vertical="top" wrapText="1"/>
    </xf>
    <xf numFmtId="0" fontId="38" fillId="0" borderId="25" xfId="0" applyFont="1" applyBorder="1" applyAlignment="1">
      <alignment horizontal="right" vertical="top" wrapText="1"/>
    </xf>
    <xf numFmtId="0" fontId="38" fillId="0" borderId="26" xfId="0" applyFont="1" applyBorder="1" applyAlignment="1">
      <alignment horizontal="right" vertical="top" wrapText="1"/>
    </xf>
    <xf numFmtId="0" fontId="38" fillId="0" borderId="25" xfId="0" applyFont="1" applyBorder="1" applyAlignment="1">
      <alignment horizontal="right" vertical="center" wrapText="1"/>
    </xf>
    <xf numFmtId="0" fontId="38" fillId="0" borderId="27" xfId="0" applyFont="1" applyBorder="1" applyAlignment="1">
      <alignment horizontal="right" vertical="top" wrapText="1"/>
    </xf>
    <xf numFmtId="0" fontId="38" fillId="0" borderId="28" xfId="0" applyFont="1" applyBorder="1" applyAlignment="1">
      <alignment horizontal="right" vertical="top" wrapText="1"/>
    </xf>
    <xf numFmtId="3" fontId="37" fillId="0" borderId="29" xfId="0" applyNumberFormat="1" applyFont="1" applyBorder="1" applyAlignment="1">
      <alignment horizontal="right" vertical="top" wrapText="1"/>
    </xf>
    <xf numFmtId="3" fontId="37" fillId="0" borderId="25" xfId="0" applyNumberFormat="1" applyFont="1" applyBorder="1" applyAlignment="1">
      <alignment horizontal="right" vertical="top" wrapText="1"/>
    </xf>
    <xf numFmtId="0" fontId="38" fillId="0" borderId="30" xfId="0" applyFont="1" applyBorder="1" applyAlignment="1">
      <alignment vertical="top" wrapText="1"/>
    </xf>
    <xf numFmtId="3" fontId="38" fillId="0" borderId="31" xfId="0" applyNumberFormat="1" applyFont="1" applyBorder="1" applyAlignment="1">
      <alignment horizontal="right" vertical="top" wrapText="1"/>
    </xf>
    <xf numFmtId="3" fontId="38" fillId="0" borderId="30" xfId="0" applyNumberFormat="1" applyFont="1" applyBorder="1" applyAlignment="1">
      <alignment horizontal="right" vertical="top" wrapText="1"/>
    </xf>
    <xf numFmtId="3" fontId="38" fillId="0" borderId="32" xfId="0" applyNumberFormat="1" applyFont="1" applyBorder="1" applyAlignment="1">
      <alignment horizontal="right" vertical="top" wrapText="1"/>
    </xf>
    <xf numFmtId="3" fontId="38" fillId="0" borderId="33" xfId="0" applyNumberFormat="1" applyFont="1" applyBorder="1" applyAlignment="1">
      <alignment horizontal="right" vertical="top" wrapText="1"/>
    </xf>
    <xf numFmtId="3" fontId="38" fillId="0" borderId="34" xfId="0" applyNumberFormat="1" applyFont="1" applyBorder="1" applyAlignment="1">
      <alignment horizontal="right" vertical="top" wrapText="1"/>
    </xf>
    <xf numFmtId="3" fontId="37" fillId="0" borderId="30" xfId="0" applyNumberFormat="1" applyFont="1" applyBorder="1" applyAlignment="1">
      <alignment horizontal="right" vertical="top" wrapText="1"/>
    </xf>
    <xf numFmtId="0" fontId="38" fillId="0" borderId="35" xfId="0" applyFont="1" applyBorder="1" applyAlignment="1">
      <alignment vertical="top" wrapText="1"/>
    </xf>
    <xf numFmtId="3" fontId="38" fillId="0" borderId="35" xfId="0" applyNumberFormat="1" applyFont="1" applyBorder="1" applyAlignment="1">
      <alignment horizontal="right" vertical="top" wrapText="1"/>
    </xf>
    <xf numFmtId="3" fontId="38" fillId="0" borderId="36" xfId="0" applyNumberFormat="1" applyFont="1" applyBorder="1" applyAlignment="1">
      <alignment horizontal="right" vertical="top" wrapText="1"/>
    </xf>
    <xf numFmtId="4" fontId="38" fillId="0" borderId="35" xfId="0" applyNumberFormat="1" applyFont="1" applyBorder="1" applyAlignment="1">
      <alignment horizontal="right" vertical="top" wrapText="1"/>
    </xf>
    <xf numFmtId="4" fontId="38" fillId="0" borderId="37" xfId="0" applyNumberFormat="1" applyFont="1" applyBorder="1" applyAlignment="1">
      <alignment horizontal="right" vertical="top" wrapText="1"/>
    </xf>
    <xf numFmtId="4" fontId="38" fillId="0" borderId="38" xfId="0" applyNumberFormat="1" applyFont="1" applyBorder="1" applyAlignment="1">
      <alignment horizontal="right" vertical="top" wrapText="1"/>
    </xf>
    <xf numFmtId="3" fontId="38" fillId="0" borderId="39" xfId="0" applyNumberFormat="1" applyFont="1" applyBorder="1" applyAlignment="1">
      <alignment horizontal="right" vertical="top" wrapText="1"/>
    </xf>
    <xf numFmtId="3" fontId="37" fillId="0" borderId="35" xfId="0" applyNumberFormat="1" applyFont="1" applyBorder="1" applyAlignment="1">
      <alignment horizontal="right" vertical="top" wrapText="1"/>
    </xf>
    <xf numFmtId="0" fontId="37" fillId="0" borderId="21" xfId="0" applyFont="1" applyBorder="1" applyAlignment="1">
      <alignment vertical="top" wrapText="1"/>
    </xf>
    <xf numFmtId="3" fontId="37" fillId="0" borderId="21" xfId="0" applyNumberFormat="1" applyFont="1" applyBorder="1" applyAlignment="1">
      <alignment horizontal="right" vertical="top" wrapText="1"/>
    </xf>
    <xf numFmtId="3" fontId="37" fillId="0" borderId="20" xfId="0" applyNumberFormat="1" applyFont="1" applyBorder="1" applyAlignment="1">
      <alignment horizontal="right" vertical="top" wrapText="1"/>
    </xf>
    <xf numFmtId="3" fontId="37" fillId="0" borderId="40" xfId="0" applyNumberFormat="1" applyFont="1" applyBorder="1" applyAlignment="1">
      <alignment horizontal="right" vertical="top" wrapText="1"/>
    </xf>
    <xf numFmtId="3" fontId="37" fillId="0" borderId="41" xfId="0" applyNumberFormat="1" applyFont="1" applyBorder="1" applyAlignment="1">
      <alignment horizontal="right" vertical="top" wrapText="1"/>
    </xf>
    <xf numFmtId="3" fontId="37" fillId="0" borderId="26" xfId="0" applyNumberFormat="1" applyFont="1" applyBorder="1" applyAlignment="1">
      <alignment horizontal="right" vertical="top" wrapText="1"/>
    </xf>
    <xf numFmtId="4" fontId="37" fillId="0" borderId="25" xfId="0" applyNumberFormat="1" applyFont="1" applyBorder="1" applyAlignment="1">
      <alignment horizontal="right" vertical="top" wrapText="1"/>
    </xf>
    <xf numFmtId="4" fontId="37" fillId="0" borderId="27" xfId="0" applyNumberFormat="1" applyFont="1" applyBorder="1" applyAlignment="1">
      <alignment horizontal="right" vertical="top" wrapText="1"/>
    </xf>
    <xf numFmtId="4" fontId="37" fillId="0" borderId="28" xfId="0" applyNumberFormat="1" applyFont="1" applyBorder="1" applyAlignment="1">
      <alignment horizontal="right" vertical="top" wrapText="1"/>
    </xf>
    <xf numFmtId="4" fontId="38" fillId="0" borderId="30" xfId="0" applyNumberFormat="1" applyFont="1" applyBorder="1" applyAlignment="1">
      <alignment horizontal="right" vertical="top" wrapText="1"/>
    </xf>
    <xf numFmtId="4" fontId="38" fillId="0" borderId="32" xfId="0" applyNumberFormat="1" applyFont="1" applyBorder="1" applyAlignment="1">
      <alignment horizontal="right" vertical="top" wrapText="1"/>
    </xf>
    <xf numFmtId="4" fontId="38" fillId="0" borderId="33" xfId="0" applyNumberFormat="1" applyFont="1" applyBorder="1" applyAlignment="1">
      <alignment horizontal="right" vertical="top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8" fillId="0" borderId="0" xfId="0" applyFont="1" applyBorder="1" applyAlignment="1">
      <alignment vertical="top" wrapText="1"/>
    </xf>
    <xf numFmtId="3" fontId="38" fillId="0" borderId="0" xfId="0" applyNumberFormat="1" applyFont="1" applyBorder="1" applyAlignment="1">
      <alignment horizontal="right" vertical="top" wrapText="1"/>
    </xf>
    <xf numFmtId="3" fontId="37" fillId="0" borderId="0" xfId="0" applyNumberFormat="1" applyFont="1" applyBorder="1" applyAlignment="1">
      <alignment horizontal="right" vertical="top" wrapText="1"/>
    </xf>
    <xf numFmtId="0" fontId="38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24" fillId="0" borderId="42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3" fontId="24" fillId="0" borderId="43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24" fillId="0" borderId="44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3" fontId="25" fillId="0" borderId="16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26" fillId="0" borderId="14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3" fontId="25" fillId="0" borderId="0" xfId="0" applyNumberFormat="1" applyFont="1" applyBorder="1" applyAlignment="1">
      <alignment wrapText="1"/>
    </xf>
    <xf numFmtId="3" fontId="25" fillId="0" borderId="19" xfId="0" applyNumberFormat="1" applyFont="1" applyBorder="1" applyAlignment="1">
      <alignment wrapText="1"/>
    </xf>
    <xf numFmtId="0" fontId="24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24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20" xfId="0" applyFont="1" applyBorder="1" applyAlignment="1">
      <alignment/>
    </xf>
    <xf numFmtId="3" fontId="38" fillId="0" borderId="31" xfId="0" applyNumberFormat="1" applyFont="1" applyBorder="1" applyAlignment="1">
      <alignment vertical="top" wrapText="1"/>
    </xf>
    <xf numFmtId="3" fontId="38" fillId="0" borderId="30" xfId="0" applyNumberFormat="1" applyFont="1" applyBorder="1" applyAlignment="1">
      <alignment vertical="top" wrapText="1"/>
    </xf>
    <xf numFmtId="3" fontId="0" fillId="0" borderId="16" xfId="0" applyNumberFormat="1" applyBorder="1" applyAlignment="1">
      <alignment/>
    </xf>
    <xf numFmtId="1" fontId="8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39" fillId="0" borderId="0" xfId="0" applyNumberFormat="1" applyFont="1" applyFill="1" applyAlignment="1">
      <alignment/>
    </xf>
    <xf numFmtId="4" fontId="24" fillId="0" borderId="12" xfId="0" applyNumberFormat="1" applyFont="1" applyBorder="1" applyAlignment="1">
      <alignment/>
    </xf>
    <xf numFmtId="0" fontId="0" fillId="0" borderId="0" xfId="0" applyFont="1" applyFill="1" applyAlignment="1">
      <alignment wrapText="1"/>
    </xf>
    <xf numFmtId="0" fontId="0" fillId="0" borderId="21" xfId="0" applyFont="1" applyFill="1" applyBorder="1" applyAlignment="1">
      <alignment/>
    </xf>
    <xf numFmtId="0" fontId="43" fillId="0" borderId="0" xfId="58" applyFont="1" applyFill="1" applyAlignment="1" applyProtection="1">
      <alignment horizontal="center" vertical="center" wrapText="1"/>
      <protection/>
    </xf>
    <xf numFmtId="0" fontId="44" fillId="0" borderId="0" xfId="58" applyFill="1" applyProtection="1">
      <alignment/>
      <protection/>
    </xf>
    <xf numFmtId="0" fontId="44" fillId="0" borderId="0" xfId="58" applyFill="1" applyProtection="1">
      <alignment/>
      <protection locked="0"/>
    </xf>
    <xf numFmtId="0" fontId="45" fillId="0" borderId="0" xfId="57" applyFont="1" applyFill="1" applyAlignment="1">
      <alignment horizontal="right"/>
      <protection/>
    </xf>
    <xf numFmtId="0" fontId="47" fillId="0" borderId="45" xfId="58" applyFont="1" applyFill="1" applyBorder="1" applyAlignment="1" applyProtection="1">
      <alignment horizontal="center" vertical="center" wrapText="1"/>
      <protection/>
    </xf>
    <xf numFmtId="0" fontId="47" fillId="0" borderId="46" xfId="58" applyFont="1" applyFill="1" applyBorder="1" applyAlignment="1" applyProtection="1">
      <alignment horizontal="center" vertical="center"/>
      <protection/>
    </xf>
    <xf numFmtId="0" fontId="47" fillId="0" borderId="47" xfId="58" applyFont="1" applyFill="1" applyBorder="1" applyAlignment="1" applyProtection="1">
      <alignment horizontal="center" vertical="center"/>
      <protection/>
    </xf>
    <xf numFmtId="0" fontId="48" fillId="0" borderId="48" xfId="58" applyFont="1" applyFill="1" applyBorder="1" applyAlignment="1" applyProtection="1">
      <alignment horizontal="left" vertical="center" indent="1"/>
      <protection/>
    </xf>
    <xf numFmtId="0" fontId="49" fillId="0" borderId="49" xfId="58" applyFont="1" applyFill="1" applyBorder="1" applyAlignment="1" applyProtection="1">
      <alignment horizontal="left" vertical="center" indent="1"/>
      <protection/>
    </xf>
    <xf numFmtId="0" fontId="49" fillId="0" borderId="20" xfId="58" applyFont="1" applyFill="1" applyBorder="1" applyAlignment="1" applyProtection="1">
      <alignment horizontal="left" vertical="center" indent="1"/>
      <protection/>
    </xf>
    <xf numFmtId="0" fontId="48" fillId="0" borderId="50" xfId="58" applyFont="1" applyFill="1" applyBorder="1" applyAlignment="1" applyProtection="1">
      <alignment horizontal="left" vertical="center" indent="1"/>
      <protection/>
    </xf>
    <xf numFmtId="0" fontId="48" fillId="0" borderId="51" xfId="58" applyFont="1" applyFill="1" applyBorder="1" applyAlignment="1" applyProtection="1">
      <alignment horizontal="left" vertical="center" indent="1"/>
      <protection/>
    </xf>
    <xf numFmtId="3" fontId="48" fillId="0" borderId="51" xfId="58" applyNumberFormat="1" applyFont="1" applyFill="1" applyBorder="1" applyAlignment="1" applyProtection="1">
      <alignment vertical="center"/>
      <protection locked="0"/>
    </xf>
    <xf numFmtId="3" fontId="48" fillId="0" borderId="52" xfId="58" applyNumberFormat="1" applyFont="1" applyFill="1" applyBorder="1" applyAlignment="1" applyProtection="1">
      <alignment vertical="center"/>
      <protection/>
    </xf>
    <xf numFmtId="0" fontId="48" fillId="0" borderId="53" xfId="58" applyFont="1" applyFill="1" applyBorder="1" applyAlignment="1" applyProtection="1">
      <alignment horizontal="left" vertical="center" indent="1"/>
      <protection/>
    </xf>
    <xf numFmtId="0" fontId="48" fillId="0" borderId="33" xfId="58" applyFont="1" applyFill="1" applyBorder="1" applyAlignment="1" applyProtection="1">
      <alignment horizontal="left" vertical="center" indent="1"/>
      <protection/>
    </xf>
    <xf numFmtId="3" fontId="48" fillId="0" borderId="33" xfId="58" applyNumberFormat="1" applyFont="1" applyFill="1" applyBorder="1" applyAlignment="1" applyProtection="1">
      <alignment vertical="center"/>
      <protection locked="0"/>
    </xf>
    <xf numFmtId="3" fontId="48" fillId="0" borderId="54" xfId="58" applyNumberFormat="1" applyFont="1" applyFill="1" applyBorder="1" applyAlignment="1" applyProtection="1">
      <alignment vertical="center"/>
      <protection/>
    </xf>
    <xf numFmtId="0" fontId="48" fillId="0" borderId="28" xfId="58" applyFont="1" applyFill="1" applyBorder="1" applyAlignment="1" applyProtection="1">
      <alignment horizontal="left" vertical="center" wrapText="1" indent="1"/>
      <protection/>
    </xf>
    <xf numFmtId="3" fontId="48" fillId="0" borderId="28" xfId="58" applyNumberFormat="1" applyFont="1" applyFill="1" applyBorder="1" applyAlignment="1" applyProtection="1">
      <alignment vertical="center"/>
      <protection locked="0"/>
    </xf>
    <xf numFmtId="0" fontId="48" fillId="0" borderId="33" xfId="58" applyFont="1" applyFill="1" applyBorder="1" applyAlignment="1" applyProtection="1">
      <alignment horizontal="left" vertical="center" wrapText="1" indent="1"/>
      <protection/>
    </xf>
    <xf numFmtId="3" fontId="48" fillId="0" borderId="55" xfId="58" applyNumberFormat="1" applyFont="1" applyFill="1" applyBorder="1" applyAlignment="1" applyProtection="1">
      <alignment vertical="center"/>
      <protection/>
    </xf>
    <xf numFmtId="0" fontId="47" fillId="0" borderId="41" xfId="58" applyFont="1" applyFill="1" applyBorder="1" applyAlignment="1" applyProtection="1">
      <alignment horizontal="left" vertical="center" indent="1"/>
      <protection/>
    </xf>
    <xf numFmtId="3" fontId="50" fillId="0" borderId="41" xfId="58" applyNumberFormat="1" applyFont="1" applyFill="1" applyBorder="1" applyAlignment="1" applyProtection="1">
      <alignment vertical="center"/>
      <protection/>
    </xf>
    <xf numFmtId="0" fontId="49" fillId="0" borderId="44" xfId="58" applyFont="1" applyFill="1" applyBorder="1" applyAlignment="1" applyProtection="1">
      <alignment horizontal="left" vertical="center" indent="1"/>
      <protection/>
    </xf>
    <xf numFmtId="0" fontId="48" fillId="0" borderId="56" xfId="58" applyFont="1" applyFill="1" applyBorder="1" applyAlignment="1" applyProtection="1">
      <alignment horizontal="left" vertical="center" indent="1"/>
      <protection/>
    </xf>
    <xf numFmtId="0" fontId="48" fillId="0" borderId="28" xfId="58" applyFont="1" applyFill="1" applyBorder="1" applyAlignment="1" applyProtection="1">
      <alignment horizontal="left" vertical="center" indent="1"/>
      <protection/>
    </xf>
    <xf numFmtId="3" fontId="48" fillId="0" borderId="57" xfId="58" applyNumberFormat="1" applyFont="1" applyFill="1" applyBorder="1" applyAlignment="1" applyProtection="1">
      <alignment vertical="center"/>
      <protection/>
    </xf>
    <xf numFmtId="0" fontId="50" fillId="0" borderId="48" xfId="58" applyFont="1" applyFill="1" applyBorder="1" applyAlignment="1" applyProtection="1">
      <alignment horizontal="left" vertical="center" indent="1"/>
      <protection/>
    </xf>
    <xf numFmtId="3" fontId="50" fillId="0" borderId="58" xfId="58" applyNumberFormat="1" applyFont="1" applyFill="1" applyBorder="1" applyAlignment="1" applyProtection="1">
      <alignment vertical="center"/>
      <protection/>
    </xf>
    <xf numFmtId="0" fontId="47" fillId="0" borderId="41" xfId="58" applyFont="1" applyFill="1" applyBorder="1" applyAlignment="1" applyProtection="1">
      <alignment horizontal="left" indent="1"/>
      <protection/>
    </xf>
    <xf numFmtId="3" fontId="50" fillId="0" borderId="41" xfId="58" applyNumberFormat="1" applyFont="1" applyFill="1" applyBorder="1" applyProtection="1">
      <alignment/>
      <protection/>
    </xf>
    <xf numFmtId="0" fontId="46" fillId="0" borderId="0" xfId="58" applyFont="1" applyFill="1" applyProtection="1">
      <alignment/>
      <protection/>
    </xf>
    <xf numFmtId="0" fontId="24" fillId="0" borderId="0" xfId="58" applyFont="1" applyFill="1" applyProtection="1">
      <alignment/>
      <protection locked="0"/>
    </xf>
    <xf numFmtId="0" fontId="43" fillId="0" borderId="0" xfId="58" applyFont="1" applyFill="1" applyProtection="1">
      <alignment/>
      <protection locked="0"/>
    </xf>
    <xf numFmtId="3" fontId="43" fillId="0" borderId="0" xfId="58" applyNumberFormat="1" applyFont="1" applyFill="1" applyProtection="1">
      <alignment/>
      <protection locked="0"/>
    </xf>
    <xf numFmtId="3" fontId="0" fillId="0" borderId="0" xfId="0" applyNumberFormat="1" applyBorder="1" applyAlignment="1">
      <alignment/>
    </xf>
    <xf numFmtId="3" fontId="13" fillId="0" borderId="0" xfId="0" applyNumberFormat="1" applyFont="1" applyAlignment="1">
      <alignment/>
    </xf>
    <xf numFmtId="0" fontId="43" fillId="0" borderId="0" xfId="58" applyFont="1" applyFill="1" applyBorder="1" applyAlignment="1" applyProtection="1">
      <alignment horizontal="center" wrapText="1"/>
      <protection locked="0"/>
    </xf>
    <xf numFmtId="168" fontId="48" fillId="0" borderId="51" xfId="58" applyNumberFormat="1" applyFont="1" applyFill="1" applyBorder="1" applyAlignment="1" applyProtection="1">
      <alignment vertical="center"/>
      <protection locked="0"/>
    </xf>
    <xf numFmtId="168" fontId="48" fillId="0" borderId="51" xfId="58" applyNumberFormat="1" applyFont="1" applyFill="1" applyBorder="1" applyAlignment="1" applyProtection="1">
      <alignment vertical="center"/>
      <protection/>
    </xf>
    <xf numFmtId="168" fontId="48" fillId="0" borderId="59" xfId="58" applyNumberFormat="1" applyFont="1" applyFill="1" applyBorder="1" applyAlignment="1" applyProtection="1" quotePrefix="1">
      <alignment horizontal="center" vertical="center"/>
      <protection/>
    </xf>
    <xf numFmtId="168" fontId="48" fillId="0" borderId="33" xfId="58" applyNumberFormat="1" applyFont="1" applyFill="1" applyBorder="1" applyAlignment="1" applyProtection="1">
      <alignment vertical="center"/>
      <protection locked="0"/>
    </xf>
    <xf numFmtId="168" fontId="48" fillId="0" borderId="54" xfId="58" applyNumberFormat="1" applyFont="1" applyFill="1" applyBorder="1" applyAlignment="1" applyProtection="1">
      <alignment vertical="center"/>
      <protection/>
    </xf>
    <xf numFmtId="168" fontId="48" fillId="0" borderId="28" xfId="58" applyNumberFormat="1" applyFont="1" applyFill="1" applyBorder="1" applyAlignment="1" applyProtection="1">
      <alignment vertical="center"/>
      <protection locked="0"/>
    </xf>
    <xf numFmtId="168" fontId="48" fillId="0" borderId="57" xfId="58" applyNumberFormat="1" applyFont="1" applyFill="1" applyBorder="1" applyAlignment="1" applyProtection="1">
      <alignment vertical="center"/>
      <protection/>
    </xf>
    <xf numFmtId="168" fontId="50" fillId="0" borderId="41" xfId="58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Border="1" applyAlignment="1">
      <alignment/>
    </xf>
    <xf numFmtId="168" fontId="50" fillId="0" borderId="58" xfId="58" applyNumberFormat="1" applyFont="1" applyFill="1" applyBorder="1" applyAlignment="1" applyProtection="1">
      <alignment vertical="center"/>
      <protection/>
    </xf>
    <xf numFmtId="168" fontId="50" fillId="0" borderId="41" xfId="58" applyNumberFormat="1" applyFont="1" applyFill="1" applyBorder="1" applyProtection="1">
      <alignment/>
      <protection/>
    </xf>
    <xf numFmtId="168" fontId="50" fillId="0" borderId="58" xfId="58" applyNumberFormat="1" applyFont="1" applyFill="1" applyBorder="1" applyAlignment="1" applyProtection="1" quotePrefix="1">
      <alignment horizontal="center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9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wrapText="1"/>
    </xf>
    <xf numFmtId="0" fontId="39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9" fillId="0" borderId="19" xfId="0" applyNumberFormat="1" applyFont="1" applyFill="1" applyBorder="1" applyAlignment="1">
      <alignment/>
    </xf>
    <xf numFmtId="0" fontId="40" fillId="0" borderId="19" xfId="0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9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0" fontId="41" fillId="0" borderId="16" xfId="0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39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21" xfId="0" applyFont="1" applyFill="1" applyBorder="1" applyAlignment="1">
      <alignment wrapText="1"/>
    </xf>
    <xf numFmtId="0" fontId="39" fillId="0" borderId="20" xfId="0" applyFont="1" applyFill="1" applyBorder="1" applyAlignment="1">
      <alignment horizontal="center" wrapText="1"/>
    </xf>
    <xf numFmtId="0" fontId="40" fillId="0" borderId="20" xfId="0" applyFont="1" applyFill="1" applyBorder="1" applyAlignment="1">
      <alignment/>
    </xf>
    <xf numFmtId="0" fontId="4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0" borderId="21" xfId="0" applyFont="1" applyFill="1" applyBorder="1" applyAlignment="1">
      <alignment/>
    </xf>
    <xf numFmtId="3" fontId="39" fillId="0" borderId="20" xfId="0" applyNumberFormat="1" applyFont="1" applyFill="1" applyBorder="1" applyAlignment="1">
      <alignment/>
    </xf>
    <xf numFmtId="0" fontId="40" fillId="0" borderId="44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3" fontId="39" fillId="0" borderId="43" xfId="0" applyNumberFormat="1" applyFont="1" applyFill="1" applyBorder="1" applyAlignment="1">
      <alignment/>
    </xf>
    <xf numFmtId="3" fontId="39" fillId="0" borderId="44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40" fillId="0" borderId="19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39" fillId="0" borderId="17" xfId="0" applyFont="1" applyFill="1" applyBorder="1" applyAlignment="1">
      <alignment horizontal="center" wrapText="1"/>
    </xf>
    <xf numFmtId="0" fontId="40" fillId="0" borderId="17" xfId="0" applyFont="1" applyFill="1" applyBorder="1" applyAlignment="1">
      <alignment/>
    </xf>
    <xf numFmtId="0" fontId="40" fillId="0" borderId="17" xfId="0" applyFont="1" applyFill="1" applyBorder="1" applyAlignment="1">
      <alignment wrapText="1"/>
    </xf>
    <xf numFmtId="0" fontId="40" fillId="0" borderId="12" xfId="0" applyFont="1" applyFill="1" applyBorder="1" applyAlignment="1">
      <alignment wrapText="1"/>
    </xf>
    <xf numFmtId="0" fontId="39" fillId="0" borderId="12" xfId="0" applyFont="1" applyFill="1" applyBorder="1" applyAlignment="1">
      <alignment wrapText="1"/>
    </xf>
    <xf numFmtId="0" fontId="10" fillId="0" borderId="19" xfId="0" applyFont="1" applyFill="1" applyBorder="1" applyAlignment="1">
      <alignment/>
    </xf>
    <xf numFmtId="164" fontId="39" fillId="0" borderId="0" xfId="0" applyNumberFormat="1" applyFont="1" applyFill="1" applyBorder="1" applyAlignment="1">
      <alignment/>
    </xf>
    <xf numFmtId="164" fontId="39" fillId="0" borderId="19" xfId="0" applyNumberFormat="1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10" fillId="0" borderId="42" xfId="0" applyFont="1" applyFill="1" applyBorder="1" applyAlignment="1">
      <alignment/>
    </xf>
    <xf numFmtId="164" fontId="39" fillId="0" borderId="18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164" fontId="10" fillId="0" borderId="16" xfId="0" applyNumberFormat="1" applyFont="1" applyFill="1" applyBorder="1" applyAlignment="1">
      <alignment/>
    </xf>
    <xf numFmtId="164" fontId="39" fillId="0" borderId="16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4" fontId="10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34" fillId="0" borderId="60" xfId="0" applyNumberFormat="1" applyFont="1" applyFill="1" applyBorder="1" applyAlignment="1">
      <alignment/>
    </xf>
    <xf numFmtId="3" fontId="31" fillId="0" borderId="6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 wrapText="1"/>
    </xf>
    <xf numFmtId="0" fontId="25" fillId="0" borderId="0" xfId="56" applyFont="1" applyFill="1">
      <alignment/>
      <protection/>
    </xf>
    <xf numFmtId="168" fontId="24" fillId="0" borderId="0" xfId="56" applyNumberFormat="1" applyFont="1" applyFill="1" applyBorder="1" applyAlignment="1" applyProtection="1">
      <alignment horizontal="centerContinuous" vertical="center"/>
      <protection/>
    </xf>
    <xf numFmtId="0" fontId="52" fillId="0" borderId="0" xfId="0" applyFont="1" applyFill="1" applyBorder="1" applyAlignment="1" applyProtection="1">
      <alignment horizontal="right"/>
      <protection/>
    </xf>
    <xf numFmtId="0" fontId="53" fillId="0" borderId="0" xfId="0" applyFont="1" applyFill="1" applyBorder="1" applyAlignment="1" applyProtection="1">
      <alignment/>
      <protection/>
    </xf>
    <xf numFmtId="0" fontId="43" fillId="0" borderId="61" xfId="56" applyFont="1" applyFill="1" applyBorder="1" applyAlignment="1" applyProtection="1">
      <alignment horizontal="center" vertical="center" wrapText="1"/>
      <protection/>
    </xf>
    <xf numFmtId="0" fontId="43" fillId="0" borderId="62" xfId="56" applyFont="1" applyFill="1" applyBorder="1" applyAlignment="1" applyProtection="1">
      <alignment horizontal="center" vertical="center" wrapText="1"/>
      <protection/>
    </xf>
    <xf numFmtId="0" fontId="43" fillId="0" borderId="52" xfId="56" applyFont="1" applyFill="1" applyBorder="1" applyAlignment="1" applyProtection="1">
      <alignment horizontal="center" vertical="center" wrapText="1"/>
      <protection/>
    </xf>
    <xf numFmtId="0" fontId="44" fillId="0" borderId="48" xfId="56" applyFont="1" applyFill="1" applyBorder="1" applyAlignment="1" applyProtection="1">
      <alignment horizontal="center" vertical="center"/>
      <protection/>
    </xf>
    <xf numFmtId="0" fontId="44" fillId="0" borderId="41" xfId="56" applyFont="1" applyFill="1" applyBorder="1" applyAlignment="1" applyProtection="1">
      <alignment horizontal="center" vertical="center"/>
      <protection/>
    </xf>
    <xf numFmtId="0" fontId="44" fillId="0" borderId="58" xfId="56" applyFont="1" applyFill="1" applyBorder="1" applyAlignment="1" applyProtection="1">
      <alignment horizontal="center" vertical="center"/>
      <protection/>
    </xf>
    <xf numFmtId="0" fontId="44" fillId="0" borderId="62" xfId="56" applyFont="1" applyFill="1" applyBorder="1" applyProtection="1">
      <alignment/>
      <protection/>
    </xf>
    <xf numFmtId="3" fontId="17" fillId="0" borderId="52" xfId="0" applyNumberFormat="1" applyFont="1" applyBorder="1" applyAlignment="1">
      <alignment horizontal="right" vertical="center" wrapText="1"/>
    </xf>
    <xf numFmtId="0" fontId="44" fillId="0" borderId="33" xfId="56" applyFont="1" applyFill="1" applyBorder="1" applyProtection="1">
      <alignment/>
      <protection/>
    </xf>
    <xf numFmtId="3" fontId="17" fillId="0" borderId="54" xfId="0" applyNumberFormat="1" applyFont="1" applyBorder="1" applyAlignment="1">
      <alignment horizontal="right" vertical="center" wrapText="1"/>
    </xf>
    <xf numFmtId="0" fontId="44" fillId="0" borderId="33" xfId="56" applyFont="1" applyFill="1" applyBorder="1" applyAlignment="1" applyProtection="1">
      <alignment wrapText="1"/>
      <protection/>
    </xf>
    <xf numFmtId="0" fontId="44" fillId="0" borderId="38" xfId="56" applyFont="1" applyFill="1" applyBorder="1" applyProtection="1">
      <alignment/>
      <protection/>
    </xf>
    <xf numFmtId="3" fontId="20" fillId="0" borderId="58" xfId="0" applyNumberFormat="1" applyFont="1" applyBorder="1" applyAlignment="1">
      <alignment horizontal="right" vertical="center" wrapText="1"/>
    </xf>
    <xf numFmtId="3" fontId="44" fillId="0" borderId="0" xfId="58" applyNumberFormat="1" applyFill="1" applyProtection="1">
      <alignment/>
      <protection/>
    </xf>
    <xf numFmtId="0" fontId="43" fillId="0" borderId="0" xfId="58" applyFont="1" applyFill="1" applyAlignment="1" applyProtection="1">
      <alignment horizontal="center" wrapText="1"/>
      <protection/>
    </xf>
    <xf numFmtId="0" fontId="43" fillId="0" borderId="0" xfId="58" applyFont="1" applyFill="1" applyAlignment="1" applyProtection="1">
      <alignment horizontal="center"/>
      <protection/>
    </xf>
    <xf numFmtId="0" fontId="43" fillId="0" borderId="43" xfId="56" applyFont="1" applyFill="1" applyBorder="1" applyAlignment="1" applyProtection="1">
      <alignment/>
      <protection/>
    </xf>
    <xf numFmtId="3" fontId="17" fillId="0" borderId="63" xfId="0" applyNumberFormat="1" applyFont="1" applyBorder="1" applyAlignment="1">
      <alignment horizontal="right" vertical="center" wrapText="1"/>
    </xf>
    <xf numFmtId="0" fontId="21" fillId="0" borderId="61" xfId="56" applyFont="1" applyFill="1" applyBorder="1" applyAlignment="1" applyProtection="1">
      <alignment horizontal="right" vertical="center"/>
      <protection/>
    </xf>
    <xf numFmtId="0" fontId="21" fillId="0" borderId="53" xfId="56" applyFont="1" applyFill="1" applyBorder="1" applyAlignment="1" applyProtection="1">
      <alignment horizontal="right" vertical="center"/>
      <protection/>
    </xf>
    <xf numFmtId="0" fontId="21" fillId="0" borderId="64" xfId="56" applyFont="1" applyFill="1" applyBorder="1" applyAlignment="1" applyProtection="1">
      <alignment horizontal="right" vertical="center"/>
      <protection/>
    </xf>
    <xf numFmtId="0" fontId="54" fillId="0" borderId="43" xfId="56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44" fillId="0" borderId="0" xfId="58" applyFont="1" applyFill="1" applyProtection="1">
      <alignment/>
      <protection/>
    </xf>
    <xf numFmtId="0" fontId="44" fillId="0" borderId="0" xfId="58" applyFont="1" applyFill="1" applyProtection="1">
      <alignment/>
      <protection locked="0"/>
    </xf>
    <xf numFmtId="0" fontId="44" fillId="0" borderId="0" xfId="58" applyFont="1" applyFill="1" applyAlignment="1" applyProtection="1">
      <alignment horizontal="right"/>
      <protection/>
    </xf>
    <xf numFmtId="0" fontId="44" fillId="0" borderId="0" xfId="58" applyFont="1" applyFill="1" applyAlignment="1" applyProtection="1">
      <alignment horizontal="right"/>
      <protection locked="0"/>
    </xf>
    <xf numFmtId="3" fontId="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/>
    </xf>
    <xf numFmtId="3" fontId="24" fillId="0" borderId="21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3" fontId="11" fillId="0" borderId="65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11" fillId="0" borderId="66" xfId="0" applyFont="1" applyFill="1" applyBorder="1" applyAlignment="1">
      <alignment/>
    </xf>
    <xf numFmtId="0" fontId="11" fillId="0" borderId="66" xfId="0" applyFont="1" applyFill="1" applyBorder="1" applyAlignment="1">
      <alignment/>
    </xf>
    <xf numFmtId="3" fontId="9" fillId="0" borderId="67" xfId="0" applyNumberFormat="1" applyFont="1" applyFill="1" applyBorder="1" applyAlignment="1">
      <alignment/>
    </xf>
    <xf numFmtId="4" fontId="0" fillId="0" borderId="0" xfId="0" applyAlignment="1">
      <alignment/>
    </xf>
    <xf numFmtId="3" fontId="0" fillId="0" borderId="0" xfId="0" applyAlignment="1">
      <alignment/>
    </xf>
    <xf numFmtId="176" fontId="0" fillId="0" borderId="0" xfId="0" applyAlignment="1">
      <alignment/>
    </xf>
    <xf numFmtId="3" fontId="3" fillId="0" borderId="68" xfId="0" applyNumberFormat="1" applyFont="1" applyFill="1" applyBorder="1" applyAlignment="1">
      <alignment horizontal="right"/>
    </xf>
    <xf numFmtId="3" fontId="11" fillId="0" borderId="67" xfId="0" applyNumberFormat="1" applyFont="1" applyFill="1" applyBorder="1" applyAlignment="1">
      <alignment/>
    </xf>
    <xf numFmtId="3" fontId="3" fillId="0" borderId="69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 horizontal="right"/>
    </xf>
    <xf numFmtId="3" fontId="11" fillId="0" borderId="70" xfId="0" applyNumberFormat="1" applyFont="1" applyFill="1" applyBorder="1" applyAlignment="1">
      <alignment/>
    </xf>
    <xf numFmtId="3" fontId="11" fillId="0" borderId="66" xfId="0" applyNumberFormat="1" applyFont="1" applyFill="1" applyBorder="1" applyAlignment="1">
      <alignment/>
    </xf>
    <xf numFmtId="3" fontId="9" fillId="0" borderId="71" xfId="0" applyNumberFormat="1" applyFont="1" applyFill="1" applyBorder="1" applyAlignment="1">
      <alignment/>
    </xf>
    <xf numFmtId="3" fontId="12" fillId="0" borderId="72" xfId="0" applyNumberFormat="1" applyFont="1" applyFill="1" applyBorder="1" applyAlignment="1">
      <alignment/>
    </xf>
    <xf numFmtId="3" fontId="12" fillId="0" borderId="73" xfId="0" applyNumberFormat="1" applyFont="1" applyFill="1" applyBorder="1" applyAlignment="1">
      <alignment/>
    </xf>
    <xf numFmtId="3" fontId="12" fillId="0" borderId="68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/>
    </xf>
    <xf numFmtId="3" fontId="12" fillId="0" borderId="67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7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1" fillId="0" borderId="75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3" fontId="12" fillId="0" borderId="7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74" fillId="0" borderId="0" xfId="0" applyNumberFormat="1" applyFont="1" applyAlignment="1">
      <alignment/>
    </xf>
    <xf numFmtId="3" fontId="75" fillId="0" borderId="0" xfId="0" applyNumberFormat="1" applyFont="1" applyAlignment="1">
      <alignment/>
    </xf>
    <xf numFmtId="3" fontId="0" fillId="0" borderId="31" xfId="0" applyNumberFormat="1" applyBorder="1" applyAlignment="1">
      <alignment/>
    </xf>
    <xf numFmtId="3" fontId="30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27" fillId="0" borderId="24" xfId="0" applyNumberFormat="1" applyFont="1" applyFill="1" applyBorder="1" applyAlignment="1">
      <alignment/>
    </xf>
    <xf numFmtId="3" fontId="27" fillId="0" borderId="6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1" fontId="16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0" fontId="76" fillId="0" borderId="0" xfId="0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39" fillId="0" borderId="43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9" fillId="0" borderId="0" xfId="0" applyFont="1" applyFill="1" applyAlignment="1">
      <alignment wrapText="1"/>
    </xf>
    <xf numFmtId="0" fontId="16" fillId="0" borderId="0" xfId="0" applyFont="1" applyFill="1" applyAlignment="1">
      <alignment horizontal="right" wrapText="1"/>
    </xf>
    <xf numFmtId="0" fontId="11" fillId="0" borderId="0" xfId="0" applyFont="1" applyAlignment="1">
      <alignment wrapText="1"/>
    </xf>
    <xf numFmtId="0" fontId="16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3" fillId="0" borderId="77" xfId="0" applyFont="1" applyFill="1" applyBorder="1" applyAlignment="1">
      <alignment/>
    </xf>
    <xf numFmtId="3" fontId="3" fillId="0" borderId="74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3" fontId="3" fillId="0" borderId="71" xfId="0" applyNumberFormat="1" applyFont="1" applyFill="1" applyBorder="1" applyAlignment="1">
      <alignment horizontal="center"/>
    </xf>
    <xf numFmtId="3" fontId="3" fillId="0" borderId="78" xfId="0" applyNumberFormat="1" applyFont="1" applyFill="1" applyBorder="1" applyAlignment="1">
      <alignment/>
    </xf>
    <xf numFmtId="3" fontId="3" fillId="0" borderId="79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2" fillId="0" borderId="75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80" xfId="0" applyNumberFormat="1" applyFont="1" applyFill="1" applyBorder="1" applyAlignment="1">
      <alignment/>
    </xf>
    <xf numFmtId="3" fontId="12" fillId="0" borderId="72" xfId="0" applyNumberFormat="1" applyFont="1" applyFill="1" applyBorder="1" applyAlignment="1">
      <alignment/>
    </xf>
    <xf numFmtId="3" fontId="12" fillId="0" borderId="73" xfId="0" applyNumberFormat="1" applyFont="1" applyFill="1" applyBorder="1" applyAlignment="1">
      <alignment/>
    </xf>
    <xf numFmtId="3" fontId="12" fillId="0" borderId="68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/>
    </xf>
    <xf numFmtId="3" fontId="12" fillId="0" borderId="67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9" fillId="0" borderId="6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0" fontId="39" fillId="0" borderId="20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 wrapText="1"/>
    </xf>
    <xf numFmtId="0" fontId="39" fillId="0" borderId="18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39" fillId="0" borderId="17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left" wrapText="1"/>
    </xf>
    <xf numFmtId="164" fontId="10" fillId="0" borderId="0" xfId="0" applyNumberFormat="1" applyFont="1" applyFill="1" applyAlignment="1">
      <alignment horizontal="right"/>
    </xf>
    <xf numFmtId="164" fontId="1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left" wrapText="1"/>
    </xf>
    <xf numFmtId="164" fontId="0" fillId="0" borderId="16" xfId="0" applyNumberFormat="1" applyFont="1" applyFill="1" applyBorder="1" applyAlignment="1">
      <alignment wrapText="1"/>
    </xf>
    <xf numFmtId="164" fontId="0" fillId="0" borderId="18" xfId="0" applyNumberFormat="1" applyFont="1" applyFill="1" applyBorder="1" applyAlignment="1">
      <alignment horizontal="right"/>
    </xf>
    <xf numFmtId="164" fontId="39" fillId="0" borderId="21" xfId="0" applyNumberFormat="1" applyFont="1" applyFill="1" applyBorder="1" applyAlignment="1">
      <alignment/>
    </xf>
    <xf numFmtId="164" fontId="39" fillId="0" borderId="20" xfId="0" applyNumberFormat="1" applyFont="1" applyFill="1" applyBorder="1" applyAlignment="1">
      <alignment horizontal="right"/>
    </xf>
    <xf numFmtId="164" fontId="39" fillId="0" borderId="21" xfId="0" applyNumberFormat="1" applyFont="1" applyFill="1" applyBorder="1" applyAlignment="1">
      <alignment horizontal="right"/>
    </xf>
    <xf numFmtId="164" fontId="39" fillId="0" borderId="43" xfId="0" applyNumberFormat="1" applyFont="1" applyFill="1" applyBorder="1" applyAlignment="1">
      <alignment horizontal="right"/>
    </xf>
    <xf numFmtId="164" fontId="39" fillId="0" borderId="16" xfId="0" applyNumberFormat="1" applyFont="1" applyFill="1" applyBorder="1" applyAlignment="1">
      <alignment wrapText="1"/>
    </xf>
    <xf numFmtId="0" fontId="39" fillId="0" borderId="19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164" fontId="10" fillId="0" borderId="43" xfId="0" applyNumberFormat="1" applyFont="1" applyFill="1" applyBorder="1" applyAlignment="1">
      <alignment/>
    </xf>
    <xf numFmtId="164" fontId="10" fillId="0" borderId="20" xfId="0" applyNumberFormat="1" applyFont="1" applyFill="1" applyBorder="1" applyAlignment="1">
      <alignment/>
    </xf>
    <xf numFmtId="164" fontId="10" fillId="0" borderId="44" xfId="0" applyNumberFormat="1" applyFont="1" applyFill="1" applyBorder="1" applyAlignment="1">
      <alignment/>
    </xf>
    <xf numFmtId="3" fontId="0" fillId="0" borderId="33" xfId="0" applyNumberFormat="1" applyBorder="1" applyAlignment="1">
      <alignment/>
    </xf>
    <xf numFmtId="0" fontId="38" fillId="0" borderId="16" xfId="0" applyFont="1" applyBorder="1" applyAlignment="1">
      <alignment vertical="top" wrapText="1"/>
    </xf>
    <xf numFmtId="3" fontId="38" fillId="0" borderId="16" xfId="0" applyNumberFormat="1" applyFont="1" applyBorder="1" applyAlignment="1">
      <alignment horizontal="right" vertical="top" wrapText="1"/>
    </xf>
    <xf numFmtId="3" fontId="38" fillId="0" borderId="81" xfId="0" applyNumberFormat="1" applyFont="1" applyBorder="1" applyAlignment="1">
      <alignment horizontal="right" vertical="top" wrapText="1"/>
    </xf>
    <xf numFmtId="3" fontId="38" fillId="0" borderId="51" xfId="0" applyNumberFormat="1" applyFont="1" applyBorder="1" applyAlignment="1">
      <alignment horizontal="right" vertical="top" wrapText="1"/>
    </xf>
    <xf numFmtId="3" fontId="38" fillId="0" borderId="82" xfId="0" applyNumberFormat="1" applyFont="1" applyBorder="1" applyAlignment="1">
      <alignment horizontal="right" vertical="top" wrapText="1"/>
    </xf>
    <xf numFmtId="3" fontId="38" fillId="0" borderId="54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 horizontal="right"/>
    </xf>
    <xf numFmtId="168" fontId="77" fillId="0" borderId="54" xfId="58" applyNumberFormat="1" applyFont="1" applyFill="1" applyBorder="1" applyAlignment="1" applyProtection="1">
      <alignment vertical="center"/>
      <protection/>
    </xf>
    <xf numFmtId="0" fontId="24" fillId="0" borderId="73" xfId="0" applyFont="1" applyBorder="1" applyAlignment="1">
      <alignment horizontal="center"/>
    </xf>
    <xf numFmtId="4" fontId="24" fillId="0" borderId="17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25" fillId="0" borderId="75" xfId="0" applyNumberFormat="1" applyFont="1" applyBorder="1" applyAlignment="1">
      <alignment/>
    </xf>
    <xf numFmtId="3" fontId="25" fillId="0" borderId="80" xfId="0" applyNumberFormat="1" applyFont="1" applyBorder="1" applyAlignment="1">
      <alignment/>
    </xf>
    <xf numFmtId="3" fontId="24" fillId="0" borderId="74" xfId="0" applyNumberFormat="1" applyFont="1" applyBorder="1" applyAlignment="1">
      <alignment/>
    </xf>
    <xf numFmtId="3" fontId="24" fillId="0" borderId="71" xfId="0" applyNumberFormat="1" applyFont="1" applyBorder="1" applyAlignment="1">
      <alignment/>
    </xf>
    <xf numFmtId="3" fontId="24" fillId="0" borderId="0" xfId="0" applyNumberFormat="1" applyFont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12" fillId="0" borderId="68" xfId="0" applyFont="1" applyFill="1" applyBorder="1" applyAlignment="1">
      <alignment/>
    </xf>
    <xf numFmtId="0" fontId="12" fillId="0" borderId="67" xfId="0" applyFont="1" applyFill="1" applyBorder="1" applyAlignment="1">
      <alignment/>
    </xf>
    <xf numFmtId="0" fontId="12" fillId="0" borderId="67" xfId="0" applyFont="1" applyFill="1" applyBorder="1" applyAlignment="1">
      <alignment/>
    </xf>
    <xf numFmtId="0" fontId="12" fillId="0" borderId="67" xfId="0" applyFont="1" applyFill="1" applyBorder="1" applyAlignment="1">
      <alignment wrapText="1"/>
    </xf>
    <xf numFmtId="0" fontId="3" fillId="0" borderId="67" xfId="0" applyFont="1" applyFill="1" applyBorder="1" applyAlignment="1">
      <alignment wrapText="1"/>
    </xf>
    <xf numFmtId="0" fontId="3" fillId="0" borderId="67" xfId="0" applyFont="1" applyFill="1" applyBorder="1" applyAlignment="1">
      <alignment/>
    </xf>
    <xf numFmtId="0" fontId="3" fillId="0" borderId="79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74" fillId="0" borderId="0" xfId="0" applyNumberFormat="1" applyFont="1" applyAlignment="1">
      <alignment/>
    </xf>
    <xf numFmtId="0" fontId="24" fillId="0" borderId="70" xfId="0" applyFont="1" applyBorder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83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70" xfId="0" applyNumberFormat="1" applyFont="1" applyBorder="1" applyAlignment="1">
      <alignment/>
    </xf>
    <xf numFmtId="3" fontId="24" fillId="0" borderId="66" xfId="0" applyNumberFormat="1" applyFont="1" applyBorder="1" applyAlignment="1">
      <alignment/>
    </xf>
    <xf numFmtId="0" fontId="26" fillId="0" borderId="70" xfId="0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0" fontId="9" fillId="0" borderId="20" xfId="0" applyFont="1" applyFill="1" applyBorder="1" applyAlignment="1">
      <alignment wrapText="1"/>
    </xf>
    <xf numFmtId="3" fontId="24" fillId="0" borderId="78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0" fontId="25" fillId="0" borderId="69" xfId="0" applyFont="1" applyBorder="1" applyAlignment="1">
      <alignment/>
    </xf>
    <xf numFmtId="0" fontId="25" fillId="0" borderId="73" xfId="0" applyFont="1" applyBorder="1" applyAlignment="1">
      <alignment/>
    </xf>
    <xf numFmtId="3" fontId="25" fillId="0" borderId="73" xfId="0" applyNumberFormat="1" applyFont="1" applyBorder="1" applyAlignment="1">
      <alignment/>
    </xf>
    <xf numFmtId="3" fontId="25" fillId="0" borderId="42" xfId="0" applyNumberFormat="1" applyFont="1" applyBorder="1" applyAlignment="1">
      <alignment/>
    </xf>
    <xf numFmtId="0" fontId="25" fillId="0" borderId="65" xfId="0" applyFont="1" applyBorder="1" applyAlignment="1">
      <alignment/>
    </xf>
    <xf numFmtId="0" fontId="25" fillId="0" borderId="17" xfId="0" applyFont="1" applyBorder="1" applyAlignment="1">
      <alignment wrapText="1"/>
    </xf>
    <xf numFmtId="3" fontId="25" fillId="0" borderId="17" xfId="0" applyNumberFormat="1" applyFont="1" applyBorder="1" applyAlignment="1">
      <alignment/>
    </xf>
    <xf numFmtId="3" fontId="25" fillId="0" borderId="84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7" fillId="0" borderId="0" xfId="0" applyFont="1" applyAlignment="1">
      <alignment horizontal="right" wrapText="1"/>
    </xf>
    <xf numFmtId="0" fontId="21" fillId="0" borderId="0" xfId="0" applyFont="1" applyFill="1" applyBorder="1" applyAlignment="1">
      <alignment horizontal="center"/>
    </xf>
    <xf numFmtId="0" fontId="25" fillId="0" borderId="70" xfId="0" applyFont="1" applyBorder="1" applyAlignment="1">
      <alignment/>
    </xf>
    <xf numFmtId="3" fontId="25" fillId="0" borderId="85" xfId="0" applyNumberFormat="1" applyFont="1" applyBorder="1" applyAlignment="1">
      <alignment/>
    </xf>
    <xf numFmtId="0" fontId="25" fillId="0" borderId="66" xfId="0" applyFont="1" applyBorder="1" applyAlignment="1">
      <alignment/>
    </xf>
    <xf numFmtId="3" fontId="25" fillId="0" borderId="67" xfId="0" applyNumberFormat="1" applyFont="1" applyBorder="1" applyAlignment="1">
      <alignment/>
    </xf>
    <xf numFmtId="0" fontId="10" fillId="0" borderId="43" xfId="0" applyFont="1" applyFill="1" applyBorder="1" applyAlignment="1">
      <alignment/>
    </xf>
    <xf numFmtId="0" fontId="10" fillId="0" borderId="86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39" fillId="0" borderId="18" xfId="0" applyFont="1" applyFill="1" applyBorder="1" applyAlignment="1">
      <alignment horizontal="right"/>
    </xf>
    <xf numFmtId="3" fontId="39" fillId="0" borderId="75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9" fillId="0" borderId="16" xfId="0" applyNumberFormat="1" applyFont="1" applyFill="1" applyBorder="1" applyAlignment="1">
      <alignment horizontal="right" wrapText="1"/>
    </xf>
    <xf numFmtId="164" fontId="39" fillId="0" borderId="16" xfId="0" applyNumberFormat="1" applyFont="1" applyFill="1" applyBorder="1" applyAlignment="1">
      <alignment horizontal="right" wrapText="1"/>
    </xf>
    <xf numFmtId="164" fontId="39" fillId="0" borderId="87" xfId="0" applyNumberFormat="1" applyFont="1" applyFill="1" applyBorder="1" applyAlignment="1">
      <alignment horizontal="right"/>
    </xf>
    <xf numFmtId="3" fontId="0" fillId="0" borderId="70" xfId="0" applyNumberFormat="1" applyFont="1" applyFill="1" applyBorder="1" applyAlignment="1">
      <alignment/>
    </xf>
    <xf numFmtId="0" fontId="0" fillId="0" borderId="85" xfId="0" applyFont="1" applyFill="1" applyBorder="1" applyAlignment="1">
      <alignment/>
    </xf>
    <xf numFmtId="164" fontId="39" fillId="0" borderId="78" xfId="0" applyNumberFormat="1" applyFont="1" applyFill="1" applyBorder="1" applyAlignment="1">
      <alignment horizontal="right"/>
    </xf>
    <xf numFmtId="164" fontId="39" fillId="0" borderId="20" xfId="0" applyNumberFormat="1" applyFont="1" applyFill="1" applyBorder="1" applyAlignment="1">
      <alignment horizontal="right"/>
    </xf>
    <xf numFmtId="164" fontId="39" fillId="0" borderId="79" xfId="0" applyNumberFormat="1" applyFont="1" applyFill="1" applyBorder="1" applyAlignment="1">
      <alignment horizontal="right"/>
    </xf>
    <xf numFmtId="0" fontId="39" fillId="0" borderId="75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3" fontId="0" fillId="0" borderId="7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right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78" fillId="0" borderId="0" xfId="0" applyFont="1" applyFill="1" applyBorder="1" applyAlignment="1">
      <alignment horizontal="left"/>
    </xf>
    <xf numFmtId="0" fontId="79" fillId="0" borderId="0" xfId="0" applyFont="1" applyFill="1" applyAlignment="1">
      <alignment/>
    </xf>
    <xf numFmtId="0" fontId="39" fillId="0" borderId="88" xfId="0" applyFont="1" applyFill="1" applyBorder="1" applyAlignment="1">
      <alignment horizontal="center"/>
    </xf>
    <xf numFmtId="3" fontId="50" fillId="0" borderId="82" xfId="58" applyNumberFormat="1" applyFont="1" applyFill="1" applyBorder="1" applyAlignment="1" applyProtection="1">
      <alignment vertical="center"/>
      <protection/>
    </xf>
    <xf numFmtId="0" fontId="18" fillId="0" borderId="89" xfId="0" applyFont="1" applyBorder="1" applyAlignment="1">
      <alignment horizontal="center"/>
    </xf>
    <xf numFmtId="0" fontId="37" fillId="0" borderId="37" xfId="0" applyFont="1" applyBorder="1" applyAlignment="1">
      <alignment horizontal="center" vertical="top" wrapText="1"/>
    </xf>
    <xf numFmtId="0" fontId="37" fillId="0" borderId="90" xfId="0" applyFont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91" xfId="0" applyNumberFormat="1" applyFont="1" applyFill="1" applyBorder="1" applyAlignment="1">
      <alignment horizontal="center"/>
    </xf>
    <xf numFmtId="3" fontId="3" fillId="0" borderId="92" xfId="0" applyNumberFormat="1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7" fillId="0" borderId="38" xfId="0" applyFont="1" applyBorder="1" applyAlignment="1">
      <alignment horizontal="center" vertical="top" wrapText="1"/>
    </xf>
    <xf numFmtId="0" fontId="37" fillId="0" borderId="93" xfId="0" applyFont="1" applyBorder="1" applyAlignment="1">
      <alignment horizontal="center" vertical="top" wrapText="1"/>
    </xf>
    <xf numFmtId="0" fontId="37" fillId="0" borderId="39" xfId="0" applyFont="1" applyBorder="1" applyAlignment="1">
      <alignment horizontal="center" vertical="top" wrapText="1"/>
    </xf>
    <xf numFmtId="0" fontId="10" fillId="0" borderId="94" xfId="0" applyFont="1" applyBorder="1" applyAlignment="1">
      <alignment/>
    </xf>
    <xf numFmtId="0" fontId="3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9" fillId="0" borderId="4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39" fillId="0" borderId="43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44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168" fontId="51" fillId="0" borderId="0" xfId="56" applyNumberFormat="1" applyFont="1" applyFill="1" applyBorder="1" applyAlignment="1" applyProtection="1">
      <alignment horizontal="center" vertical="center" wrapText="1"/>
      <protection/>
    </xf>
    <xf numFmtId="0" fontId="48" fillId="0" borderId="15" xfId="56" applyFont="1" applyFill="1" applyBorder="1" applyAlignment="1">
      <alignment horizontal="justify" vertical="center" wrapText="1"/>
      <protection/>
    </xf>
    <xf numFmtId="0" fontId="43" fillId="0" borderId="0" xfId="58" applyFont="1" applyFill="1" applyBorder="1" applyAlignment="1" applyProtection="1">
      <alignment horizontal="center" wrapText="1"/>
      <protection locked="0"/>
    </xf>
    <xf numFmtId="0" fontId="43" fillId="0" borderId="17" xfId="58" applyFont="1" applyFill="1" applyBorder="1" applyAlignment="1" applyProtection="1">
      <alignment horizontal="center" wrapText="1"/>
      <protection locked="0"/>
    </xf>
    <xf numFmtId="0" fontId="49" fillId="0" borderId="49" xfId="58" applyFont="1" applyFill="1" applyBorder="1" applyAlignment="1" applyProtection="1">
      <alignment horizontal="left" vertical="center" indent="1"/>
      <protection/>
    </xf>
    <xf numFmtId="0" fontId="49" fillId="0" borderId="20" xfId="58" applyFont="1" applyFill="1" applyBorder="1" applyAlignment="1" applyProtection="1">
      <alignment horizontal="left" vertical="center" indent="1"/>
      <protection/>
    </xf>
    <xf numFmtId="0" fontId="49" fillId="0" borderId="42" xfId="58" applyFont="1" applyFill="1" applyBorder="1" applyAlignment="1" applyProtection="1">
      <alignment horizontal="left" vertical="center" indent="1"/>
      <protection/>
    </xf>
    <xf numFmtId="0" fontId="49" fillId="0" borderId="44" xfId="58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right"/>
    </xf>
    <xf numFmtId="0" fontId="43" fillId="0" borderId="0" xfId="58" applyFont="1" applyFill="1" applyAlignment="1" applyProtection="1">
      <alignment horizontal="center" vertical="center" wrapText="1"/>
      <protection/>
    </xf>
    <xf numFmtId="0" fontId="43" fillId="0" borderId="0" xfId="58" applyFont="1" applyFill="1" applyAlignment="1" applyProtection="1">
      <alignment horizontal="center" vertical="center"/>
      <protection/>
    </xf>
    <xf numFmtId="0" fontId="43" fillId="0" borderId="0" xfId="58" applyFont="1" applyFill="1" applyAlignment="1" applyProtection="1">
      <alignment horizontal="center" wrapText="1"/>
      <protection/>
    </xf>
    <xf numFmtId="0" fontId="43" fillId="0" borderId="0" xfId="58" applyFont="1" applyFill="1" applyAlignment="1" applyProtection="1">
      <alignment horizontal="center"/>
      <protection/>
    </xf>
    <xf numFmtId="0" fontId="24" fillId="0" borderId="72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Normál_Munka1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RBNLA~1\LOCALS~1\Temp\k&#246;ltjavaslat2011csak%20seg&#237;ts&#233;gn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NT&#201;S_C\Documents%20and%20Settings\Kocsisn&#233;\Dokumentumok\Marian2012\k&#246;ltm&#243;d2012&#233;v\november\k&#246;ltm&#243;dnovember2012%20elfogadot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csisn&#233;\Dokumentumok\Marian2012\l&#233;tsz&#225;mcs&#246;kkent&#233;s\2012.&#233;vi%20k&#246;lts&#233;gvet&#233;s%20l&#233;tsz&#225;mcs&#246;kkent&#233;she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int&#233;zm&#233;nyi%20sz&#246;veges%20k&#246;lts&#233;gvet&#233;sek%202014&#233;v\PH%20sz&#246;veges%20k&#246;lt.2014%20el&#337;terjeszt&#233;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ian2014\k&#246;lts&#233;gvet&#233;s\int&#233;zm&#233;nyi%20sz&#246;veges%20k&#246;lts&#233;gvet&#233;sek%202014&#233;v\ESZESZ%202014%20&#233;vi%20sz&#246;veges%20k&#246;lts&#233;gve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rb_ök_"/>
      <sheetName val="román ök_"/>
      <sheetName val="cigány"/>
      <sheetName val="eszesz"/>
      <sheetName val="vsz"/>
      <sheetName val="Gimi"/>
      <sheetName val="könyvtár"/>
      <sheetName val="Óvoda"/>
      <sheetName val="románok"/>
      <sheetName val="szia"/>
      <sheetName val="szerbek"/>
      <sheetName val="kultúr"/>
      <sheetName val="2mell 2ápr"/>
      <sheetName val="2mell_2"/>
      <sheetName val="Munka2"/>
      <sheetName val="2mell2011k"/>
      <sheetName val="2mell2011"/>
      <sheetName val="2mell 1ápr"/>
      <sheetName val="2mell_1"/>
      <sheetName val="létszám jó"/>
      <sheetName val="er.ei.felhalmozás09"/>
      <sheetName val="felhalmozás"/>
      <sheetName val="szoc jó"/>
      <sheetName val="felhalm2010"/>
      <sheetName val="felhmérleg"/>
      <sheetName val="felh_mérleg"/>
      <sheetName val="felh bev"/>
      <sheetName val="átadott"/>
      <sheetName val="int10"/>
      <sheetName val="norm2011"/>
      <sheetName val="Munka1"/>
      <sheetName val="norm"/>
      <sheetName val="több  éves kötelezettség"/>
      <sheetName val="polg_hiv_"/>
      <sheetName val="kincstár fin_terv"/>
      <sheetName val="_PH_ei_felh_terv_"/>
      <sheetName val="román eifelh"/>
      <sheetName val="szerbeifelh"/>
      <sheetName val="közösségi ell"/>
      <sheetName val="likviditási terv"/>
      <sheetName val="1mell1"/>
      <sheetName val="3 éves terv"/>
      <sheetName val="1mell1a"/>
      <sheetName val="1mell2"/>
    </sheetNames>
    <sheetDataSet>
      <sheetData sheetId="13">
        <row r="110">
          <cell r="A110" t="str">
            <v>Városellátó Szervezet</v>
          </cell>
        </row>
      </sheetData>
      <sheetData sheetId="17">
        <row r="28">
          <cell r="A28" t="str">
            <v>Városellátó  Szervezet</v>
          </cell>
        </row>
        <row r="32">
          <cell r="A32" t="str">
            <v>Egészségügyi és Szociális Ellátó Szervezet</v>
          </cell>
        </row>
      </sheetData>
      <sheetData sheetId="26">
        <row r="35">
          <cell r="A35" t="str">
            <v>Felhalmozási bevételek összesen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deletkönyv"/>
      <sheetName val="nettó"/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cigány besz"/>
      <sheetName val="szerb besz"/>
      <sheetName val="román besz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jó"/>
      <sheetName val="létszám 2012"/>
      <sheetName val="norm2012"/>
    </sheetNames>
    <sheetDataSet>
      <sheetData sheetId="3">
        <row r="24">
          <cell r="B24" t="str">
            <v>Városi Művelődési Központ és Könyvtár</v>
          </cell>
        </row>
      </sheetData>
      <sheetData sheetId="4">
        <row r="34">
          <cell r="B34" t="str">
            <v>Battonya Város Önkormányzata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román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2012"/>
      <sheetName val="norm2012"/>
    </sheetNames>
    <sheetDataSet>
      <sheetData sheetId="2">
        <row r="40">
          <cell r="A40" t="str">
            <v>Városellátó  Szervezet</v>
          </cell>
        </row>
        <row r="46">
          <cell r="A46" t="str">
            <v>Egészségügyi és Szociális Ellátó Szervezet</v>
          </cell>
        </row>
        <row r="62">
          <cell r="A62" t="str">
            <v>Városi Művelődési Központ és Könyvtár</v>
          </cell>
        </row>
        <row r="76">
          <cell r="A76" t="str">
            <v>Battonya Város Önkormányzata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nka3"/>
      <sheetName val="751153"/>
      <sheetName val="emelt 08"/>
      <sheetName val="bérek08"/>
      <sheetName val="PH08"/>
      <sheetName val="PH09"/>
      <sheetName val="össz"/>
      <sheetName val="Munka1"/>
      <sheetName val="ÖK 2014"/>
      <sheetName val="PH 2014"/>
      <sheetName val="PH 2013"/>
      <sheetName val="bér 2014"/>
      <sheetName val="közhasznúak"/>
      <sheetName val="Munka2"/>
    </sheetNames>
    <sheetDataSet>
      <sheetData sheetId="8">
        <row r="12">
          <cell r="H12">
            <v>1620</v>
          </cell>
        </row>
        <row r="17">
          <cell r="H17">
            <v>393.66</v>
          </cell>
        </row>
        <row r="78">
          <cell r="H78">
            <v>507.492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terv"/>
      <sheetName val="2013bérek"/>
      <sheetName val="normatíva2014"/>
      <sheetName val="2014 bérek"/>
      <sheetName val="összesítő"/>
      <sheetName val="889921 szoc.étk."/>
      <sheetName val="856012 Korai fejl.gondozás"/>
      <sheetName val="889926 közösségiell."/>
      <sheetName val="881011 nappaliell."/>
      <sheetName val="881012 demens"/>
      <sheetName val="889201 gyermekjólét"/>
      <sheetName val="889924 családs."/>
      <sheetName val="889922 házis.ny."/>
      <sheetName val="862301 fogorvosi ell."/>
      <sheetName val="869041 védőnők"/>
      <sheetName val="869042 ifjuság-eü.gondozás"/>
      <sheetName val="869031 labor"/>
      <sheetName val="869037 fizikoterápiás szolg."/>
      <sheetName val="862101 háziorv."/>
      <sheetName val="ESZESZ BEVÉTEL"/>
      <sheetName val="ESZESZ2_es"/>
    </sheetNames>
    <sheetDataSet>
      <sheetData sheetId="3">
        <row r="48">
          <cell r="J48">
            <v>130800</v>
          </cell>
        </row>
        <row r="49">
          <cell r="J49">
            <v>126300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1"/>
  <sheetViews>
    <sheetView zoomScalePageLayoutView="0" workbookViewId="0" topLeftCell="A28">
      <selection activeCell="F50" sqref="F50"/>
    </sheetView>
  </sheetViews>
  <sheetFormatPr defaultColWidth="9.140625" defaultRowHeight="15" customHeight="1"/>
  <cols>
    <col min="1" max="1" width="5.00390625" style="44" customWidth="1"/>
    <col min="2" max="2" width="3.28125" style="44" customWidth="1"/>
    <col min="3" max="3" width="50.28125" style="89" customWidth="1"/>
    <col min="4" max="4" width="10.421875" style="483" hidden="1" customWidth="1"/>
    <col min="5" max="5" width="14.8515625" style="88" bestFit="1" customWidth="1"/>
    <col min="6" max="6" width="14.8515625" style="88" customWidth="1"/>
    <col min="7" max="10" width="15.00390625" style="88" customWidth="1"/>
    <col min="11" max="11" width="10.28125" style="97" bestFit="1" customWidth="1"/>
    <col min="12" max="12" width="16.57421875" style="88" bestFit="1" customWidth="1"/>
    <col min="13" max="13" width="13.140625" style="88" bestFit="1" customWidth="1"/>
    <col min="14" max="14" width="16.57421875" style="88" bestFit="1" customWidth="1"/>
    <col min="15" max="17" width="17.8515625" style="88" bestFit="1" customWidth="1"/>
    <col min="18" max="23" width="19.140625" style="88" customWidth="1"/>
    <col min="24" max="24" width="14.421875" style="88" bestFit="1" customWidth="1"/>
    <col min="25" max="25" width="22.28125" style="85" customWidth="1"/>
    <col min="26" max="26" width="19.00390625" style="85" customWidth="1"/>
    <col min="27" max="28" width="10.57421875" style="85" customWidth="1"/>
    <col min="29" max="36" width="14.421875" style="85" customWidth="1"/>
    <col min="37" max="37" width="14.421875" style="44" customWidth="1"/>
    <col min="38" max="38" width="14.57421875" style="44" customWidth="1"/>
    <col min="39" max="40" width="14.421875" style="44" customWidth="1"/>
    <col min="41" max="41" width="9.140625" style="44" customWidth="1"/>
    <col min="42" max="42" width="14.140625" style="44" customWidth="1"/>
    <col min="43" max="16384" width="9.140625" style="44" customWidth="1"/>
  </cols>
  <sheetData>
    <row r="1" spans="1:35" ht="15" customHeight="1">
      <c r="A1" s="5" t="s">
        <v>266</v>
      </c>
      <c r="C1" s="23"/>
      <c r="D1" s="482" t="s">
        <v>423</v>
      </c>
      <c r="E1" s="3" t="s">
        <v>379</v>
      </c>
      <c r="F1" s="3" t="s">
        <v>379</v>
      </c>
      <c r="G1" s="3"/>
      <c r="H1" s="3"/>
      <c r="I1" s="3"/>
      <c r="J1" s="3"/>
      <c r="K1" s="8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6" ht="15" customHeight="1">
      <c r="A2" s="86" t="s">
        <v>176</v>
      </c>
      <c r="C2" s="87"/>
      <c r="D2" s="482" t="s">
        <v>68</v>
      </c>
      <c r="E2" s="3" t="s">
        <v>68</v>
      </c>
      <c r="F2" s="3" t="s">
        <v>477</v>
      </c>
      <c r="G2" s="3"/>
      <c r="H2" s="3"/>
      <c r="I2" s="3"/>
      <c r="J2" s="3"/>
      <c r="K2" s="8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9" customHeight="1">
      <c r="A3" s="86"/>
      <c r="C3" s="87"/>
      <c r="D3" s="482"/>
      <c r="E3" s="3"/>
      <c r="F3" s="3"/>
      <c r="G3" s="3"/>
      <c r="H3" s="3"/>
      <c r="I3" s="3"/>
      <c r="J3" s="3"/>
      <c r="K3" s="8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s="85" customFormat="1" ht="15" customHeight="1">
      <c r="A4" s="2" t="s">
        <v>11</v>
      </c>
      <c r="B4" s="2" t="s">
        <v>12</v>
      </c>
      <c r="C4" s="18" t="s">
        <v>13</v>
      </c>
      <c r="D4" s="3" t="s">
        <v>14</v>
      </c>
      <c r="E4" s="446" t="s">
        <v>14</v>
      </c>
      <c r="F4" s="446" t="s">
        <v>15</v>
      </c>
      <c r="G4" s="3"/>
      <c r="H4" s="3"/>
      <c r="I4" s="3"/>
      <c r="J4" s="3"/>
      <c r="K4" s="8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5:29" ht="9" customHeight="1">
      <c r="E5" s="3"/>
      <c r="F5" s="3"/>
      <c r="G5" s="3"/>
      <c r="H5" s="3"/>
      <c r="I5" s="3"/>
      <c r="J5" s="3"/>
      <c r="K5" s="84"/>
      <c r="L5" s="3"/>
      <c r="M5" s="3"/>
      <c r="N5" s="3"/>
      <c r="Q5" s="3"/>
      <c r="R5" s="3"/>
      <c r="S5" s="3"/>
      <c r="T5" s="3"/>
      <c r="U5" s="3"/>
      <c r="V5" s="3"/>
      <c r="W5" s="3"/>
      <c r="X5" s="3"/>
      <c r="Y5" s="2"/>
      <c r="Z5" s="2"/>
      <c r="AA5" s="2"/>
      <c r="AB5" s="2"/>
      <c r="AC5" s="2"/>
    </row>
    <row r="6" spans="1:41" s="5" customFormat="1" ht="15" customHeight="1">
      <c r="A6" s="5" t="s">
        <v>20</v>
      </c>
      <c r="B6" s="5" t="s">
        <v>98</v>
      </c>
      <c r="C6" s="23"/>
      <c r="D6" s="35">
        <f>SUM(D7:D17)-D7-D11</f>
        <v>307125</v>
      </c>
      <c r="E6" s="7">
        <f>SUM(E7:E17)-E7-E11</f>
        <v>296199</v>
      </c>
      <c r="F6" s="7">
        <f>SUM(F7:F17)-F7-F11</f>
        <v>296199</v>
      </c>
      <c r="G6" s="7"/>
      <c r="H6" s="7"/>
      <c r="I6" s="7"/>
      <c r="J6" s="7"/>
      <c r="K6" s="43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AL6" s="44"/>
      <c r="AN6" s="44"/>
      <c r="AO6" s="44"/>
    </row>
    <row r="7" spans="1:36" ht="15" customHeight="1">
      <c r="A7" s="44" t="s">
        <v>21</v>
      </c>
      <c r="C7" s="89" t="s">
        <v>99</v>
      </c>
      <c r="D7" s="481">
        <f>SUM(D8:D10)</f>
        <v>114297</v>
      </c>
      <c r="E7" s="88">
        <f>SUM(E8:E10)</f>
        <v>99471</v>
      </c>
      <c r="F7" s="88">
        <f>SUM(F8:F10)</f>
        <v>99471</v>
      </c>
      <c r="O7" s="3"/>
      <c r="AJ7" s="2"/>
    </row>
    <row r="8" spans="1:36" ht="15" customHeight="1">
      <c r="A8" s="44" t="s">
        <v>22</v>
      </c>
      <c r="C8" s="91" t="s">
        <v>100</v>
      </c>
      <c r="D8" s="484">
        <f>+3_mell!D30-2100-500</f>
        <v>111697</v>
      </c>
      <c r="E8" s="88">
        <f>+3_mell!D32-2100-500</f>
        <v>96871</v>
      </c>
      <c r="F8" s="88">
        <f>+3_mell!D33-2100-500</f>
        <v>96871</v>
      </c>
      <c r="O8" s="3"/>
      <c r="AJ8" s="2"/>
    </row>
    <row r="9" spans="1:36" ht="15" customHeight="1">
      <c r="A9" s="44" t="s">
        <v>23</v>
      </c>
      <c r="C9" s="91" t="s">
        <v>101</v>
      </c>
      <c r="D9" s="484">
        <v>2100</v>
      </c>
      <c r="E9" s="88">
        <v>2100</v>
      </c>
      <c r="F9" s="88">
        <f>+E9</f>
        <v>2100</v>
      </c>
      <c r="O9" s="3"/>
      <c r="AJ9" s="2"/>
    </row>
    <row r="10" spans="1:36" ht="15" customHeight="1">
      <c r="A10" s="44" t="s">
        <v>24</v>
      </c>
      <c r="C10" s="91" t="s">
        <v>102</v>
      </c>
      <c r="D10" s="484">
        <v>500</v>
      </c>
      <c r="E10" s="88">
        <v>500</v>
      </c>
      <c r="F10" s="88">
        <f>+E10</f>
        <v>500</v>
      </c>
      <c r="O10" s="3"/>
      <c r="AJ10" s="2"/>
    </row>
    <row r="11" spans="1:36" ht="15" customHeight="1">
      <c r="A11" s="44" t="s">
        <v>25</v>
      </c>
      <c r="C11" s="89" t="s">
        <v>103</v>
      </c>
      <c r="D11" s="481">
        <f>SUM(D12:D12)</f>
        <v>15214</v>
      </c>
      <c r="E11" s="88">
        <f>SUM(E12:E12)</f>
        <v>15214</v>
      </c>
      <c r="F11" s="88">
        <f>SUM(F12:F12)</f>
        <v>15214</v>
      </c>
      <c r="AJ11" s="2"/>
    </row>
    <row r="12" spans="1:36" ht="15" customHeight="1">
      <c r="A12" s="44" t="s">
        <v>26</v>
      </c>
      <c r="C12" s="91" t="s">
        <v>104</v>
      </c>
      <c r="D12" s="485">
        <v>15214</v>
      </c>
      <c r="E12" s="88">
        <v>15214</v>
      </c>
      <c r="F12" s="88">
        <f aca="true" t="shared" si="0" ref="F12:F17">+E12</f>
        <v>15214</v>
      </c>
      <c r="O12" s="92"/>
      <c r="P12" s="3"/>
      <c r="Z12" s="88"/>
      <c r="AA12" s="88"/>
      <c r="AJ12" s="2"/>
    </row>
    <row r="13" spans="1:36" ht="15" customHeight="1">
      <c r="A13" s="44" t="s">
        <v>27</v>
      </c>
      <c r="C13" s="89" t="s">
        <v>105</v>
      </c>
      <c r="D13" s="483">
        <v>125000</v>
      </c>
      <c r="E13" s="88">
        <v>125000</v>
      </c>
      <c r="F13" s="88">
        <f t="shared" si="0"/>
        <v>125000</v>
      </c>
      <c r="Z13" s="88"/>
      <c r="AA13" s="88"/>
      <c r="AJ13" s="2"/>
    </row>
    <row r="14" spans="1:36" ht="15" customHeight="1">
      <c r="A14" s="44" t="s">
        <v>28</v>
      </c>
      <c r="C14" s="89" t="s">
        <v>106</v>
      </c>
      <c r="D14" s="483">
        <v>3</v>
      </c>
      <c r="E14" s="88">
        <v>3</v>
      </c>
      <c r="F14" s="88">
        <f t="shared" si="0"/>
        <v>3</v>
      </c>
      <c r="O14" s="92"/>
      <c r="P14" s="3"/>
      <c r="AJ14" s="2"/>
    </row>
    <row r="15" spans="1:36" ht="15" customHeight="1">
      <c r="A15" s="44" t="s">
        <v>29</v>
      </c>
      <c r="C15" s="89" t="s">
        <v>107</v>
      </c>
      <c r="D15" s="483">
        <v>2561</v>
      </c>
      <c r="E15" s="88">
        <v>2561</v>
      </c>
      <c r="F15" s="88">
        <f t="shared" si="0"/>
        <v>2561</v>
      </c>
      <c r="AJ15" s="2"/>
    </row>
    <row r="16" spans="1:36" ht="15" customHeight="1">
      <c r="A16" s="44" t="s">
        <v>30</v>
      </c>
      <c r="C16" s="89" t="s">
        <v>108</v>
      </c>
      <c r="D16" s="483">
        <v>2500</v>
      </c>
      <c r="E16" s="88">
        <v>2500</v>
      </c>
      <c r="F16" s="88">
        <f t="shared" si="0"/>
        <v>2500</v>
      </c>
      <c r="AD16" s="44"/>
      <c r="AE16" s="44"/>
      <c r="AF16" s="44"/>
      <c r="AJ16" s="2"/>
    </row>
    <row r="17" spans="1:36" ht="15" customHeight="1">
      <c r="A17" s="44" t="s">
        <v>31</v>
      </c>
      <c r="C17" s="89" t="s">
        <v>424</v>
      </c>
      <c r="D17" s="483">
        <v>47550</v>
      </c>
      <c r="E17" s="88">
        <f>7000+35000+9450</f>
        <v>51450</v>
      </c>
      <c r="F17" s="88">
        <f t="shared" si="0"/>
        <v>51450</v>
      </c>
      <c r="AD17" s="44"/>
      <c r="AE17" s="44"/>
      <c r="AF17" s="44"/>
      <c r="AJ17" s="2"/>
    </row>
    <row r="18" spans="30:36" ht="8.25" customHeight="1">
      <c r="AD18" s="44"/>
      <c r="AE18" s="44"/>
      <c r="AF18" s="44"/>
      <c r="AJ18" s="2"/>
    </row>
    <row r="19" spans="1:39" s="5" customFormat="1" ht="15" customHeight="1">
      <c r="A19" s="5" t="s">
        <v>32</v>
      </c>
      <c r="B19" s="5" t="s">
        <v>109</v>
      </c>
      <c r="C19" s="23"/>
      <c r="D19" s="35">
        <f>+D20+D21</f>
        <v>9964</v>
      </c>
      <c r="E19" s="7">
        <f>+E20+E21</f>
        <v>9964</v>
      </c>
      <c r="F19" s="7">
        <f>+F20+F21</f>
        <v>9964</v>
      </c>
      <c r="G19" s="7"/>
      <c r="H19" s="7"/>
      <c r="I19" s="7"/>
      <c r="J19" s="7"/>
      <c r="K19" s="43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AK19" s="44"/>
      <c r="AL19" s="44"/>
      <c r="AM19" s="44"/>
    </row>
    <row r="20" spans="1:36" ht="15" customHeight="1">
      <c r="A20" s="44" t="s">
        <v>33</v>
      </c>
      <c r="C20" s="89" t="s">
        <v>110</v>
      </c>
      <c r="D20" s="483">
        <v>9814</v>
      </c>
      <c r="E20" s="47">
        <v>9814</v>
      </c>
      <c r="F20" s="47">
        <f>+E20</f>
        <v>9814</v>
      </c>
      <c r="G20" s="44"/>
      <c r="H20" s="44"/>
      <c r="I20" s="44"/>
      <c r="J20" s="44"/>
      <c r="Y20" s="88"/>
      <c r="Z20" s="88"/>
      <c r="AC20" s="88"/>
      <c r="AD20" s="88"/>
      <c r="AJ20" s="5"/>
    </row>
    <row r="21" spans="1:36" ht="15" customHeight="1">
      <c r="A21" s="44" t="s">
        <v>34</v>
      </c>
      <c r="C21" s="89" t="s">
        <v>111</v>
      </c>
      <c r="D21" s="483">
        <v>150</v>
      </c>
      <c r="E21" s="88">
        <v>150</v>
      </c>
      <c r="F21" s="88">
        <f>+E21</f>
        <v>150</v>
      </c>
      <c r="Y21" s="88"/>
      <c r="Z21" s="88"/>
      <c r="AC21" s="88"/>
      <c r="AD21" s="88"/>
      <c r="AJ21" s="5"/>
    </row>
    <row r="22" ht="15.75">
      <c r="AJ22" s="5"/>
    </row>
    <row r="23" spans="1:39" s="5" customFormat="1" ht="15" customHeight="1">
      <c r="A23" s="5" t="s">
        <v>35</v>
      </c>
      <c r="B23" s="5" t="s">
        <v>112</v>
      </c>
      <c r="C23" s="23"/>
      <c r="D23" s="35">
        <f>SUM(D24:D24)</f>
        <v>251962</v>
      </c>
      <c r="E23" s="7">
        <f>SUM(E24:E24)</f>
        <v>241074</v>
      </c>
      <c r="F23" s="7">
        <f>SUM(F24:F27)</f>
        <v>266588</v>
      </c>
      <c r="G23" s="7"/>
      <c r="H23" s="7"/>
      <c r="I23" s="7"/>
      <c r="J23" s="7"/>
      <c r="K23" s="43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AD23" s="7"/>
      <c r="AL23" s="44"/>
      <c r="AM23" s="44"/>
    </row>
    <row r="24" spans="1:36" ht="15" customHeight="1">
      <c r="A24" s="44" t="s">
        <v>36</v>
      </c>
      <c r="C24" s="89" t="s">
        <v>10</v>
      </c>
      <c r="D24" s="483">
        <v>251962</v>
      </c>
      <c r="E24" s="522">
        <f>240773+301</f>
        <v>241074</v>
      </c>
      <c r="F24" s="522">
        <f>+E24</f>
        <v>241074</v>
      </c>
      <c r="Y24" s="88"/>
      <c r="Z24" s="88"/>
      <c r="AA24" s="88"/>
      <c r="AC24" s="88"/>
      <c r="AD24" s="88"/>
      <c r="AJ24" s="2"/>
    </row>
    <row r="25" spans="1:36" ht="15" customHeight="1">
      <c r="A25" s="44" t="s">
        <v>37</v>
      </c>
      <c r="C25" s="89" t="s">
        <v>489</v>
      </c>
      <c r="E25" s="522"/>
      <c r="F25" s="522">
        <v>426</v>
      </c>
      <c r="Y25" s="88"/>
      <c r="Z25" s="88"/>
      <c r="AA25" s="88"/>
      <c r="AC25" s="88"/>
      <c r="AD25" s="88"/>
      <c r="AJ25" s="2"/>
    </row>
    <row r="26" spans="1:36" ht="15" customHeight="1">
      <c r="A26" s="44" t="s">
        <v>40</v>
      </c>
      <c r="C26" s="89" t="s">
        <v>490</v>
      </c>
      <c r="E26" s="522"/>
      <c r="F26" s="522">
        <v>959</v>
      </c>
      <c r="Y26" s="88"/>
      <c r="Z26" s="88"/>
      <c r="AA26" s="88"/>
      <c r="AC26" s="88"/>
      <c r="AD26" s="88"/>
      <c r="AJ26" s="2"/>
    </row>
    <row r="27" spans="1:36" ht="15" customHeight="1">
      <c r="A27" s="44" t="s">
        <v>42</v>
      </c>
      <c r="C27" s="89" t="s">
        <v>491</v>
      </c>
      <c r="E27" s="522"/>
      <c r="F27" s="522">
        <v>24129</v>
      </c>
      <c r="Y27" s="88"/>
      <c r="Z27" s="88"/>
      <c r="AA27" s="88"/>
      <c r="AC27" s="88"/>
      <c r="AD27" s="88"/>
      <c r="AJ27" s="2"/>
    </row>
    <row r="28" spans="25:36" ht="15.75">
      <c r="Y28" s="88"/>
      <c r="Z28" s="88"/>
      <c r="AA28" s="88"/>
      <c r="AC28" s="88"/>
      <c r="AD28" s="88"/>
      <c r="AJ28" s="2"/>
    </row>
    <row r="29" spans="1:30" ht="14.25" customHeight="1">
      <c r="A29" s="44" t="s">
        <v>43</v>
      </c>
      <c r="B29" s="5" t="s">
        <v>113</v>
      </c>
      <c r="C29" s="23"/>
      <c r="D29" s="7">
        <f>+D31</f>
        <v>198097</v>
      </c>
      <c r="E29" s="7">
        <f>+E31</f>
        <v>150344</v>
      </c>
      <c r="F29" s="7">
        <f>+F31+F42</f>
        <v>198810</v>
      </c>
      <c r="G29" s="7"/>
      <c r="H29" s="7"/>
      <c r="I29" s="7"/>
      <c r="J29" s="7"/>
      <c r="K29" s="43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47"/>
      <c r="Z29" s="5"/>
      <c r="AA29" s="5"/>
      <c r="AB29" s="5"/>
      <c r="AC29" s="5"/>
      <c r="AD29" s="5"/>
    </row>
    <row r="30" spans="2:30" ht="9" customHeight="1">
      <c r="B30" s="5"/>
      <c r="C30" s="23"/>
      <c r="D30" s="482"/>
      <c r="E30" s="7"/>
      <c r="F30" s="7"/>
      <c r="G30" s="7"/>
      <c r="H30" s="7"/>
      <c r="I30" s="7"/>
      <c r="J30" s="7"/>
      <c r="K30" s="43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47"/>
      <c r="Z30" s="5"/>
      <c r="AA30" s="5"/>
      <c r="AB30" s="5"/>
      <c r="AC30" s="5"/>
      <c r="AD30" s="5"/>
    </row>
    <row r="31" spans="1:30" ht="15" customHeight="1">
      <c r="A31" s="44" t="s">
        <v>44</v>
      </c>
      <c r="B31" s="5"/>
      <c r="C31" s="96" t="s">
        <v>114</v>
      </c>
      <c r="D31" s="94">
        <f>SUM(D32:D37)</f>
        <v>198097</v>
      </c>
      <c r="E31" s="94">
        <f>SUM(E32:E38)</f>
        <v>150344</v>
      </c>
      <c r="F31" s="94">
        <f>SUM(F32:F41)</f>
        <v>166504</v>
      </c>
      <c r="G31" s="94"/>
      <c r="H31" s="94"/>
      <c r="I31" s="94"/>
      <c r="J31" s="94"/>
      <c r="K31" s="93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5"/>
    </row>
    <row r="32" spans="1:29" ht="15" customHeight="1">
      <c r="A32" s="44" t="s">
        <v>45</v>
      </c>
      <c r="C32" s="89" t="s">
        <v>115</v>
      </c>
      <c r="D32" s="483">
        <v>34000</v>
      </c>
      <c r="E32" s="88">
        <f>+3_mell!F12</f>
        <v>32500</v>
      </c>
      <c r="F32" s="88">
        <f>+E32</f>
        <v>32500</v>
      </c>
      <c r="AC32" s="88"/>
    </row>
    <row r="33" spans="1:28" ht="15" customHeight="1">
      <c r="A33" s="44" t="s">
        <v>46</v>
      </c>
      <c r="C33" s="89" t="s">
        <v>116</v>
      </c>
      <c r="D33" s="483">
        <v>146826</v>
      </c>
      <c r="E33" s="88">
        <v>94553</v>
      </c>
      <c r="F33" s="88">
        <f>+E33-24129</f>
        <v>70424</v>
      </c>
      <c r="R33" s="90"/>
      <c r="Y33" s="88"/>
      <c r="Z33" s="88"/>
      <c r="AA33" s="88"/>
      <c r="AB33" s="88"/>
    </row>
    <row r="34" spans="1:6" ht="15" customHeight="1">
      <c r="A34" s="44" t="s">
        <v>47</v>
      </c>
      <c r="C34" s="89" t="s">
        <v>117</v>
      </c>
      <c r="D34" s="483">
        <v>600</v>
      </c>
      <c r="E34" s="88">
        <v>600</v>
      </c>
      <c r="F34" s="88">
        <f>+E34</f>
        <v>600</v>
      </c>
    </row>
    <row r="35" spans="1:6" ht="15" customHeight="1">
      <c r="A35" s="44" t="s">
        <v>48</v>
      </c>
      <c r="C35" s="89" t="s">
        <v>118</v>
      </c>
      <c r="D35" s="483">
        <v>3000</v>
      </c>
      <c r="E35" s="88">
        <v>4500</v>
      </c>
      <c r="F35" s="88">
        <f>+E35</f>
        <v>4500</v>
      </c>
    </row>
    <row r="36" spans="1:6" ht="15" customHeight="1">
      <c r="A36" s="44" t="s">
        <v>49</v>
      </c>
      <c r="C36" s="89" t="s">
        <v>119</v>
      </c>
      <c r="D36" s="483">
        <v>8000</v>
      </c>
      <c r="E36" s="88">
        <v>8000</v>
      </c>
      <c r="F36" s="88">
        <f>+E36</f>
        <v>8000</v>
      </c>
    </row>
    <row r="37" spans="1:6" ht="15" customHeight="1">
      <c r="A37" s="44" t="s">
        <v>50</v>
      </c>
      <c r="C37" s="89" t="s">
        <v>230</v>
      </c>
      <c r="D37" s="483">
        <v>5671</v>
      </c>
      <c r="E37" s="88">
        <f>6900-655</f>
        <v>6245</v>
      </c>
      <c r="F37" s="88">
        <f>+E37</f>
        <v>6245</v>
      </c>
    </row>
    <row r="38" spans="1:6" ht="15" customHeight="1">
      <c r="A38" s="44" t="s">
        <v>51</v>
      </c>
      <c r="C38" s="89" t="s">
        <v>446</v>
      </c>
      <c r="E38" s="88">
        <f>3592+655-301</f>
        <v>3946</v>
      </c>
      <c r="F38" s="88">
        <f>+E38</f>
        <v>3946</v>
      </c>
    </row>
    <row r="39" spans="1:6" ht="15" customHeight="1">
      <c r="A39" s="44" t="s">
        <v>52</v>
      </c>
      <c r="C39" s="89" t="s">
        <v>227</v>
      </c>
      <c r="F39" s="88">
        <v>39316</v>
      </c>
    </row>
    <row r="40" spans="1:6" ht="15" customHeight="1">
      <c r="A40" s="44" t="s">
        <v>498</v>
      </c>
      <c r="C40" s="89" t="s">
        <v>494</v>
      </c>
      <c r="F40" s="88">
        <v>973</v>
      </c>
    </row>
    <row r="41" spans="3:6" ht="15" customHeight="1">
      <c r="C41" s="44"/>
      <c r="F41" s="44"/>
    </row>
    <row r="42" spans="1:6" ht="15" customHeight="1">
      <c r="A42" s="44" t="s">
        <v>499</v>
      </c>
      <c r="C42" s="634" t="s">
        <v>482</v>
      </c>
      <c r="F42" s="446">
        <f>SUM(F43:F44)</f>
        <v>32306</v>
      </c>
    </row>
    <row r="43" spans="1:6" ht="15" customHeight="1">
      <c r="A43" s="44" t="s">
        <v>500</v>
      </c>
      <c r="C43" s="89" t="s">
        <v>481</v>
      </c>
      <c r="F43" s="88">
        <v>26212</v>
      </c>
    </row>
    <row r="44" spans="1:6" ht="15" customHeight="1">
      <c r="A44" s="44" t="s">
        <v>501</v>
      </c>
      <c r="C44" s="89" t="s">
        <v>227</v>
      </c>
      <c r="F44" s="88">
        <v>6094</v>
      </c>
    </row>
    <row r="45" ht="8.25" customHeight="1"/>
    <row r="46" spans="1:37" ht="15" customHeight="1">
      <c r="A46" s="44" t="s">
        <v>502</v>
      </c>
      <c r="B46" s="6" t="s">
        <v>135</v>
      </c>
      <c r="C46" s="5" t="s">
        <v>486</v>
      </c>
      <c r="D46" s="3">
        <f>SUM(D47:D47)</f>
        <v>150</v>
      </c>
      <c r="E46" s="3">
        <f>SUM(E47:E47)</f>
        <v>150</v>
      </c>
      <c r="F46" s="3">
        <f>SUM(F47:F47)</f>
        <v>150</v>
      </c>
      <c r="G46" s="3"/>
      <c r="H46" s="3"/>
      <c r="I46" s="3"/>
      <c r="J46" s="3"/>
      <c r="K46" s="84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5"/>
    </row>
    <row r="47" spans="1:37" ht="15" customHeight="1">
      <c r="A47" s="44" t="s">
        <v>503</v>
      </c>
      <c r="B47" s="5"/>
      <c r="C47" s="89" t="s">
        <v>120</v>
      </c>
      <c r="D47" s="483">
        <v>150</v>
      </c>
      <c r="E47" s="88">
        <v>150</v>
      </c>
      <c r="F47" s="88">
        <f>+E47</f>
        <v>150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5"/>
    </row>
    <row r="48" spans="2:37" ht="7.5" customHeight="1">
      <c r="B48" s="5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5"/>
    </row>
    <row r="49" spans="1:37" ht="15" customHeight="1">
      <c r="A49" s="44" t="s">
        <v>504</v>
      </c>
      <c r="B49" s="5" t="s">
        <v>136</v>
      </c>
      <c r="C49" s="24" t="s">
        <v>507</v>
      </c>
      <c r="F49" s="446">
        <v>0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5"/>
    </row>
    <row r="50" spans="2:37" ht="6.75" customHeight="1">
      <c r="B50" s="5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5"/>
    </row>
    <row r="51" spans="1:37" ht="15" customHeight="1">
      <c r="A51" s="5" t="s">
        <v>505</v>
      </c>
      <c r="B51" s="5" t="s">
        <v>121</v>
      </c>
      <c r="D51" s="446">
        <f>+D46+D29+D23+D19+D6</f>
        <v>767298</v>
      </c>
      <c r="E51" s="446">
        <f>+E46+E29+E23+E19+E6</f>
        <v>697731</v>
      </c>
      <c r="F51" s="446">
        <f>+F46+F29+F23+F19+F6+F49</f>
        <v>771711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5"/>
    </row>
    <row r="52" spans="2:37" ht="6.75" customHeight="1">
      <c r="B52" s="5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5"/>
    </row>
    <row r="53" spans="3:36" s="5" customFormat="1" ht="6.75" customHeight="1" hidden="1">
      <c r="C53" s="23"/>
      <c r="D53" s="482"/>
      <c r="E53" s="47"/>
      <c r="F53" s="47"/>
      <c r="G53" s="47"/>
      <c r="H53" s="47"/>
      <c r="I53" s="47"/>
      <c r="J53" s="47"/>
      <c r="K53" s="437"/>
      <c r="L53" s="7"/>
      <c r="M53" s="7"/>
      <c r="N53" s="7"/>
      <c r="O53" s="7"/>
      <c r="P53" s="7"/>
      <c r="Q53" s="7"/>
      <c r="R53" s="47"/>
      <c r="S53" s="47"/>
      <c r="T53" s="47"/>
      <c r="U53" s="47"/>
      <c r="V53" s="47"/>
      <c r="W53" s="47"/>
      <c r="X53" s="47"/>
      <c r="Y53" s="44"/>
      <c r="Z53" s="44"/>
      <c r="AA53" s="44"/>
      <c r="AB53" s="44"/>
      <c r="AC53" s="47"/>
      <c r="AE53" s="44"/>
      <c r="AF53" s="44"/>
      <c r="AH53" s="85"/>
      <c r="AI53" s="85"/>
      <c r="AJ53" s="85"/>
    </row>
    <row r="54" spans="1:36" s="5" customFormat="1" ht="15" customHeight="1">
      <c r="A54" s="6" t="s">
        <v>506</v>
      </c>
      <c r="B54" s="6" t="s">
        <v>122</v>
      </c>
      <c r="C54" s="24"/>
      <c r="D54" s="435">
        <f>+D51</f>
        <v>767298</v>
      </c>
      <c r="E54" s="435">
        <f>+E51</f>
        <v>697731</v>
      </c>
      <c r="F54" s="435">
        <f>+F51</f>
        <v>771711</v>
      </c>
      <c r="G54" s="47"/>
      <c r="H54" s="47"/>
      <c r="I54" s="47"/>
      <c r="J54" s="47"/>
      <c r="K54" s="437"/>
      <c r="L54" s="7"/>
      <c r="M54" s="7"/>
      <c r="N54" s="7"/>
      <c r="O54" s="7"/>
      <c r="P54" s="7"/>
      <c r="Q54" s="7"/>
      <c r="R54" s="47"/>
      <c r="S54" s="47"/>
      <c r="T54" s="47"/>
      <c r="U54" s="47"/>
      <c r="V54" s="47"/>
      <c r="W54" s="47"/>
      <c r="X54" s="47"/>
      <c r="Y54" s="44"/>
      <c r="Z54" s="44"/>
      <c r="AA54" s="44"/>
      <c r="AB54" s="44"/>
      <c r="AC54" s="47"/>
      <c r="AE54" s="44"/>
      <c r="AF54" s="44"/>
      <c r="AH54" s="85"/>
      <c r="AI54" s="85"/>
      <c r="AJ54" s="85"/>
    </row>
    <row r="55" spans="1:6" ht="15" customHeight="1">
      <c r="A55" s="44" t="s">
        <v>508</v>
      </c>
      <c r="B55" s="44" t="s">
        <v>123</v>
      </c>
      <c r="D55" s="483">
        <f>+2_mell!D33</f>
        <v>0</v>
      </c>
      <c r="E55" s="88">
        <f>+2_mell!E33</f>
        <v>697731</v>
      </c>
      <c r="F55" s="88">
        <f>+2_mell!F33</f>
        <v>771711</v>
      </c>
    </row>
    <row r="56" spans="2:36" s="5" customFormat="1" ht="15" customHeight="1">
      <c r="B56" s="44"/>
      <c r="C56" s="89"/>
      <c r="D56" s="483"/>
      <c r="E56" s="47"/>
      <c r="F56" s="47"/>
      <c r="G56" s="47"/>
      <c r="H56" s="47"/>
      <c r="I56" s="47"/>
      <c r="J56" s="47"/>
      <c r="K56" s="438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4"/>
      <c r="Z56" s="44"/>
      <c r="AA56" s="44"/>
      <c r="AB56" s="44"/>
      <c r="AC56" s="44"/>
      <c r="AD56" s="44"/>
      <c r="AE56" s="44"/>
      <c r="AF56" s="44"/>
      <c r="AG56" s="85"/>
      <c r="AH56" s="85"/>
      <c r="AI56" s="85"/>
      <c r="AJ56" s="85"/>
    </row>
    <row r="57" spans="1:36" ht="15" customHeight="1">
      <c r="A57" s="5"/>
      <c r="D57" s="88">
        <f>+D54-D55</f>
        <v>767298</v>
      </c>
      <c r="E57" s="88">
        <f>+E54-E55</f>
        <v>0</v>
      </c>
      <c r="F57" s="88">
        <f>+F54-F55</f>
        <v>0</v>
      </c>
      <c r="X57" s="7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9" spans="1:36" ht="15" customHeight="1">
      <c r="A59" s="5"/>
      <c r="B59" s="5"/>
      <c r="X59" s="47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</row>
    <row r="60" spans="5:35" ht="15" customHeight="1">
      <c r="E60" s="98"/>
      <c r="F60" s="98"/>
      <c r="G60" s="98"/>
      <c r="H60" s="98"/>
      <c r="I60" s="98"/>
      <c r="J60" s="98"/>
      <c r="K60" s="439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9"/>
      <c r="Z60" s="99"/>
      <c r="AA60" s="99"/>
      <c r="AB60" s="99"/>
      <c r="AC60" s="44"/>
      <c r="AD60" s="44"/>
      <c r="AE60" s="44"/>
      <c r="AF60" s="44"/>
      <c r="AG60" s="99"/>
      <c r="AH60" s="99"/>
      <c r="AI60" s="99"/>
    </row>
    <row r="61" spans="5:35" ht="15" customHeight="1">
      <c r="E61" s="47"/>
      <c r="F61" s="47"/>
      <c r="G61" s="47"/>
      <c r="H61" s="47"/>
      <c r="I61" s="47"/>
      <c r="J61" s="47"/>
      <c r="K61" s="438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4"/>
      <c r="Z61" s="44"/>
      <c r="AA61" s="44"/>
      <c r="AB61" s="44"/>
      <c r="AC61" s="44"/>
      <c r="AD61" s="44"/>
      <c r="AE61" s="44"/>
      <c r="AF61" s="44"/>
      <c r="AG61" s="99"/>
      <c r="AH61" s="99"/>
      <c r="AI61" s="99"/>
    </row>
    <row r="62" spans="5:32" ht="15" customHeight="1">
      <c r="E62" s="98"/>
      <c r="F62" s="98"/>
      <c r="G62" s="98"/>
      <c r="H62" s="98"/>
      <c r="I62" s="98"/>
      <c r="J62" s="98"/>
      <c r="K62" s="439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9"/>
      <c r="Z62" s="99"/>
      <c r="AA62" s="99"/>
      <c r="AB62" s="99"/>
      <c r="AC62" s="99"/>
      <c r="AD62" s="99"/>
      <c r="AE62" s="99"/>
      <c r="AF62" s="99"/>
    </row>
    <row r="63" ht="15" customHeight="1">
      <c r="B63" s="99"/>
    </row>
    <row r="64" spans="2:36" ht="15" customHeight="1">
      <c r="B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</row>
    <row r="65" spans="25:36" ht="15" customHeight="1">
      <c r="Y65" s="97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</row>
    <row r="66" ht="15" customHeight="1">
      <c r="AL66" s="5"/>
    </row>
    <row r="67" spans="25:36" ht="15" customHeight="1">
      <c r="Y67" s="97"/>
      <c r="Z67" s="97"/>
      <c r="AA67" s="97"/>
      <c r="AB67" s="97"/>
      <c r="AC67" s="97"/>
      <c r="AD67" s="97"/>
      <c r="AE67" s="97"/>
      <c r="AF67" s="97"/>
      <c r="AG67" s="100"/>
      <c r="AH67" s="100"/>
      <c r="AI67" s="100"/>
      <c r="AJ67" s="100"/>
    </row>
    <row r="70" spans="25:35" ht="15" customHeight="1"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</row>
    <row r="84" ht="15" customHeight="1">
      <c r="C84" s="101" t="s">
        <v>124</v>
      </c>
    </row>
    <row r="85" ht="15" customHeight="1">
      <c r="C85" s="101"/>
    </row>
    <row r="89" ht="15" customHeight="1">
      <c r="C89" s="102"/>
    </row>
    <row r="90" ht="15" customHeight="1">
      <c r="C90" s="102"/>
    </row>
    <row r="91" ht="15" customHeight="1">
      <c r="C91" s="102"/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&amp;L1. melléklet a 2014. évi 6/2014.(III.28.) Önkormányzati költségvetési rendelethez&amp;R&amp;D</oddHeader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5.28125" style="0" customWidth="1"/>
    <col min="2" max="2" width="31.7109375" style="0" customWidth="1"/>
    <col min="3" max="3" width="11.8515625" style="0" customWidth="1"/>
    <col min="4" max="4" width="12.7109375" style="0" customWidth="1"/>
    <col min="5" max="5" width="31.7109375" style="0" customWidth="1"/>
    <col min="6" max="6" width="19.57421875" style="0" customWidth="1"/>
  </cols>
  <sheetData>
    <row r="1" spans="1:7" ht="15.75">
      <c r="A1" s="681" t="s">
        <v>382</v>
      </c>
      <c r="B1" s="681"/>
      <c r="C1" s="681"/>
      <c r="D1" s="681"/>
      <c r="E1" s="681"/>
      <c r="F1" s="681"/>
      <c r="G1" s="681"/>
    </row>
    <row r="2" spans="1:7" ht="15.75">
      <c r="A2" s="83" t="s">
        <v>11</v>
      </c>
      <c r="B2" s="430" t="s">
        <v>362</v>
      </c>
      <c r="C2" s="430" t="s">
        <v>13</v>
      </c>
      <c r="D2" s="430" t="s">
        <v>14</v>
      </c>
      <c r="E2" s="430" t="s">
        <v>381</v>
      </c>
      <c r="F2" s="637" t="s">
        <v>16</v>
      </c>
      <c r="G2" s="637" t="s">
        <v>17</v>
      </c>
    </row>
    <row r="3" spans="1:7" ht="16.5" thickBot="1">
      <c r="A3" t="s">
        <v>20</v>
      </c>
      <c r="B3" s="115" t="s">
        <v>154</v>
      </c>
      <c r="C3" s="115"/>
      <c r="D3" s="115"/>
      <c r="E3" s="115" t="s">
        <v>155</v>
      </c>
      <c r="F3" s="116"/>
      <c r="G3" s="116"/>
    </row>
    <row r="4" spans="1:7" ht="15.75">
      <c r="A4" t="s">
        <v>21</v>
      </c>
      <c r="B4" s="117" t="s">
        <v>156</v>
      </c>
      <c r="C4" s="118" t="s">
        <v>379</v>
      </c>
      <c r="D4" s="118" t="s">
        <v>379</v>
      </c>
      <c r="E4" s="119" t="s">
        <v>156</v>
      </c>
      <c r="F4" s="82" t="s">
        <v>379</v>
      </c>
      <c r="G4" s="120" t="s">
        <v>379</v>
      </c>
    </row>
    <row r="5" spans="1:7" ht="15.75">
      <c r="A5" t="s">
        <v>22</v>
      </c>
      <c r="B5" s="118"/>
      <c r="C5" s="118" t="s">
        <v>68</v>
      </c>
      <c r="D5" s="118" t="s">
        <v>477</v>
      </c>
      <c r="E5" s="119"/>
      <c r="F5" s="120" t="s">
        <v>68</v>
      </c>
      <c r="G5" s="120" t="s">
        <v>477</v>
      </c>
    </row>
    <row r="6" spans="2:5" ht="15.75">
      <c r="B6" s="121"/>
      <c r="C6" s="121"/>
      <c r="D6" s="121"/>
      <c r="E6" s="122"/>
    </row>
    <row r="7" spans="1:7" ht="15.75">
      <c r="A7" t="s">
        <v>23</v>
      </c>
      <c r="B7" s="121" t="str">
        <f>+'[1]felh bev'!A35</f>
        <v>Felhalmozási bevételek összesen</v>
      </c>
      <c r="C7" s="123">
        <f>+8_mell!C18</f>
        <v>51600</v>
      </c>
      <c r="D7" s="126">
        <f>+8_mell!D18</f>
        <v>83906</v>
      </c>
      <c r="E7" s="122" t="s">
        <v>157</v>
      </c>
      <c r="F7" s="104">
        <f>+7_mell!C13</f>
        <v>22241</v>
      </c>
      <c r="G7" s="105">
        <f>+7_mell!D13</f>
        <v>53647</v>
      </c>
    </row>
    <row r="8" spans="1:7" ht="15.75">
      <c r="A8" t="s">
        <v>24</v>
      </c>
      <c r="B8" s="121"/>
      <c r="C8" s="123"/>
      <c r="D8" s="123"/>
      <c r="E8" s="122" t="s">
        <v>158</v>
      </c>
      <c r="F8">
        <f>+2_mell!E23</f>
        <v>13637</v>
      </c>
      <c r="G8" s="83">
        <f>+7_mell!D19</f>
        <v>13637</v>
      </c>
    </row>
    <row r="9" spans="2:7" ht="15.75">
      <c r="B9" s="121"/>
      <c r="C9" s="123"/>
      <c r="D9" s="123"/>
      <c r="E9" s="122"/>
      <c r="G9" s="83"/>
    </row>
    <row r="10" spans="1:7" ht="15.75">
      <c r="A10" t="s">
        <v>25</v>
      </c>
      <c r="B10" s="121"/>
      <c r="C10" s="123"/>
      <c r="D10" s="123"/>
      <c r="E10" s="122" t="s">
        <v>70</v>
      </c>
      <c r="F10" s="104">
        <f>+5_mell!C32</f>
        <v>3000</v>
      </c>
      <c r="G10" s="105">
        <f>+5_mell!D32</f>
        <v>3000</v>
      </c>
    </row>
    <row r="11" spans="2:7" ht="15.75">
      <c r="B11" s="121"/>
      <c r="C11" s="123"/>
      <c r="D11" s="123"/>
      <c r="E11" s="122"/>
      <c r="G11" s="83"/>
    </row>
    <row r="12" spans="2:7" ht="15.75">
      <c r="B12" s="121"/>
      <c r="C12" s="123"/>
      <c r="D12" s="123"/>
      <c r="E12" s="122"/>
      <c r="G12" s="83"/>
    </row>
    <row r="13" spans="1:7" ht="15.75">
      <c r="A13" t="s">
        <v>26</v>
      </c>
      <c r="B13" s="121"/>
      <c r="C13" s="123"/>
      <c r="D13" s="123"/>
      <c r="E13" s="124" t="s">
        <v>339</v>
      </c>
      <c r="F13" s="104">
        <v>1200</v>
      </c>
      <c r="G13" s="105">
        <f>+F13</f>
        <v>1200</v>
      </c>
    </row>
    <row r="14" spans="1:7" ht="15.75">
      <c r="A14" t="s">
        <v>27</v>
      </c>
      <c r="B14" s="121"/>
      <c r="C14" s="123"/>
      <c r="D14" s="123"/>
      <c r="E14" s="122" t="s">
        <v>159</v>
      </c>
      <c r="F14" s="104">
        <v>1867</v>
      </c>
      <c r="G14" s="105">
        <f>+F14</f>
        <v>1867</v>
      </c>
    </row>
    <row r="15" spans="1:7" ht="15.75">
      <c r="A15" t="s">
        <v>28</v>
      </c>
      <c r="B15" s="121"/>
      <c r="C15" s="123"/>
      <c r="D15" s="123"/>
      <c r="E15" s="124" t="s">
        <v>453</v>
      </c>
      <c r="F15">
        <v>9450</v>
      </c>
      <c r="G15" s="105">
        <f>+F15</f>
        <v>9450</v>
      </c>
    </row>
    <row r="16" spans="2:6" ht="15.75">
      <c r="B16" s="121"/>
      <c r="C16" s="123"/>
      <c r="D16" s="123"/>
      <c r="E16" s="122"/>
      <c r="F16" s="104"/>
    </row>
    <row r="17" spans="2:5" ht="15.75">
      <c r="B17" s="121"/>
      <c r="C17" s="123"/>
      <c r="D17" s="123"/>
      <c r="E17" s="122"/>
    </row>
    <row r="18" spans="2:6" ht="15.75">
      <c r="B18" s="121"/>
      <c r="C18" s="123"/>
      <c r="D18" s="123"/>
      <c r="E18" s="122"/>
      <c r="F18" s="104"/>
    </row>
    <row r="19" spans="2:5" ht="15.75">
      <c r="B19" s="121"/>
      <c r="C19" s="123"/>
      <c r="D19" s="123"/>
      <c r="E19" s="125"/>
    </row>
    <row r="20" spans="2:5" ht="15.75">
      <c r="B20" s="121"/>
      <c r="C20" s="123"/>
      <c r="D20" s="123"/>
      <c r="E20" s="125"/>
    </row>
    <row r="21" spans="2:5" ht="15.75">
      <c r="B21" s="121"/>
      <c r="C21" s="123"/>
      <c r="D21" s="123"/>
      <c r="E21" s="125"/>
    </row>
    <row r="22" spans="2:5" ht="15.75">
      <c r="B22" s="121"/>
      <c r="C22" s="123"/>
      <c r="D22" s="123"/>
      <c r="E22" s="125"/>
    </row>
    <row r="23" spans="1:7" ht="15.75">
      <c r="A23" t="s">
        <v>29</v>
      </c>
      <c r="B23" s="117" t="s">
        <v>153</v>
      </c>
      <c r="C23" s="126">
        <f>SUM(C7:C22)</f>
        <v>51600</v>
      </c>
      <c r="D23" s="126">
        <f>SUM(D7:D22)</f>
        <v>83906</v>
      </c>
      <c r="E23" s="127" t="s">
        <v>160</v>
      </c>
      <c r="F23" s="128">
        <f>SUM(F7:F22)</f>
        <v>51395</v>
      </c>
      <c r="G23" s="128">
        <f>SUM(G7:G22)</f>
        <v>82801</v>
      </c>
    </row>
    <row r="24" spans="1:5" ht="15.75">
      <c r="A24" t="s">
        <v>30</v>
      </c>
      <c r="B24" s="129" t="s">
        <v>161</v>
      </c>
      <c r="C24" s="130">
        <f>+C23-F23</f>
        <v>205</v>
      </c>
      <c r="D24" s="130">
        <f>+D23-G23</f>
        <v>1105</v>
      </c>
      <c r="E24" s="127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&amp;L9. melléklet a 2014. évi 6/2014.(III.28.) Önkormányzati költségvetési rendelethez&amp;R&amp;D</oddHeader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7">
      <selection activeCell="H44" sqref="H44"/>
    </sheetView>
  </sheetViews>
  <sheetFormatPr defaultColWidth="9.140625" defaultRowHeight="12.75"/>
  <cols>
    <col min="1" max="1" width="91.28125" style="0" customWidth="1"/>
    <col min="2" max="2" width="8.8515625" style="0" customWidth="1"/>
    <col min="3" max="3" width="7.00390625" style="0" customWidth="1"/>
    <col min="4" max="4" width="15.8515625" style="104" bestFit="1" customWidth="1"/>
  </cols>
  <sheetData>
    <row r="1" ht="12.75" customHeight="1">
      <c r="D1" s="581" t="s">
        <v>378</v>
      </c>
    </row>
    <row r="2" spans="1:4" ht="12.75" customHeight="1">
      <c r="A2" t="s">
        <v>461</v>
      </c>
      <c r="B2" t="s">
        <v>61</v>
      </c>
      <c r="D2" s="105"/>
    </row>
    <row r="3" spans="1:4" ht="12.75">
      <c r="A3" t="s">
        <v>151</v>
      </c>
      <c r="B3" s="103" t="s">
        <v>425</v>
      </c>
      <c r="C3" t="s">
        <v>385</v>
      </c>
      <c r="D3" s="105">
        <f>+D7+D8+D18+D20+D24+D25+D37+D38</f>
        <v>241073596</v>
      </c>
    </row>
    <row r="4" ht="12.75" customHeight="1">
      <c r="A4" t="s">
        <v>386</v>
      </c>
    </row>
    <row r="5" ht="12.75" customHeight="1">
      <c r="A5" t="s">
        <v>387</v>
      </c>
    </row>
    <row r="6" spans="1:4" ht="12.75" customHeight="1">
      <c r="A6" t="s">
        <v>388</v>
      </c>
      <c r="B6" t="s">
        <v>127</v>
      </c>
      <c r="C6" s="457">
        <v>20.41</v>
      </c>
      <c r="D6" s="486">
        <v>93477800</v>
      </c>
    </row>
    <row r="7" spans="1:4" ht="12.75" customHeight="1">
      <c r="A7" t="s">
        <v>389</v>
      </c>
      <c r="B7" t="s">
        <v>127</v>
      </c>
      <c r="C7" s="458">
        <v>0</v>
      </c>
      <c r="D7" s="487">
        <v>93477800</v>
      </c>
    </row>
    <row r="8" spans="1:4" ht="12.75" customHeight="1">
      <c r="A8" t="s">
        <v>390</v>
      </c>
      <c r="B8" t="s">
        <v>127</v>
      </c>
      <c r="C8" s="458">
        <v>0</v>
      </c>
      <c r="D8" s="487">
        <v>55853688</v>
      </c>
    </row>
    <row r="9" spans="1:4" ht="12.75" customHeight="1">
      <c r="A9" t="s">
        <v>391</v>
      </c>
      <c r="B9" t="s">
        <v>127</v>
      </c>
      <c r="C9" s="458">
        <v>0</v>
      </c>
      <c r="D9" s="486">
        <v>55853688</v>
      </c>
    </row>
    <row r="10" spans="1:4" ht="12.75" customHeight="1">
      <c r="A10" t="s">
        <v>392</v>
      </c>
      <c r="B10" t="s">
        <v>127</v>
      </c>
      <c r="C10" s="458">
        <v>0</v>
      </c>
      <c r="D10" s="486">
        <v>18963920</v>
      </c>
    </row>
    <row r="11" spans="1:4" ht="12.75" customHeight="1">
      <c r="A11" t="s">
        <v>393</v>
      </c>
      <c r="B11" t="s">
        <v>127</v>
      </c>
      <c r="C11" s="458">
        <v>0</v>
      </c>
      <c r="D11" s="488">
        <v>18963920</v>
      </c>
    </row>
    <row r="12" spans="1:4" ht="12.75" customHeight="1">
      <c r="A12" t="s">
        <v>128</v>
      </c>
      <c r="B12" t="s">
        <v>127</v>
      </c>
      <c r="C12" s="458">
        <v>0</v>
      </c>
      <c r="D12" s="486">
        <v>20985120</v>
      </c>
    </row>
    <row r="13" spans="1:4" ht="12.75" customHeight="1">
      <c r="A13" t="s">
        <v>394</v>
      </c>
      <c r="B13" t="s">
        <v>127</v>
      </c>
      <c r="C13" s="458">
        <v>0</v>
      </c>
      <c r="D13" s="488">
        <v>20985120</v>
      </c>
    </row>
    <row r="14" spans="1:4" ht="12.75" customHeight="1">
      <c r="A14" t="s">
        <v>129</v>
      </c>
      <c r="B14" t="s">
        <v>127</v>
      </c>
      <c r="C14" s="458">
        <v>0</v>
      </c>
      <c r="D14" s="486">
        <v>100000</v>
      </c>
    </row>
    <row r="15" spans="1:4" ht="12.75" customHeight="1">
      <c r="A15" t="s">
        <v>395</v>
      </c>
      <c r="B15" t="s">
        <v>127</v>
      </c>
      <c r="C15" s="458">
        <v>0</v>
      </c>
      <c r="D15" s="488">
        <v>100000</v>
      </c>
    </row>
    <row r="16" spans="1:4" ht="12.75" customHeight="1">
      <c r="A16" t="s">
        <v>130</v>
      </c>
      <c r="B16" t="s">
        <v>127</v>
      </c>
      <c r="C16" s="458">
        <v>0</v>
      </c>
      <c r="D16" s="486">
        <v>15804648</v>
      </c>
    </row>
    <row r="17" spans="1:4" ht="12.75" customHeight="1">
      <c r="A17" t="s">
        <v>396</v>
      </c>
      <c r="B17" t="s">
        <v>127</v>
      </c>
      <c r="C17" s="458">
        <v>0</v>
      </c>
      <c r="D17" s="488">
        <v>15804648</v>
      </c>
    </row>
    <row r="18" spans="1:4" ht="12.75" customHeight="1">
      <c r="A18" t="s">
        <v>397</v>
      </c>
      <c r="B18" t="s">
        <v>127</v>
      </c>
      <c r="C18" s="458">
        <v>0</v>
      </c>
      <c r="D18" s="487">
        <v>16229700</v>
      </c>
    </row>
    <row r="19" spans="1:4" ht="12.75" customHeight="1">
      <c r="A19" t="s">
        <v>398</v>
      </c>
      <c r="B19" t="s">
        <v>127</v>
      </c>
      <c r="C19" s="458">
        <v>0</v>
      </c>
      <c r="D19" s="486">
        <v>16229700</v>
      </c>
    </row>
    <row r="20" spans="1:4" ht="12.75" customHeight="1">
      <c r="A20" t="s">
        <v>399</v>
      </c>
      <c r="B20" t="s">
        <v>400</v>
      </c>
      <c r="C20" s="458">
        <v>131</v>
      </c>
      <c r="D20" s="487">
        <v>13100</v>
      </c>
    </row>
    <row r="21" spans="1:4" ht="12.75" customHeight="1">
      <c r="A21" t="s">
        <v>401</v>
      </c>
      <c r="B21" t="s">
        <v>127</v>
      </c>
      <c r="C21" s="458">
        <v>0</v>
      </c>
      <c r="D21" s="486">
        <v>20651160</v>
      </c>
    </row>
    <row r="22" ht="12.75" customHeight="1">
      <c r="A22" t="s">
        <v>402</v>
      </c>
    </row>
    <row r="23" spans="1:4" ht="12.75" customHeight="1">
      <c r="A23" t="s">
        <v>403</v>
      </c>
      <c r="B23" t="s">
        <v>127</v>
      </c>
      <c r="C23" s="458">
        <v>0</v>
      </c>
      <c r="D23" s="486">
        <v>57411388</v>
      </c>
    </row>
    <row r="24" spans="1:4" ht="12.75" customHeight="1">
      <c r="A24" t="s">
        <v>404</v>
      </c>
      <c r="B24" t="s">
        <v>127</v>
      </c>
      <c r="C24" s="458">
        <v>0</v>
      </c>
      <c r="D24" s="487">
        <v>36760228</v>
      </c>
    </row>
    <row r="25" spans="1:4" ht="12.75" customHeight="1">
      <c r="A25" t="s">
        <v>405</v>
      </c>
      <c r="D25" s="612">
        <f>+D27+D29+D31+D32+D34+D36</f>
        <v>31607690</v>
      </c>
    </row>
    <row r="26" ht="12.75" customHeight="1">
      <c r="A26" t="s">
        <v>406</v>
      </c>
    </row>
    <row r="27" spans="1:4" ht="12.75" customHeight="1">
      <c r="A27" t="s">
        <v>407</v>
      </c>
      <c r="B27" t="s">
        <v>127</v>
      </c>
      <c r="C27" s="459">
        <v>1.2022</v>
      </c>
      <c r="D27" s="486">
        <v>2374345</v>
      </c>
    </row>
    <row r="28" ht="12.75" customHeight="1">
      <c r="A28" t="s">
        <v>408</v>
      </c>
    </row>
    <row r="29" spans="1:4" ht="12.75" customHeight="1">
      <c r="A29" t="s">
        <v>409</v>
      </c>
      <c r="B29" t="s">
        <v>127</v>
      </c>
      <c r="C29" s="459">
        <v>1.2022</v>
      </c>
      <c r="D29" s="486">
        <v>2374345</v>
      </c>
    </row>
    <row r="30" spans="1:4" ht="12.75" customHeight="1">
      <c r="A30" t="s">
        <v>410</v>
      </c>
      <c r="B30" t="s">
        <v>411</v>
      </c>
      <c r="C30" s="458">
        <v>0</v>
      </c>
      <c r="D30" s="486">
        <v>0</v>
      </c>
    </row>
    <row r="31" spans="1:4" ht="12.75" customHeight="1">
      <c r="A31" t="s">
        <v>412</v>
      </c>
      <c r="B31" t="s">
        <v>127</v>
      </c>
      <c r="C31" s="458">
        <v>75</v>
      </c>
      <c r="D31" s="486">
        <v>4152000</v>
      </c>
    </row>
    <row r="32" spans="1:4" ht="12.75" customHeight="1">
      <c r="A32" t="s">
        <v>413</v>
      </c>
      <c r="B32" t="s">
        <v>127</v>
      </c>
      <c r="C32" s="458">
        <v>39</v>
      </c>
      <c r="D32" s="486">
        <v>5655000</v>
      </c>
    </row>
    <row r="33" ht="12.75" customHeight="1">
      <c r="A33" t="s">
        <v>414</v>
      </c>
    </row>
    <row r="34" spans="1:4" ht="12.75" customHeight="1">
      <c r="A34" t="s">
        <v>415</v>
      </c>
      <c r="B34" t="s">
        <v>127</v>
      </c>
      <c r="C34" s="458">
        <v>28</v>
      </c>
      <c r="D34" s="486">
        <v>3052000</v>
      </c>
    </row>
    <row r="35" ht="12.75" customHeight="1">
      <c r="A35" t="s">
        <v>416</v>
      </c>
    </row>
    <row r="36" spans="1:4" ht="12.75" customHeight="1">
      <c r="A36" t="s">
        <v>417</v>
      </c>
      <c r="B36" t="s">
        <v>127</v>
      </c>
      <c r="C36" s="458">
        <v>28</v>
      </c>
      <c r="D36" s="486">
        <v>14000000</v>
      </c>
    </row>
    <row r="37" spans="1:4" ht="12.75">
      <c r="A37" t="s">
        <v>475</v>
      </c>
      <c r="B37">
        <v>1140</v>
      </c>
      <c r="C37">
        <v>6011</v>
      </c>
      <c r="D37" s="104">
        <f>+C37*B37</f>
        <v>6852540</v>
      </c>
    </row>
    <row r="38" spans="1:4" ht="12.75">
      <c r="A38" t="s">
        <v>476</v>
      </c>
      <c r="D38" s="104">
        <v>278850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&amp;L10. melléklet a 2014. évi 6/2014.(III.28.) Önkormányzati költségvetési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">
      <selection activeCell="D26" sqref="D26"/>
    </sheetView>
  </sheetViews>
  <sheetFormatPr defaultColWidth="9.140625" defaultRowHeight="18.75" customHeight="1"/>
  <cols>
    <col min="1" max="1" width="6.00390625" style="0" customWidth="1"/>
    <col min="2" max="2" width="32.421875" style="0" customWidth="1"/>
    <col min="3" max="4" width="13.00390625" style="0" customWidth="1"/>
    <col min="5" max="5" width="18.421875" style="0" customWidth="1"/>
    <col min="6" max="7" width="11.00390625" style="0" customWidth="1"/>
    <col min="8" max="8" width="12.28125" style="0" customWidth="1"/>
    <col min="9" max="9" width="7.421875" style="0" customWidth="1"/>
    <col min="10" max="10" width="11.00390625" style="0" customWidth="1"/>
    <col min="11" max="11" width="13.28125" style="0" bestFit="1" customWidth="1"/>
  </cols>
  <sheetData>
    <row r="2" spans="1:11" ht="18.75" customHeight="1">
      <c r="A2" s="687" t="s">
        <v>459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</row>
    <row r="3" spans="2:11" ht="18.75" customHeight="1">
      <c r="B3" s="179"/>
      <c r="C3" s="179"/>
      <c r="D3" s="179"/>
      <c r="E3" s="179"/>
      <c r="F3" s="179"/>
      <c r="G3" s="179"/>
      <c r="H3" s="179"/>
      <c r="I3" s="179"/>
      <c r="J3" s="179"/>
      <c r="K3" s="82" t="s">
        <v>213</v>
      </c>
    </row>
    <row r="4" spans="1:11" ht="18.75" customHeight="1" thickBot="1">
      <c r="A4" t="s">
        <v>11</v>
      </c>
      <c r="B4" s="179" t="s">
        <v>12</v>
      </c>
      <c r="C4" s="179" t="s">
        <v>13</v>
      </c>
      <c r="D4" s="179" t="s">
        <v>14</v>
      </c>
      <c r="E4" s="179" t="s">
        <v>15</v>
      </c>
      <c r="F4" s="179" t="s">
        <v>16</v>
      </c>
      <c r="G4" s="179" t="s">
        <v>17</v>
      </c>
      <c r="H4" s="179" t="s">
        <v>18</v>
      </c>
      <c r="I4" s="179" t="s">
        <v>63</v>
      </c>
      <c r="J4" s="179" t="s">
        <v>19</v>
      </c>
      <c r="K4" s="179" t="s">
        <v>363</v>
      </c>
    </row>
    <row r="5" spans="1:11" ht="18.75" customHeight="1">
      <c r="A5" t="s">
        <v>20</v>
      </c>
      <c r="B5" s="688" t="s">
        <v>214</v>
      </c>
      <c r="C5" s="688" t="s">
        <v>215</v>
      </c>
      <c r="D5" s="691" t="s">
        <v>216</v>
      </c>
      <c r="E5" s="688" t="s">
        <v>217</v>
      </c>
      <c r="F5" s="688" t="s">
        <v>218</v>
      </c>
      <c r="G5" s="669" t="s">
        <v>219</v>
      </c>
      <c r="H5" s="669"/>
      <c r="I5" s="669"/>
      <c r="J5" s="669"/>
      <c r="K5" s="688" t="s">
        <v>5</v>
      </c>
    </row>
    <row r="6" spans="2:11" ht="18.75" customHeight="1">
      <c r="B6" s="689"/>
      <c r="C6" s="689"/>
      <c r="D6" s="692"/>
      <c r="E6" s="689"/>
      <c r="F6" s="689"/>
      <c r="G6" s="670" t="s">
        <v>220</v>
      </c>
      <c r="H6" s="682" t="s">
        <v>221</v>
      </c>
      <c r="I6" s="682" t="s">
        <v>70</v>
      </c>
      <c r="J6" s="684" t="s">
        <v>222</v>
      </c>
      <c r="K6" s="689"/>
    </row>
    <row r="7" spans="2:11" ht="51" customHeight="1" thickBot="1">
      <c r="B7" s="690"/>
      <c r="C7" s="690"/>
      <c r="D7" s="693"/>
      <c r="E7" s="690"/>
      <c r="F7" s="690"/>
      <c r="G7" s="671"/>
      <c r="H7" s="683"/>
      <c r="I7" s="683"/>
      <c r="J7" s="685"/>
      <c r="K7" s="690"/>
    </row>
    <row r="8" spans="1:11" ht="18.75" customHeight="1">
      <c r="A8" t="s">
        <v>21</v>
      </c>
      <c r="B8" s="181" t="s">
        <v>72</v>
      </c>
      <c r="C8" s="182"/>
      <c r="D8" s="183"/>
      <c r="E8" s="184"/>
      <c r="F8" s="182"/>
      <c r="G8" s="185"/>
      <c r="H8" s="186"/>
      <c r="I8" s="186"/>
      <c r="J8" s="187"/>
      <c r="K8" s="188"/>
    </row>
    <row r="9" spans="1:11" ht="29.25" customHeight="1">
      <c r="A9" t="s">
        <v>22</v>
      </c>
      <c r="B9" s="189" t="s">
        <v>270</v>
      </c>
      <c r="C9" s="264">
        <f>+4_mell!D30-1560-3364</f>
        <v>99516</v>
      </c>
      <c r="D9" s="262">
        <f>+4_mell!E30-421-908</f>
        <v>26594</v>
      </c>
      <c r="E9" s="263">
        <f>+4_mell!F30</f>
        <v>35344</v>
      </c>
      <c r="F9" s="191"/>
      <c r="G9" s="192">
        <f>+4_mell!I30</f>
        <v>113225</v>
      </c>
      <c r="H9" s="193"/>
      <c r="I9" s="193"/>
      <c r="J9" s="194"/>
      <c r="K9" s="195">
        <f>SUM(C9:J9)</f>
        <v>274679</v>
      </c>
    </row>
    <row r="10" spans="1:11" ht="18.75" customHeight="1" thickBot="1">
      <c r="A10" t="s">
        <v>23</v>
      </c>
      <c r="B10" s="196" t="s">
        <v>223</v>
      </c>
      <c r="C10" s="197">
        <f>1560+3364</f>
        <v>4924</v>
      </c>
      <c r="D10" s="198">
        <f>421+908</f>
        <v>1329</v>
      </c>
      <c r="E10" s="197"/>
      <c r="F10" s="199"/>
      <c r="G10" s="200"/>
      <c r="H10" s="201"/>
      <c r="I10" s="201"/>
      <c r="J10" s="202"/>
      <c r="K10" s="203">
        <f>+J10+F10+E10+D10+C10</f>
        <v>6253</v>
      </c>
    </row>
    <row r="11" spans="1:11" ht="18.75" customHeight="1" thickBot="1">
      <c r="A11" t="s">
        <v>24</v>
      </c>
      <c r="B11" s="204" t="s">
        <v>224</v>
      </c>
      <c r="C11" s="205">
        <f>SUM(C9:C10)</f>
        <v>104440</v>
      </c>
      <c r="D11" s="205">
        <f aca="true" t="shared" si="0" ref="D11:J11">SUM(D9:D10)</f>
        <v>27923</v>
      </c>
      <c r="E11" s="205">
        <f t="shared" si="0"/>
        <v>35344</v>
      </c>
      <c r="F11" s="205">
        <f t="shared" si="0"/>
        <v>0</v>
      </c>
      <c r="G11" s="205">
        <f t="shared" si="0"/>
        <v>113225</v>
      </c>
      <c r="H11" s="205">
        <f t="shared" si="0"/>
        <v>0</v>
      </c>
      <c r="I11" s="205">
        <f t="shared" si="0"/>
        <v>0</v>
      </c>
      <c r="J11" s="205">
        <f t="shared" si="0"/>
        <v>0</v>
      </c>
      <c r="K11" s="205">
        <f>SUM(K9:K10)</f>
        <v>280932</v>
      </c>
    </row>
    <row r="12" spans="1:11" ht="18.75" customHeight="1">
      <c r="A12" t="s">
        <v>25</v>
      </c>
      <c r="B12" s="181" t="s">
        <v>225</v>
      </c>
      <c r="C12" s="188"/>
      <c r="D12" s="209"/>
      <c r="E12" s="188"/>
      <c r="F12" s="210"/>
      <c r="G12" s="211"/>
      <c r="H12" s="212"/>
      <c r="I12" s="212"/>
      <c r="J12" s="187"/>
      <c r="K12" s="188"/>
    </row>
    <row r="13" spans="1:11" ht="18.75" customHeight="1">
      <c r="A13" t="s">
        <v>26</v>
      </c>
      <c r="B13" s="189" t="s">
        <v>226</v>
      </c>
      <c r="C13" s="191">
        <v>1412</v>
      </c>
      <c r="D13" s="190">
        <v>381</v>
      </c>
      <c r="E13" s="191">
        <v>2105</v>
      </c>
      <c r="F13" s="213"/>
      <c r="G13" s="214"/>
      <c r="H13" s="215"/>
      <c r="I13" s="215"/>
      <c r="J13" s="194"/>
      <c r="K13" s="195">
        <f>SUM(C13:J13)</f>
        <v>3898</v>
      </c>
    </row>
    <row r="14" spans="1:11" ht="18.75" customHeight="1">
      <c r="A14" t="s">
        <v>27</v>
      </c>
      <c r="B14" s="189" t="s">
        <v>227</v>
      </c>
      <c r="C14" s="191"/>
      <c r="D14" s="190"/>
      <c r="E14" s="191"/>
      <c r="F14" s="191"/>
      <c r="G14" s="192"/>
      <c r="H14" s="193"/>
      <c r="I14" s="193"/>
      <c r="J14" s="194"/>
      <c r="K14" s="195">
        <f aca="true" t="shared" si="1" ref="K14:K20">SUM(C14:J14)</f>
        <v>0</v>
      </c>
    </row>
    <row r="15" spans="1:11" ht="18.75" customHeight="1">
      <c r="A15" t="s">
        <v>28</v>
      </c>
      <c r="B15" s="189" t="s">
        <v>220</v>
      </c>
      <c r="C15" s="191"/>
      <c r="D15" s="190"/>
      <c r="E15" s="191"/>
      <c r="F15" s="191"/>
      <c r="G15" s="192">
        <f>+4_mell!I21</f>
        <v>5114</v>
      </c>
      <c r="H15" s="193"/>
      <c r="I15" s="193"/>
      <c r="J15" s="194"/>
      <c r="K15" s="195">
        <f t="shared" si="1"/>
        <v>5114</v>
      </c>
    </row>
    <row r="16" spans="1:11" ht="15">
      <c r="A16" t="s">
        <v>29</v>
      </c>
      <c r="B16" s="189" t="s">
        <v>228</v>
      </c>
      <c r="C16" s="191"/>
      <c r="D16" s="190"/>
      <c r="E16" s="191"/>
      <c r="F16" s="213"/>
      <c r="G16" s="214"/>
      <c r="H16" s="193">
        <f>+4_mell!H21</f>
        <v>26169</v>
      </c>
      <c r="I16" s="193">
        <f>+5_mell!C32</f>
        <v>3000</v>
      </c>
      <c r="J16" s="194"/>
      <c r="K16" s="195">
        <f t="shared" si="1"/>
        <v>29169</v>
      </c>
    </row>
    <row r="17" spans="1:11" ht="15">
      <c r="A17" t="s">
        <v>30</v>
      </c>
      <c r="B17" s="189" t="s">
        <v>271</v>
      </c>
      <c r="C17" s="191"/>
      <c r="D17" s="190"/>
      <c r="E17" s="191">
        <f>+'[4]ÖK 2014'!$H$78</f>
        <v>507.492</v>
      </c>
      <c r="F17" s="213"/>
      <c r="G17" s="214"/>
      <c r="H17" s="193"/>
      <c r="I17" s="193"/>
      <c r="J17" s="194"/>
      <c r="K17" s="195">
        <f t="shared" si="1"/>
        <v>507.492</v>
      </c>
    </row>
    <row r="18" spans="1:11" ht="18.75" customHeight="1">
      <c r="A18" t="s">
        <v>31</v>
      </c>
      <c r="B18" s="189" t="s">
        <v>458</v>
      </c>
      <c r="C18" s="218">
        <f>+'[4]ÖK 2014'!$H$12</f>
        <v>1620</v>
      </c>
      <c r="D18" s="489">
        <f>+'[4]ÖK 2014'!$H$17</f>
        <v>393.66</v>
      </c>
      <c r="E18" s="218"/>
      <c r="F18" s="218"/>
      <c r="G18" s="219"/>
      <c r="H18" s="220"/>
      <c r="I18" s="574"/>
      <c r="J18" s="221"/>
      <c r="K18" s="195">
        <f t="shared" si="1"/>
        <v>2013.66</v>
      </c>
    </row>
    <row r="19" spans="1:11" ht="18.75" customHeight="1">
      <c r="A19" t="s">
        <v>32</v>
      </c>
      <c r="B19" s="189" t="s">
        <v>472</v>
      </c>
      <c r="C19" s="218"/>
      <c r="D19" s="489"/>
      <c r="E19" s="218"/>
      <c r="F19" s="218">
        <f>+7_mell!D21</f>
        <v>67284</v>
      </c>
      <c r="G19" s="219"/>
      <c r="H19" s="220"/>
      <c r="I19" s="574"/>
      <c r="J19" s="221"/>
      <c r="K19" s="195">
        <f t="shared" si="1"/>
        <v>67284</v>
      </c>
    </row>
    <row r="20" spans="1:11" ht="18.75" customHeight="1">
      <c r="A20" t="s">
        <v>33</v>
      </c>
      <c r="B20" s="189" t="s">
        <v>456</v>
      </c>
      <c r="C20" s="216"/>
      <c r="D20" s="217"/>
      <c r="E20" s="216">
        <f>+9_mell!F15</f>
        <v>9450</v>
      </c>
      <c r="F20" s="216"/>
      <c r="G20" s="219"/>
      <c r="H20" s="220"/>
      <c r="I20" s="220"/>
      <c r="J20" s="221"/>
      <c r="K20" s="195">
        <f t="shared" si="1"/>
        <v>9450</v>
      </c>
    </row>
    <row r="21" spans="1:11" ht="18.75" customHeight="1">
      <c r="A21" t="s">
        <v>34</v>
      </c>
      <c r="B21" s="189" t="s">
        <v>457</v>
      </c>
      <c r="C21" s="191"/>
      <c r="D21" s="190"/>
      <c r="E21" s="191">
        <f>+9_mell!F14+9_mell!F13</f>
        <v>3067</v>
      </c>
      <c r="F21" s="191"/>
      <c r="G21" s="192"/>
      <c r="H21" s="193"/>
      <c r="I21" s="193"/>
      <c r="J21" s="580"/>
      <c r="K21" s="195">
        <f>SUM(C21:J21)</f>
        <v>3067</v>
      </c>
    </row>
    <row r="22" spans="1:11" ht="18.75" customHeight="1" thickBot="1">
      <c r="A22" t="s">
        <v>35</v>
      </c>
      <c r="B22" s="575" t="s">
        <v>222</v>
      </c>
      <c r="C22" s="576"/>
      <c r="D22" s="223"/>
      <c r="E22" s="576"/>
      <c r="F22" s="576"/>
      <c r="G22" s="577"/>
      <c r="H22" s="578"/>
      <c r="I22" s="578"/>
      <c r="J22" s="579">
        <f>+3_mell!J7+3_mell!J12+3_mell!J17+3_mell!J27</f>
        <v>477163</v>
      </c>
      <c r="K22" s="195">
        <f>SUM(C22:J22)</f>
        <v>477163</v>
      </c>
    </row>
    <row r="23" spans="1:11" ht="18.75" customHeight="1" thickBot="1">
      <c r="A23" t="s">
        <v>36</v>
      </c>
      <c r="B23" s="204" t="s">
        <v>229</v>
      </c>
      <c r="C23" s="205">
        <f>SUM(C13:C21)</f>
        <v>3032</v>
      </c>
      <c r="D23" s="206">
        <f aca="true" t="shared" si="2" ref="D23:I23">SUM(D13:D21)</f>
        <v>774.6600000000001</v>
      </c>
      <c r="E23" s="205">
        <f t="shared" si="2"/>
        <v>15129.492</v>
      </c>
      <c r="F23" s="205">
        <f t="shared" si="2"/>
        <v>67284</v>
      </c>
      <c r="G23" s="207">
        <f t="shared" si="2"/>
        <v>5114</v>
      </c>
      <c r="H23" s="208">
        <f t="shared" si="2"/>
        <v>26169</v>
      </c>
      <c r="I23" s="208">
        <f t="shared" si="2"/>
        <v>3000</v>
      </c>
      <c r="J23" s="208">
        <f>SUM(J13:J22)</f>
        <v>477163</v>
      </c>
      <c r="K23" s="205">
        <f>SUM(K13:K22)</f>
        <v>597666.152</v>
      </c>
    </row>
    <row r="24" spans="2:11" ht="18.75" customHeight="1">
      <c r="B24" s="222"/>
      <c r="C24" s="223"/>
      <c r="D24" s="223"/>
      <c r="E24" s="223"/>
      <c r="F24" s="223"/>
      <c r="G24" s="223"/>
      <c r="H24" s="223"/>
      <c r="I24" s="223"/>
      <c r="J24" s="223"/>
      <c r="K24" s="224"/>
    </row>
    <row r="25" spans="2:11" ht="18.75" customHeight="1">
      <c r="B25" s="222"/>
      <c r="C25" s="223"/>
      <c r="D25" s="223"/>
      <c r="E25" s="223"/>
      <c r="F25" s="223"/>
      <c r="G25" s="223"/>
      <c r="H25" s="223"/>
      <c r="I25" s="223"/>
      <c r="J25" s="223"/>
      <c r="K25" s="224"/>
    </row>
    <row r="26" spans="2:11" ht="30.75" customHeight="1">
      <c r="B26" s="222"/>
      <c r="C26" s="223"/>
      <c r="D26" s="223"/>
      <c r="E26" s="223"/>
      <c r="F26" s="223"/>
      <c r="G26" s="223"/>
      <c r="H26" s="223"/>
      <c r="I26" s="223"/>
      <c r="J26" s="223"/>
      <c r="K26" s="224"/>
    </row>
    <row r="27" spans="2:11" ht="18.75" customHeight="1">
      <c r="B27" s="222"/>
      <c r="C27" s="223"/>
      <c r="D27" s="223"/>
      <c r="E27" s="223"/>
      <c r="F27" s="223"/>
      <c r="G27" s="223"/>
      <c r="H27" s="223"/>
      <c r="I27" s="223"/>
      <c r="J27" s="223"/>
      <c r="K27" s="224"/>
    </row>
    <row r="28" spans="2:11" ht="18.75" customHeight="1">
      <c r="B28" s="222"/>
      <c r="C28" s="223"/>
      <c r="D28" s="223"/>
      <c r="E28" s="223"/>
      <c r="F28" s="223"/>
      <c r="G28" s="223"/>
      <c r="H28" s="223"/>
      <c r="I28" s="223"/>
      <c r="J28" s="223"/>
      <c r="K28" s="224"/>
    </row>
    <row r="29" spans="2:11" ht="18.75" customHeight="1">
      <c r="B29" s="225"/>
      <c r="C29" s="226"/>
      <c r="D29" s="226"/>
      <c r="E29" s="223"/>
      <c r="F29" s="223"/>
      <c r="G29" s="223"/>
      <c r="H29" s="223"/>
      <c r="I29" s="223"/>
      <c r="J29" s="223"/>
      <c r="K29" s="224"/>
    </row>
    <row r="30" spans="2:11" ht="18.75" customHeight="1">
      <c r="B30" s="225"/>
      <c r="C30" s="226"/>
      <c r="D30" s="226"/>
      <c r="E30" s="223"/>
      <c r="F30" s="223"/>
      <c r="G30" s="223"/>
      <c r="H30" s="223"/>
      <c r="I30" s="223"/>
      <c r="J30" s="223"/>
      <c r="K30" s="224"/>
    </row>
    <row r="31" spans="2:11" ht="18.75" customHeight="1">
      <c r="B31" s="227"/>
      <c r="C31" s="223"/>
      <c r="D31" s="223"/>
      <c r="E31" s="223"/>
      <c r="F31" s="223"/>
      <c r="G31" s="223"/>
      <c r="H31" s="223"/>
      <c r="I31" s="223"/>
      <c r="J31" s="223"/>
      <c r="K31" s="224"/>
    </row>
    <row r="32" spans="2:11" ht="18.75" customHeight="1">
      <c r="B32" s="222"/>
      <c r="C32" s="223"/>
      <c r="D32" s="223"/>
      <c r="E32" s="223"/>
      <c r="F32" s="223"/>
      <c r="G32" s="223"/>
      <c r="H32" s="223"/>
      <c r="I32" s="223"/>
      <c r="J32" s="223"/>
      <c r="K32" s="224"/>
    </row>
    <row r="33" spans="2:11" ht="18.75" customHeight="1">
      <c r="B33" s="222"/>
      <c r="C33" s="223"/>
      <c r="D33" s="223"/>
      <c r="E33" s="223"/>
      <c r="F33" s="223"/>
      <c r="G33" s="223"/>
      <c r="H33" s="223"/>
      <c r="I33" s="223"/>
      <c r="J33" s="223"/>
      <c r="K33" s="224"/>
    </row>
    <row r="34" spans="2:11" ht="18.75" customHeight="1">
      <c r="B34" s="177"/>
      <c r="C34" s="177"/>
      <c r="D34" s="177"/>
      <c r="E34" s="177"/>
      <c r="F34" s="177"/>
      <c r="G34" s="177"/>
      <c r="H34" s="177"/>
      <c r="I34" s="177"/>
      <c r="J34" s="177"/>
      <c r="K34" s="177"/>
    </row>
    <row r="35" spans="2:11" ht="18.75" customHeight="1">
      <c r="B35" s="177"/>
      <c r="C35" s="177"/>
      <c r="D35" s="177"/>
      <c r="E35" s="177"/>
      <c r="F35" s="177"/>
      <c r="G35" s="177"/>
      <c r="H35" s="177"/>
      <c r="I35" s="177"/>
      <c r="J35" s="177"/>
      <c r="K35" s="177"/>
    </row>
    <row r="49" spans="2:11" ht="18.75" customHeight="1">
      <c r="B49" s="686"/>
      <c r="C49" s="686"/>
      <c r="D49" s="686"/>
      <c r="E49" s="686"/>
      <c r="F49" s="686"/>
      <c r="G49" s="686"/>
      <c r="H49" s="686"/>
      <c r="I49" s="686"/>
      <c r="J49" s="686"/>
      <c r="K49" s="686"/>
    </row>
    <row r="50" spans="2:11" ht="18.75" customHeight="1">
      <c r="B50" s="229"/>
      <c r="C50" s="177"/>
      <c r="D50" s="177"/>
      <c r="E50" s="177"/>
      <c r="F50" s="177"/>
      <c r="G50" s="177"/>
      <c r="H50" s="177"/>
      <c r="I50" s="177"/>
      <c r="J50" s="177"/>
      <c r="K50" s="177"/>
    </row>
    <row r="51" spans="2:11" ht="18.75" customHeight="1">
      <c r="B51" s="229"/>
      <c r="C51" s="177"/>
      <c r="D51" s="177"/>
      <c r="E51" s="177"/>
      <c r="F51" s="177"/>
      <c r="G51" s="177"/>
      <c r="H51" s="177"/>
      <c r="I51" s="177"/>
      <c r="J51" s="177"/>
      <c r="K51" s="177"/>
    </row>
    <row r="52" spans="2:11" ht="18.75" customHeight="1">
      <c r="B52" s="229"/>
      <c r="C52" s="177"/>
      <c r="D52" s="177"/>
      <c r="E52" s="177"/>
      <c r="F52" s="177"/>
      <c r="G52" s="177"/>
      <c r="H52" s="177"/>
      <c r="I52" s="177"/>
      <c r="J52" s="177"/>
      <c r="K52" s="177"/>
    </row>
    <row r="54" ht="18.75" customHeight="1">
      <c r="B54" s="228"/>
    </row>
    <row r="56" ht="18.75" customHeight="1">
      <c r="B56" s="228"/>
    </row>
    <row r="57" ht="18.75" customHeight="1">
      <c r="B57" s="228"/>
    </row>
  </sheetData>
  <sheetProtection/>
  <mergeCells count="13">
    <mergeCell ref="K5:K7"/>
    <mergeCell ref="G6:G7"/>
    <mergeCell ref="H6:H7"/>
    <mergeCell ref="I6:I7"/>
    <mergeCell ref="J6:J7"/>
    <mergeCell ref="B49:K49"/>
    <mergeCell ref="A2:K2"/>
    <mergeCell ref="B5:B7"/>
    <mergeCell ref="C5:C7"/>
    <mergeCell ref="D5:D7"/>
    <mergeCell ref="E5:E7"/>
    <mergeCell ref="F5:F7"/>
    <mergeCell ref="G5:J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4" r:id="rId1"/>
  <headerFooter alignWithMargins="0">
    <oddHeader>&amp;L11. melléklet a 2014. évi 6/2014.(III.28.) Önkormányzati költségvetési rendelethez&amp;R&amp;D</oddHeader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X71"/>
  <sheetViews>
    <sheetView zoomScalePageLayoutView="0" workbookViewId="0" topLeftCell="C53">
      <selection activeCell="E79" sqref="E79"/>
    </sheetView>
  </sheetViews>
  <sheetFormatPr defaultColWidth="9.140625" defaultRowHeight="12.75"/>
  <cols>
    <col min="1" max="1" width="0.2890625" style="230" customWidth="1"/>
    <col min="2" max="2" width="19.28125" style="230" customWidth="1"/>
    <col min="3" max="3" width="9.7109375" style="230" bestFit="1" customWidth="1"/>
    <col min="4" max="4" width="10.140625" style="230" bestFit="1" customWidth="1"/>
    <col min="5" max="5" width="8.28125" style="230" bestFit="1" customWidth="1"/>
    <col min="6" max="6" width="9.57421875" style="230" bestFit="1" customWidth="1"/>
    <col min="7" max="7" width="8.421875" style="230" customWidth="1"/>
    <col min="8" max="8" width="6.421875" style="230" customWidth="1"/>
    <col min="9" max="9" width="8.140625" style="230" bestFit="1" customWidth="1"/>
    <col min="10" max="10" width="7.7109375" style="230" customWidth="1"/>
    <col min="11" max="11" width="9.57421875" style="230" customWidth="1"/>
    <col min="12" max="12" width="8.8515625" style="230" bestFit="1" customWidth="1"/>
    <col min="13" max="14" width="7.8515625" style="230" customWidth="1"/>
    <col min="15" max="15" width="10.7109375" style="230" customWidth="1"/>
    <col min="16" max="16" width="9.28125" style="230" bestFit="1" customWidth="1"/>
    <col min="17" max="19" width="8.421875" style="230" customWidth="1"/>
    <col min="20" max="20" width="10.7109375" style="230" customWidth="1"/>
    <col min="21" max="22" width="7.421875" style="230" customWidth="1"/>
    <col min="23" max="24" width="10.00390625" style="230" customWidth="1"/>
    <col min="25" max="16384" width="9.140625" style="230" customWidth="1"/>
  </cols>
  <sheetData>
    <row r="2" spans="2:14" ht="12.75">
      <c r="B2" s="544" t="s">
        <v>450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</row>
    <row r="3" ht="13.5" thickBot="1"/>
    <row r="4" spans="2:24" ht="13.5" thickBot="1">
      <c r="B4" s="272" t="s">
        <v>296</v>
      </c>
      <c r="C4" s="695" t="s">
        <v>174</v>
      </c>
      <c r="D4" s="695"/>
      <c r="E4" s="695"/>
      <c r="F4" s="695"/>
      <c r="G4" s="695"/>
      <c r="H4" s="695"/>
      <c r="I4" s="695"/>
      <c r="J4" s="695"/>
      <c r="K4" s="696"/>
      <c r="L4" s="697" t="s">
        <v>297</v>
      </c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6"/>
    </row>
    <row r="5" spans="2:24" ht="13.5" thickBot="1">
      <c r="B5" s="343"/>
      <c r="C5" s="342"/>
      <c r="D5" s="342"/>
      <c r="E5" s="342"/>
      <c r="F5" s="342"/>
      <c r="G5" s="342"/>
      <c r="H5" s="342"/>
      <c r="I5" s="342"/>
      <c r="J5" s="342"/>
      <c r="K5" s="343"/>
      <c r="L5" s="642"/>
      <c r="M5" s="643"/>
      <c r="N5" s="644"/>
      <c r="O5" s="645"/>
      <c r="P5" s="672" t="s">
        <v>281</v>
      </c>
      <c r="Q5" s="673"/>
      <c r="R5" s="673"/>
      <c r="S5" s="673"/>
      <c r="T5" s="673"/>
      <c r="U5" s="673"/>
      <c r="V5" s="667"/>
      <c r="W5" s="694"/>
      <c r="X5" s="357"/>
    </row>
    <row r="6" spans="2:24" s="266" customFormat="1" ht="77.25" thickBot="1">
      <c r="B6" s="353" t="s">
        <v>233</v>
      </c>
      <c r="C6" s="545" t="s">
        <v>56</v>
      </c>
      <c r="D6" s="545" t="s">
        <v>234</v>
      </c>
      <c r="E6" s="545" t="s">
        <v>235</v>
      </c>
      <c r="F6" s="545" t="s">
        <v>61</v>
      </c>
      <c r="G6" s="354" t="s">
        <v>277</v>
      </c>
      <c r="H6" s="354" t="s">
        <v>278</v>
      </c>
      <c r="I6" s="354" t="s">
        <v>62</v>
      </c>
      <c r="J6" s="354" t="s">
        <v>9</v>
      </c>
      <c r="K6" s="546" t="s">
        <v>279</v>
      </c>
      <c r="L6" s="551" t="s">
        <v>250</v>
      </c>
      <c r="M6" s="551" t="s">
        <v>249</v>
      </c>
      <c r="N6" s="354" t="s">
        <v>487</v>
      </c>
      <c r="O6" s="372" t="s">
        <v>248</v>
      </c>
      <c r="P6" s="505" t="s">
        <v>265</v>
      </c>
      <c r="Q6" s="356" t="s">
        <v>451</v>
      </c>
      <c r="R6" s="355" t="s">
        <v>290</v>
      </c>
      <c r="S6" s="356" t="s">
        <v>291</v>
      </c>
      <c r="T6" s="355" t="s">
        <v>293</v>
      </c>
      <c r="U6" s="356" t="s">
        <v>294</v>
      </c>
      <c r="V6" s="356" t="s">
        <v>513</v>
      </c>
      <c r="W6" s="364" t="s">
        <v>292</v>
      </c>
      <c r="X6" s="353" t="s">
        <v>295</v>
      </c>
    </row>
    <row r="7" spans="2:24" s="266" customFormat="1" ht="12.75">
      <c r="B7" s="344" t="s">
        <v>492</v>
      </c>
      <c r="C7" s="662">
        <v>669</v>
      </c>
      <c r="D7" s="662">
        <v>180</v>
      </c>
      <c r="E7" s="547"/>
      <c r="F7" s="235">
        <f>SUM(C7:E7)</f>
        <v>849</v>
      </c>
      <c r="G7" s="329"/>
      <c r="H7" s="329"/>
      <c r="I7" s="329"/>
      <c r="J7" s="329"/>
      <c r="K7" s="650">
        <f>SUM(F7:J7)</f>
        <v>849</v>
      </c>
      <c r="L7" s="547"/>
      <c r="M7" s="547"/>
      <c r="N7" s="547"/>
      <c r="O7" s="329"/>
      <c r="P7" s="646">
        <v>849</v>
      </c>
      <c r="Q7" s="330"/>
      <c r="R7" s="330"/>
      <c r="S7" s="330"/>
      <c r="T7" s="330"/>
      <c r="U7" s="330"/>
      <c r="V7" s="330"/>
      <c r="W7" s="339"/>
      <c r="X7" s="349">
        <f>SUM(L7:W7)</f>
        <v>849</v>
      </c>
    </row>
    <row r="8" spans="2:24" ht="12.75">
      <c r="B8" s="345" t="s">
        <v>282</v>
      </c>
      <c r="C8" s="334">
        <v>266</v>
      </c>
      <c r="D8" s="334">
        <v>72</v>
      </c>
      <c r="E8" s="334">
        <v>17983</v>
      </c>
      <c r="F8" s="235">
        <f>SUM(C8:E8)</f>
        <v>18321</v>
      </c>
      <c r="G8" s="235"/>
      <c r="H8" s="235"/>
      <c r="I8" s="235"/>
      <c r="J8" s="235"/>
      <c r="K8" s="349">
        <f>SUM(F8:J8)</f>
        <v>18321</v>
      </c>
      <c r="L8" s="550">
        <v>7493</v>
      </c>
      <c r="M8" s="327"/>
      <c r="N8" s="327"/>
      <c r="O8" s="327"/>
      <c r="P8" s="365">
        <v>4152</v>
      </c>
      <c r="Q8" s="327"/>
      <c r="R8" s="327">
        <v>6676</v>
      </c>
      <c r="S8" s="327"/>
      <c r="T8" s="327"/>
      <c r="U8" s="327"/>
      <c r="V8" s="327"/>
      <c r="W8" s="328"/>
      <c r="X8" s="349">
        <f>SUM(L8:W8)</f>
        <v>18321</v>
      </c>
    </row>
    <row r="9" spans="2:24" ht="12.75">
      <c r="B9" s="345" t="s">
        <v>236</v>
      </c>
      <c r="C9" s="334">
        <v>3259</v>
      </c>
      <c r="D9" s="334">
        <v>880</v>
      </c>
      <c r="E9" s="334">
        <v>2761</v>
      </c>
      <c r="F9" s="235">
        <f>SUM(C9:E9)</f>
        <v>6900</v>
      </c>
      <c r="G9" s="235"/>
      <c r="H9" s="235"/>
      <c r="I9" s="235"/>
      <c r="J9" s="235"/>
      <c r="K9" s="349">
        <f aca="true" t="shared" si="0" ref="K9:K21">SUM(F9:J9)</f>
        <v>6900</v>
      </c>
      <c r="L9" s="327"/>
      <c r="M9" s="327"/>
      <c r="N9" s="327"/>
      <c r="O9" s="334"/>
      <c r="P9" s="333"/>
      <c r="Q9" s="327"/>
      <c r="R9" s="327">
        <v>6900</v>
      </c>
      <c r="S9" s="327"/>
      <c r="T9" s="327"/>
      <c r="U9" s="327"/>
      <c r="V9" s="327"/>
      <c r="W9" s="328"/>
      <c r="X9" s="349">
        <f>SUM(L9:W9)</f>
        <v>6900</v>
      </c>
    </row>
    <row r="10" spans="2:24" ht="12.75">
      <c r="B10" s="345" t="s">
        <v>237</v>
      </c>
      <c r="C10" s="334">
        <v>4551</v>
      </c>
      <c r="D10" s="334">
        <v>1066</v>
      </c>
      <c r="E10" s="334">
        <v>2383</v>
      </c>
      <c r="F10" s="235">
        <f aca="true" t="shared" si="1" ref="F10:F21">SUM(C10:E10)</f>
        <v>8000</v>
      </c>
      <c r="G10" s="235"/>
      <c r="H10" s="235"/>
      <c r="I10" s="235"/>
      <c r="J10" s="235"/>
      <c r="K10" s="349">
        <f t="shared" si="0"/>
        <v>8000</v>
      </c>
      <c r="L10" s="327"/>
      <c r="M10" s="327"/>
      <c r="N10" s="327"/>
      <c r="O10" s="336"/>
      <c r="P10" s="333"/>
      <c r="Q10" s="327"/>
      <c r="R10" s="327">
        <v>8000</v>
      </c>
      <c r="S10" s="327"/>
      <c r="T10" s="327"/>
      <c r="U10" s="327"/>
      <c r="V10" s="327"/>
      <c r="W10" s="328"/>
      <c r="X10" s="349">
        <f aca="true" t="shared" si="2" ref="X10:X21">SUM(L10:W10)</f>
        <v>8000</v>
      </c>
    </row>
    <row r="11" spans="2:24" ht="12.75">
      <c r="B11" s="345" t="s">
        <v>238</v>
      </c>
      <c r="C11" s="334">
        <v>3240</v>
      </c>
      <c r="D11" s="334">
        <v>875</v>
      </c>
      <c r="E11" s="334">
        <v>676</v>
      </c>
      <c r="F11" s="235">
        <f t="shared" si="1"/>
        <v>4791</v>
      </c>
      <c r="G11" s="235"/>
      <c r="H11" s="235"/>
      <c r="I11" s="235"/>
      <c r="J11" s="235"/>
      <c r="K11" s="349">
        <f t="shared" si="0"/>
        <v>4791</v>
      </c>
      <c r="L11" s="334">
        <v>1310</v>
      </c>
      <c r="M11" s="327"/>
      <c r="N11" s="327"/>
      <c r="O11" s="336"/>
      <c r="P11" s="365">
        <v>3052</v>
      </c>
      <c r="Q11" s="327"/>
      <c r="R11" s="327">
        <v>429</v>
      </c>
      <c r="S11" s="327"/>
      <c r="T11" s="327"/>
      <c r="U11" s="327"/>
      <c r="V11" s="327"/>
      <c r="W11" s="328"/>
      <c r="X11" s="349">
        <f t="shared" si="2"/>
        <v>4791</v>
      </c>
    </row>
    <row r="12" spans="2:24" ht="12.75">
      <c r="B12" s="345" t="s">
        <v>239</v>
      </c>
      <c r="C12" s="334">
        <v>10590</v>
      </c>
      <c r="D12" s="334">
        <v>2859</v>
      </c>
      <c r="E12" s="334">
        <v>1634</v>
      </c>
      <c r="F12" s="235">
        <f>SUM(C12:E12)</f>
        <v>15083</v>
      </c>
      <c r="G12" s="235"/>
      <c r="H12" s="235"/>
      <c r="I12" s="235"/>
      <c r="J12" s="235"/>
      <c r="K12" s="349">
        <f t="shared" si="0"/>
        <v>15083</v>
      </c>
      <c r="L12" s="334"/>
      <c r="M12" s="327"/>
      <c r="N12" s="327"/>
      <c r="O12" s="336"/>
      <c r="P12" s="365">
        <v>14000</v>
      </c>
      <c r="Q12" s="327"/>
      <c r="R12" s="327">
        <v>1083</v>
      </c>
      <c r="S12" s="327"/>
      <c r="T12" s="327"/>
      <c r="U12" s="327"/>
      <c r="V12" s="327"/>
      <c r="W12" s="328"/>
      <c r="X12" s="349">
        <f t="shared" si="2"/>
        <v>15083</v>
      </c>
    </row>
    <row r="13" spans="2:24" ht="12.75">
      <c r="B13" s="345" t="s">
        <v>240</v>
      </c>
      <c r="C13" s="334">
        <v>2954</v>
      </c>
      <c r="D13" s="334">
        <v>798</v>
      </c>
      <c r="E13" s="334">
        <v>144</v>
      </c>
      <c r="F13" s="235">
        <f t="shared" si="1"/>
        <v>3896</v>
      </c>
      <c r="G13" s="235"/>
      <c r="H13" s="235"/>
      <c r="I13" s="235"/>
      <c r="J13" s="235"/>
      <c r="K13" s="349">
        <f t="shared" si="0"/>
        <v>3896</v>
      </c>
      <c r="L13" s="327"/>
      <c r="M13" s="327"/>
      <c r="N13" s="327"/>
      <c r="O13" s="336"/>
      <c r="P13" s="365">
        <v>2374</v>
      </c>
      <c r="Q13" s="327"/>
      <c r="R13" s="327">
        <v>1522</v>
      </c>
      <c r="S13" s="327"/>
      <c r="T13" s="327"/>
      <c r="U13" s="327"/>
      <c r="V13" s="327"/>
      <c r="W13" s="328"/>
      <c r="X13" s="349">
        <f t="shared" si="2"/>
        <v>3896</v>
      </c>
    </row>
    <row r="14" spans="2:24" ht="12.75">
      <c r="B14" s="345" t="s">
        <v>241</v>
      </c>
      <c r="C14" s="334">
        <v>8117</v>
      </c>
      <c r="D14" s="334">
        <v>2192</v>
      </c>
      <c r="E14" s="334">
        <v>2026</v>
      </c>
      <c r="F14" s="235">
        <f t="shared" si="1"/>
        <v>12335</v>
      </c>
      <c r="G14" s="235"/>
      <c r="H14" s="235"/>
      <c r="I14" s="235"/>
      <c r="J14" s="235"/>
      <c r="K14" s="349">
        <f t="shared" si="0"/>
        <v>12335</v>
      </c>
      <c r="L14" s="327"/>
      <c r="M14" s="327"/>
      <c r="N14" s="327"/>
      <c r="O14" s="336"/>
      <c r="P14" s="365">
        <v>2374</v>
      </c>
      <c r="Q14" s="327"/>
      <c r="R14" s="327">
        <v>504</v>
      </c>
      <c r="S14" s="327"/>
      <c r="T14" s="327">
        <v>9457</v>
      </c>
      <c r="U14" s="327"/>
      <c r="V14" s="327"/>
      <c r="W14" s="328"/>
      <c r="X14" s="349">
        <f t="shared" si="2"/>
        <v>12335</v>
      </c>
    </row>
    <row r="15" spans="2:24" ht="12.75">
      <c r="B15" s="345" t="s">
        <v>242</v>
      </c>
      <c r="C15" s="334">
        <v>7497</v>
      </c>
      <c r="D15" s="334">
        <v>2024</v>
      </c>
      <c r="E15" s="334">
        <v>584</v>
      </c>
      <c r="F15" s="235">
        <f>SUM(C15:E15)</f>
        <v>10105</v>
      </c>
      <c r="G15" s="235"/>
      <c r="H15" s="235"/>
      <c r="I15" s="235"/>
      <c r="J15" s="235"/>
      <c r="K15" s="349">
        <f t="shared" si="0"/>
        <v>10105</v>
      </c>
      <c r="L15" s="334">
        <v>100</v>
      </c>
      <c r="M15" s="327"/>
      <c r="N15" s="327"/>
      <c r="O15" s="336"/>
      <c r="P15" s="365">
        <v>5655</v>
      </c>
      <c r="Q15" s="327"/>
      <c r="R15" s="327">
        <v>4350</v>
      </c>
      <c r="S15" s="327"/>
      <c r="T15" s="327"/>
      <c r="U15" s="327"/>
      <c r="V15" s="327"/>
      <c r="W15" s="328"/>
      <c r="X15" s="349">
        <f t="shared" si="2"/>
        <v>10105</v>
      </c>
    </row>
    <row r="16" spans="2:24" ht="12.75">
      <c r="B16" s="345" t="s">
        <v>243</v>
      </c>
      <c r="C16" s="334">
        <v>8217</v>
      </c>
      <c r="D16" s="334">
        <v>2219</v>
      </c>
      <c r="E16" s="334">
        <v>6496</v>
      </c>
      <c r="F16" s="235">
        <f t="shared" si="1"/>
        <v>16932</v>
      </c>
      <c r="G16" s="235"/>
      <c r="H16" s="235"/>
      <c r="I16" s="235"/>
      <c r="J16" s="235"/>
      <c r="K16" s="349">
        <f t="shared" si="0"/>
        <v>16932</v>
      </c>
      <c r="L16" s="327"/>
      <c r="M16" s="334">
        <v>9800</v>
      </c>
      <c r="N16" s="334"/>
      <c r="O16" s="336"/>
      <c r="P16" s="333"/>
      <c r="Q16" s="327"/>
      <c r="R16" s="327">
        <v>7132</v>
      </c>
      <c r="S16" s="327"/>
      <c r="T16" s="327"/>
      <c r="U16" s="327"/>
      <c r="V16" s="327"/>
      <c r="W16" s="328"/>
      <c r="X16" s="349">
        <f t="shared" si="2"/>
        <v>16932</v>
      </c>
    </row>
    <row r="17" spans="2:24" ht="12.75">
      <c r="B17" s="345" t="s">
        <v>244</v>
      </c>
      <c r="C17" s="334">
        <v>7797</v>
      </c>
      <c r="D17" s="334">
        <v>2105</v>
      </c>
      <c r="E17" s="334">
        <v>1113</v>
      </c>
      <c r="F17" s="235">
        <f t="shared" si="1"/>
        <v>11015</v>
      </c>
      <c r="G17" s="235"/>
      <c r="H17" s="235"/>
      <c r="I17" s="235"/>
      <c r="J17" s="235"/>
      <c r="K17" s="349">
        <f t="shared" si="0"/>
        <v>11015</v>
      </c>
      <c r="L17" s="327"/>
      <c r="M17" s="334">
        <v>10900</v>
      </c>
      <c r="N17" s="334"/>
      <c r="O17" s="336"/>
      <c r="P17" s="333"/>
      <c r="Q17" s="327"/>
      <c r="R17" s="327">
        <v>115</v>
      </c>
      <c r="S17" s="327"/>
      <c r="T17" s="327"/>
      <c r="U17" s="327"/>
      <c r="V17" s="327"/>
      <c r="W17" s="328"/>
      <c r="X17" s="349">
        <f t="shared" si="2"/>
        <v>11015</v>
      </c>
    </row>
    <row r="18" spans="2:24" ht="12.75">
      <c r="B18" s="345" t="s">
        <v>245</v>
      </c>
      <c r="C18" s="334"/>
      <c r="D18" s="334"/>
      <c r="E18" s="334">
        <v>489</v>
      </c>
      <c r="F18" s="235">
        <f t="shared" si="1"/>
        <v>489</v>
      </c>
      <c r="G18" s="235"/>
      <c r="H18" s="235"/>
      <c r="I18" s="235"/>
      <c r="J18" s="235"/>
      <c r="K18" s="349">
        <f t="shared" si="0"/>
        <v>489</v>
      </c>
      <c r="L18" s="327"/>
      <c r="M18" s="334">
        <v>489</v>
      </c>
      <c r="N18" s="334"/>
      <c r="O18" s="336"/>
      <c r="P18" s="333"/>
      <c r="Q18" s="327"/>
      <c r="R18" s="327"/>
      <c r="S18" s="327"/>
      <c r="T18" s="327"/>
      <c r="U18" s="327"/>
      <c r="V18" s="327"/>
      <c r="W18" s="328"/>
      <c r="X18" s="349">
        <f t="shared" si="2"/>
        <v>489</v>
      </c>
    </row>
    <row r="19" spans="2:24" ht="12.75">
      <c r="B19" s="345" t="s">
        <v>246</v>
      </c>
      <c r="C19" s="334">
        <v>1742</v>
      </c>
      <c r="D19" s="334">
        <v>470</v>
      </c>
      <c r="E19" s="334">
        <v>863</v>
      </c>
      <c r="F19" s="235">
        <f>SUM(C19:E19)</f>
        <v>3075</v>
      </c>
      <c r="G19" s="235"/>
      <c r="H19" s="235"/>
      <c r="I19" s="235"/>
      <c r="J19" s="235"/>
      <c r="K19" s="349">
        <f t="shared" si="0"/>
        <v>3075</v>
      </c>
      <c r="L19" s="327"/>
      <c r="M19" s="334">
        <v>2040</v>
      </c>
      <c r="N19" s="334"/>
      <c r="O19" s="336"/>
      <c r="P19" s="333"/>
      <c r="Q19" s="327"/>
      <c r="R19" s="327">
        <v>1035</v>
      </c>
      <c r="S19" s="327"/>
      <c r="T19" s="327"/>
      <c r="U19" s="327"/>
      <c r="V19" s="327"/>
      <c r="W19" s="328"/>
      <c r="X19" s="349">
        <f t="shared" si="2"/>
        <v>3075</v>
      </c>
    </row>
    <row r="20" spans="2:24" ht="12.75">
      <c r="B20" s="345" t="s">
        <v>357</v>
      </c>
      <c r="C20" s="334">
        <v>2684</v>
      </c>
      <c r="D20" s="334">
        <v>725</v>
      </c>
      <c r="E20" s="334">
        <v>3512</v>
      </c>
      <c r="F20" s="235">
        <f t="shared" si="1"/>
        <v>6921</v>
      </c>
      <c r="G20" s="235"/>
      <c r="H20" s="235"/>
      <c r="I20" s="235"/>
      <c r="J20" s="235"/>
      <c r="K20" s="349">
        <f t="shared" si="0"/>
        <v>6921</v>
      </c>
      <c r="L20" s="327"/>
      <c r="M20" s="334">
        <v>1620</v>
      </c>
      <c r="N20" s="334"/>
      <c r="O20" s="336"/>
      <c r="P20" s="333"/>
      <c r="Q20" s="327"/>
      <c r="R20" s="327">
        <v>5301</v>
      </c>
      <c r="S20" s="327"/>
      <c r="T20" s="327"/>
      <c r="U20" s="327"/>
      <c r="V20" s="327"/>
      <c r="W20" s="328"/>
      <c r="X20" s="349">
        <f t="shared" si="2"/>
        <v>6921</v>
      </c>
    </row>
    <row r="21" spans="2:24" ht="12.75">
      <c r="B21" s="345" t="s">
        <v>247</v>
      </c>
      <c r="C21" s="334">
        <v>5588</v>
      </c>
      <c r="D21" s="334">
        <v>1509</v>
      </c>
      <c r="E21" s="334">
        <v>1308</v>
      </c>
      <c r="F21" s="235">
        <f t="shared" si="1"/>
        <v>8405</v>
      </c>
      <c r="G21" s="235"/>
      <c r="H21" s="235"/>
      <c r="I21" s="235"/>
      <c r="J21" s="235"/>
      <c r="K21" s="349">
        <f t="shared" si="0"/>
        <v>8405</v>
      </c>
      <c r="L21" s="327"/>
      <c r="M21" s="334">
        <v>7651</v>
      </c>
      <c r="N21" s="334"/>
      <c r="O21" s="336"/>
      <c r="P21" s="333"/>
      <c r="Q21" s="327"/>
      <c r="R21" s="327">
        <v>754</v>
      </c>
      <c r="S21" s="327"/>
      <c r="T21" s="327"/>
      <c r="U21" s="327"/>
      <c r="V21" s="327"/>
      <c r="W21" s="328"/>
      <c r="X21" s="349">
        <f t="shared" si="2"/>
        <v>8405</v>
      </c>
    </row>
    <row r="22" spans="2:24" s="266" customFormat="1" ht="12.75">
      <c r="B22" s="346" t="s">
        <v>272</v>
      </c>
      <c r="C22" s="337">
        <f>SUM(C7:C21)</f>
        <v>67171</v>
      </c>
      <c r="D22" s="337">
        <f>SUM(D7:D21)</f>
        <v>17974</v>
      </c>
      <c r="E22" s="337">
        <f>SUM(E8:E21)</f>
        <v>41972</v>
      </c>
      <c r="F22" s="337">
        <f>SUM(F7:F21)</f>
        <v>127117</v>
      </c>
      <c r="G22" s="337">
        <f>SUM(G8:G21)</f>
        <v>0</v>
      </c>
      <c r="H22" s="337">
        <f>SUM(H8:H21)</f>
        <v>0</v>
      </c>
      <c r="I22" s="337">
        <f>SUM(I8:I21)</f>
        <v>0</v>
      </c>
      <c r="J22" s="337">
        <f>SUM(J8:J21)</f>
        <v>0</v>
      </c>
      <c r="K22" s="350">
        <f>SUM(K7:K21)</f>
        <v>127117</v>
      </c>
      <c r="L22" s="337">
        <f>SUM(L8:L21)</f>
        <v>8903</v>
      </c>
      <c r="M22" s="337">
        <f>SUM(M8:M21)</f>
        <v>32500</v>
      </c>
      <c r="N22" s="337"/>
      <c r="O22" s="337">
        <f>SUM(O8:O21)</f>
        <v>0</v>
      </c>
      <c r="P22" s="647">
        <f>SUM(P7:P21)</f>
        <v>32456</v>
      </c>
      <c r="Q22" s="649">
        <f aca="true" t="shared" si="3" ref="Q22:W22">SUM(Q7:Q21)</f>
        <v>0</v>
      </c>
      <c r="R22" s="649">
        <f t="shared" si="3"/>
        <v>43801</v>
      </c>
      <c r="S22" s="649">
        <f t="shared" si="3"/>
        <v>0</v>
      </c>
      <c r="T22" s="649">
        <f t="shared" si="3"/>
        <v>9457</v>
      </c>
      <c r="U22" s="649">
        <f t="shared" si="3"/>
        <v>0</v>
      </c>
      <c r="V22" s="649"/>
      <c r="W22" s="648">
        <f t="shared" si="3"/>
        <v>0</v>
      </c>
      <c r="X22" s="350">
        <f>SUM(X7:X21)</f>
        <v>127117</v>
      </c>
    </row>
    <row r="23" spans="2:24" ht="12.75">
      <c r="B23" s="345"/>
      <c r="C23" s="334">
        <f>+4_mell!D12</f>
        <v>67171</v>
      </c>
      <c r="D23" s="334">
        <f>+4_mell!E12</f>
        <v>17974</v>
      </c>
      <c r="E23" s="334">
        <f>+4_mell!F12</f>
        <v>41972</v>
      </c>
      <c r="F23" s="334"/>
      <c r="G23" s="334"/>
      <c r="H23" s="334"/>
      <c r="I23" s="334"/>
      <c r="J23" s="334"/>
      <c r="K23" s="351">
        <f>+4_mell!M12</f>
        <v>127117</v>
      </c>
      <c r="L23" s="334">
        <f>+3_mell!D13</f>
        <v>8903</v>
      </c>
      <c r="M23" s="334">
        <f>+1_mell!E32</f>
        <v>32500</v>
      </c>
      <c r="N23" s="334"/>
      <c r="O23" s="334"/>
      <c r="P23" s="333"/>
      <c r="Q23" s="336"/>
      <c r="R23" s="336"/>
      <c r="S23" s="336"/>
      <c r="T23" s="327"/>
      <c r="U23" s="327"/>
      <c r="V23" s="327"/>
      <c r="W23" s="328"/>
      <c r="X23" s="345"/>
    </row>
    <row r="24" spans="2:24" ht="12.75">
      <c r="B24" s="345"/>
      <c r="C24" s="334">
        <f>+C23-C22</f>
        <v>0</v>
      </c>
      <c r="D24" s="334">
        <f>+D23-D22</f>
        <v>0</v>
      </c>
      <c r="E24" s="334">
        <f>+E23-E22</f>
        <v>0</v>
      </c>
      <c r="F24" s="334"/>
      <c r="G24" s="334"/>
      <c r="H24" s="334"/>
      <c r="I24" s="334"/>
      <c r="J24" s="334"/>
      <c r="K24" s="351"/>
      <c r="L24" s="334"/>
      <c r="M24" s="334"/>
      <c r="N24" s="334"/>
      <c r="O24" s="334"/>
      <c r="P24" s="333"/>
      <c r="Q24" s="336"/>
      <c r="R24" s="336"/>
      <c r="S24" s="336"/>
      <c r="T24" s="327"/>
      <c r="U24" s="327"/>
      <c r="V24" s="327"/>
      <c r="W24" s="328"/>
      <c r="X24" s="345"/>
    </row>
    <row r="25" spans="2:24" ht="38.25" customHeight="1">
      <c r="B25" s="347" t="str">
        <f>+4_mell!B16</f>
        <v>Városi Művelődési Központ és Könyvtár</v>
      </c>
      <c r="C25" s="547"/>
      <c r="D25" s="547"/>
      <c r="E25" s="547"/>
      <c r="F25" s="547"/>
      <c r="G25" s="329"/>
      <c r="H25" s="329"/>
      <c r="I25" s="329"/>
      <c r="J25" s="329"/>
      <c r="K25" s="548"/>
      <c r="L25" s="547"/>
      <c r="M25" s="547"/>
      <c r="N25" s="547"/>
      <c r="O25" s="329"/>
      <c r="P25" s="549"/>
      <c r="Q25" s="330"/>
      <c r="R25" s="330"/>
      <c r="S25" s="330"/>
      <c r="T25" s="330"/>
      <c r="U25" s="330"/>
      <c r="V25" s="330"/>
      <c r="W25" s="339"/>
      <c r="X25" s="359"/>
    </row>
    <row r="26" spans="2:24" ht="12.75">
      <c r="B26" s="348" t="s">
        <v>284</v>
      </c>
      <c r="C26" s="327">
        <v>4033</v>
      </c>
      <c r="D26" s="327">
        <v>1089</v>
      </c>
      <c r="E26" s="327">
        <f>1990</f>
        <v>1990</v>
      </c>
      <c r="F26" s="340">
        <f>SUM(C26:E26)</f>
        <v>7112</v>
      </c>
      <c r="G26" s="334"/>
      <c r="H26" s="334"/>
      <c r="I26" s="334"/>
      <c r="J26" s="334"/>
      <c r="K26" s="351">
        <f>SUM(F26:J26)</f>
        <v>7112</v>
      </c>
      <c r="L26" s="334">
        <v>1500</v>
      </c>
      <c r="M26" s="334"/>
      <c r="N26" s="334"/>
      <c r="O26" s="334"/>
      <c r="P26" s="365">
        <v>6853</v>
      </c>
      <c r="Q26" s="336"/>
      <c r="R26" s="336"/>
      <c r="S26" s="336"/>
      <c r="T26" s="327"/>
      <c r="U26" s="327"/>
      <c r="V26" s="327"/>
      <c r="W26" s="328">
        <f>-1219-22</f>
        <v>-1241</v>
      </c>
      <c r="X26" s="349">
        <f>SUM(L26:W26)</f>
        <v>7112</v>
      </c>
    </row>
    <row r="27" spans="2:24" ht="12.75">
      <c r="B27" s="348" t="s">
        <v>285</v>
      </c>
      <c r="C27" s="327"/>
      <c r="D27" s="327"/>
      <c r="E27" s="327">
        <v>786</v>
      </c>
      <c r="F27" s="340">
        <f>SUM(C27:E27)</f>
        <v>786</v>
      </c>
      <c r="G27" s="334"/>
      <c r="H27" s="334"/>
      <c r="I27" s="334"/>
      <c r="J27" s="334"/>
      <c r="K27" s="351">
        <f>SUM(F27:J27)</f>
        <v>786</v>
      </c>
      <c r="L27" s="334"/>
      <c r="M27" s="334"/>
      <c r="N27" s="334"/>
      <c r="O27" s="334"/>
      <c r="P27" s="333"/>
      <c r="Q27" s="336"/>
      <c r="R27" s="336">
        <v>786</v>
      </c>
      <c r="S27" s="336"/>
      <c r="T27" s="327"/>
      <c r="U27" s="327"/>
      <c r="V27" s="327"/>
      <c r="W27" s="328"/>
      <c r="X27" s="349">
        <f>SUM(L27:W27)</f>
        <v>786</v>
      </c>
    </row>
    <row r="28" spans="2:24" ht="12.75">
      <c r="B28" s="348" t="s">
        <v>286</v>
      </c>
      <c r="C28" s="327">
        <v>5376</v>
      </c>
      <c r="D28" s="327">
        <v>1450</v>
      </c>
      <c r="E28" s="327">
        <f>1148+700</f>
        <v>1848</v>
      </c>
      <c r="F28" s="340">
        <f>SUM(C28:E28)</f>
        <v>8674</v>
      </c>
      <c r="G28" s="334"/>
      <c r="H28" s="334"/>
      <c r="I28" s="334"/>
      <c r="J28" s="334"/>
      <c r="K28" s="351">
        <f>SUM(F28:J28)</f>
        <v>8674</v>
      </c>
      <c r="L28" s="334"/>
      <c r="M28" s="334"/>
      <c r="N28" s="334"/>
      <c r="O28" s="334"/>
      <c r="P28" s="365"/>
      <c r="Q28" s="336"/>
      <c r="R28" s="336">
        <f>7974-1219+700-22</f>
        <v>7433</v>
      </c>
      <c r="S28" s="336"/>
      <c r="T28" s="327"/>
      <c r="U28" s="327"/>
      <c r="V28" s="327"/>
      <c r="W28" s="328">
        <f>1219+22</f>
        <v>1241</v>
      </c>
      <c r="X28" s="349">
        <f>SUM(L28:W28)</f>
        <v>8674</v>
      </c>
    </row>
    <row r="29" spans="2:24" ht="12.75">
      <c r="B29" s="348" t="s">
        <v>287</v>
      </c>
      <c r="C29" s="327">
        <v>31</v>
      </c>
      <c r="D29" s="327">
        <v>9</v>
      </c>
      <c r="E29" s="327">
        <v>1710</v>
      </c>
      <c r="F29" s="340">
        <f>SUM(C29:E29)</f>
        <v>1750</v>
      </c>
      <c r="G29" s="334"/>
      <c r="H29" s="334"/>
      <c r="I29" s="334"/>
      <c r="J29" s="334"/>
      <c r="K29" s="351">
        <f>SUM(F29:J29)</f>
        <v>1750</v>
      </c>
      <c r="L29" s="334"/>
      <c r="M29" s="334"/>
      <c r="N29" s="334"/>
      <c r="O29" s="334"/>
      <c r="P29" s="333">
        <f>31+9</f>
        <v>40</v>
      </c>
      <c r="Q29" s="336"/>
      <c r="R29" s="336">
        <v>1710</v>
      </c>
      <c r="S29" s="336"/>
      <c r="T29" s="327"/>
      <c r="U29" s="327"/>
      <c r="V29" s="327"/>
      <c r="W29" s="328"/>
      <c r="X29" s="349">
        <f>SUM(L29:W29)</f>
        <v>1750</v>
      </c>
    </row>
    <row r="30" spans="2:24" ht="13.5" thickBot="1">
      <c r="B30" s="348" t="s">
        <v>288</v>
      </c>
      <c r="C30" s="327"/>
      <c r="D30" s="327"/>
      <c r="E30" s="327">
        <v>3236</v>
      </c>
      <c r="F30" s="340">
        <f>SUM(C30:E30)</f>
        <v>3236</v>
      </c>
      <c r="G30" s="334"/>
      <c r="H30" s="334"/>
      <c r="I30" s="334"/>
      <c r="J30" s="334"/>
      <c r="K30" s="351">
        <f>SUM(F30:J30)</f>
        <v>3236</v>
      </c>
      <c r="L30" s="334">
        <v>700</v>
      </c>
      <c r="M30" s="334"/>
      <c r="N30" s="334"/>
      <c r="O30" s="334"/>
      <c r="P30" s="333"/>
      <c r="Q30" s="336"/>
      <c r="R30" s="336">
        <v>2536</v>
      </c>
      <c r="S30" s="336"/>
      <c r="T30" s="327"/>
      <c r="U30" s="327"/>
      <c r="V30" s="327"/>
      <c r="W30" s="328"/>
      <c r="X30" s="349">
        <f>SUM(L30:W30)</f>
        <v>3236</v>
      </c>
    </row>
    <row r="31" spans="2:24" s="267" customFormat="1" ht="13.5" thickBot="1">
      <c r="B31" s="360" t="s">
        <v>272</v>
      </c>
      <c r="C31" s="361">
        <f aca="true" t="shared" si="4" ref="C31:L31">SUM(C26:C30)</f>
        <v>9440</v>
      </c>
      <c r="D31" s="361">
        <f t="shared" si="4"/>
        <v>2548</v>
      </c>
      <c r="E31" s="361">
        <f t="shared" si="4"/>
        <v>9570</v>
      </c>
      <c r="F31" s="363">
        <f t="shared" si="4"/>
        <v>21558</v>
      </c>
      <c r="G31" s="361">
        <f t="shared" si="4"/>
        <v>0</v>
      </c>
      <c r="H31" s="361">
        <f t="shared" si="4"/>
        <v>0</v>
      </c>
      <c r="I31" s="361">
        <f t="shared" si="4"/>
        <v>0</v>
      </c>
      <c r="J31" s="361">
        <f t="shared" si="4"/>
        <v>0</v>
      </c>
      <c r="K31" s="362">
        <f t="shared" si="4"/>
        <v>21558</v>
      </c>
      <c r="L31" s="363">
        <f t="shared" si="4"/>
        <v>2200</v>
      </c>
      <c r="M31" s="363">
        <f aca="true" t="shared" si="5" ref="M31:W31">SUM(M26:M30)</f>
        <v>0</v>
      </c>
      <c r="N31" s="363"/>
      <c r="O31" s="363">
        <f t="shared" si="5"/>
        <v>0</v>
      </c>
      <c r="P31" s="366">
        <f t="shared" si="5"/>
        <v>6893</v>
      </c>
      <c r="Q31" s="363">
        <f t="shared" si="5"/>
        <v>0</v>
      </c>
      <c r="R31" s="363">
        <f t="shared" si="5"/>
        <v>12465</v>
      </c>
      <c r="S31" s="363">
        <f t="shared" si="5"/>
        <v>0</v>
      </c>
      <c r="T31" s="363">
        <f t="shared" si="5"/>
        <v>0</v>
      </c>
      <c r="U31" s="363">
        <f>SUM(U26:U30)</f>
        <v>0</v>
      </c>
      <c r="V31" s="363">
        <f>SUM(V26:V30)</f>
        <v>0</v>
      </c>
      <c r="W31" s="367">
        <f t="shared" si="5"/>
        <v>0</v>
      </c>
      <c r="X31" s="362">
        <f>SUM(X26:X30)</f>
        <v>21558</v>
      </c>
    </row>
    <row r="32" spans="3:24" ht="13.5" customHeight="1">
      <c r="C32" s="230">
        <f>+4_mell!D17</f>
        <v>9440</v>
      </c>
      <c r="D32" s="230">
        <f>+4_mell!E17</f>
        <v>2548</v>
      </c>
      <c r="E32" s="230">
        <f>+4_mell!F17</f>
        <v>9570</v>
      </c>
      <c r="F32" s="231">
        <f>+4_mell!G17</f>
        <v>21558</v>
      </c>
      <c r="G32" s="231"/>
      <c r="H32" s="231"/>
      <c r="I32" s="231"/>
      <c r="J32" s="231"/>
      <c r="K32" s="231">
        <f>+4_mell!M17</f>
        <v>21558</v>
      </c>
      <c r="L32" s="231">
        <f>+3_mell!D18</f>
        <v>2200</v>
      </c>
      <c r="M32" s="231"/>
      <c r="N32" s="231"/>
      <c r="O32" s="231"/>
      <c r="Q32" s="232"/>
      <c r="R32" s="232"/>
      <c r="S32" s="232"/>
      <c r="X32" s="349">
        <f>+3_mell!L18</f>
        <v>21558</v>
      </c>
    </row>
    <row r="33" spans="6:19" ht="9.75" customHeight="1" thickBot="1"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Q33" s="232"/>
      <c r="R33" s="232"/>
      <c r="S33" s="232"/>
    </row>
    <row r="34" spans="2:24" ht="13.5" thickBot="1">
      <c r="B34" s="272" t="s">
        <v>296</v>
      </c>
      <c r="C34" s="697" t="s">
        <v>174</v>
      </c>
      <c r="D34" s="695"/>
      <c r="E34" s="695"/>
      <c r="F34" s="695"/>
      <c r="G34" s="695"/>
      <c r="H34" s="695"/>
      <c r="I34" s="695"/>
      <c r="J34" s="695"/>
      <c r="K34" s="696"/>
      <c r="L34" s="697" t="s">
        <v>297</v>
      </c>
      <c r="M34" s="695"/>
      <c r="N34" s="695"/>
      <c r="O34" s="695"/>
      <c r="P34" s="695"/>
      <c r="Q34" s="695"/>
      <c r="R34" s="695"/>
      <c r="S34" s="695"/>
      <c r="T34" s="695"/>
      <c r="U34" s="695"/>
      <c r="V34" s="695"/>
      <c r="W34" s="695"/>
      <c r="X34" s="696"/>
    </row>
    <row r="35" spans="2:24" ht="13.5" thickBot="1">
      <c r="B35" s="343"/>
      <c r="C35" s="342"/>
      <c r="D35" s="342"/>
      <c r="E35" s="342"/>
      <c r="F35" s="342"/>
      <c r="G35" s="342"/>
      <c r="H35" s="342"/>
      <c r="I35" s="342"/>
      <c r="J35" s="342"/>
      <c r="K35" s="343"/>
      <c r="L35" s="341"/>
      <c r="M35" s="342"/>
      <c r="N35" s="342"/>
      <c r="O35" s="370"/>
      <c r="P35" s="698" t="s">
        <v>281</v>
      </c>
      <c r="Q35" s="699"/>
      <c r="R35" s="699"/>
      <c r="S35" s="699"/>
      <c r="T35" s="699"/>
      <c r="U35" s="699"/>
      <c r="V35" s="699"/>
      <c r="W35" s="700"/>
      <c r="X35" s="371"/>
    </row>
    <row r="36" spans="2:24" s="266" customFormat="1" ht="77.25" thickBot="1">
      <c r="B36" s="352" t="s">
        <v>273</v>
      </c>
      <c r="C36" s="551" t="s">
        <v>56</v>
      </c>
      <c r="D36" s="551" t="s">
        <v>234</v>
      </c>
      <c r="E36" s="551" t="s">
        <v>235</v>
      </c>
      <c r="F36" s="551" t="s">
        <v>61</v>
      </c>
      <c r="G36" s="372" t="s">
        <v>277</v>
      </c>
      <c r="H36" s="372" t="s">
        <v>278</v>
      </c>
      <c r="I36" s="372" t="s">
        <v>62</v>
      </c>
      <c r="J36" s="372" t="s">
        <v>9</v>
      </c>
      <c r="K36" s="552" t="s">
        <v>279</v>
      </c>
      <c r="L36" s="553" t="s">
        <v>250</v>
      </c>
      <c r="M36" s="551" t="s">
        <v>249</v>
      </c>
      <c r="N36" s="372" t="s">
        <v>487</v>
      </c>
      <c r="O36" s="372" t="s">
        <v>248</v>
      </c>
      <c r="P36" s="553" t="s">
        <v>265</v>
      </c>
      <c r="Q36" s="374" t="s">
        <v>289</v>
      </c>
      <c r="R36" s="373" t="s">
        <v>290</v>
      </c>
      <c r="S36" s="374" t="s">
        <v>291</v>
      </c>
      <c r="T36" s="373" t="s">
        <v>293</v>
      </c>
      <c r="U36" s="374" t="s">
        <v>294</v>
      </c>
      <c r="V36" s="356" t="s">
        <v>513</v>
      </c>
      <c r="W36" s="375" t="s">
        <v>292</v>
      </c>
      <c r="X36" s="376" t="s">
        <v>295</v>
      </c>
    </row>
    <row r="37" spans="2:24" s="266" customFormat="1" ht="12" customHeight="1">
      <c r="B37" s="359" t="s">
        <v>492</v>
      </c>
      <c r="C37" s="547">
        <v>229</v>
      </c>
      <c r="D37" s="547">
        <v>62</v>
      </c>
      <c r="E37" s="547"/>
      <c r="F37" s="555">
        <f>SUM(C37:E37)</f>
        <v>291</v>
      </c>
      <c r="G37" s="329"/>
      <c r="H37" s="329"/>
      <c r="I37" s="329"/>
      <c r="J37" s="329"/>
      <c r="K37" s="651">
        <f>SUM(F37:J37)</f>
        <v>291</v>
      </c>
      <c r="L37" s="549"/>
      <c r="M37" s="547"/>
      <c r="N37" s="547"/>
      <c r="O37" s="329"/>
      <c r="P37" s="646">
        <v>291</v>
      </c>
      <c r="Q37" s="330"/>
      <c r="R37" s="330"/>
      <c r="S37" s="330"/>
      <c r="T37" s="330"/>
      <c r="U37" s="330"/>
      <c r="V37" s="330"/>
      <c r="W37" s="339"/>
      <c r="X37" s="335">
        <f>SUM(L37:W37)</f>
        <v>291</v>
      </c>
    </row>
    <row r="38" spans="2:24" ht="25.5">
      <c r="B38" s="554" t="s">
        <v>253</v>
      </c>
      <c r="C38" s="234"/>
      <c r="D38" s="234"/>
      <c r="E38" s="234">
        <v>898</v>
      </c>
      <c r="F38" s="555">
        <f>SUM(C38:E38)</f>
        <v>898</v>
      </c>
      <c r="G38" s="555"/>
      <c r="H38" s="555"/>
      <c r="I38" s="555"/>
      <c r="J38" s="555"/>
      <c r="K38" s="556">
        <f>SUM(F38:J38)</f>
        <v>898</v>
      </c>
      <c r="L38" s="333"/>
      <c r="M38" s="327"/>
      <c r="N38" s="327"/>
      <c r="O38" s="327"/>
      <c r="P38" s="333"/>
      <c r="Q38" s="327"/>
      <c r="R38" s="327">
        <v>898</v>
      </c>
      <c r="S38" s="327"/>
      <c r="T38" s="327"/>
      <c r="U38" s="327"/>
      <c r="V38" s="327"/>
      <c r="W38" s="328">
        <v>0</v>
      </c>
      <c r="X38" s="335">
        <f>SUM(L38:W38)</f>
        <v>898</v>
      </c>
    </row>
    <row r="39" spans="2:24" ht="51">
      <c r="B39" s="557" t="s">
        <v>254</v>
      </c>
      <c r="C39" s="234"/>
      <c r="D39" s="234"/>
      <c r="E39" s="234">
        <f>28+900</f>
        <v>928</v>
      </c>
      <c r="F39" s="555">
        <f aca="true" t="shared" si="6" ref="F39:F49">SUM(C39:E39)</f>
        <v>928</v>
      </c>
      <c r="G39" s="555"/>
      <c r="H39" s="555"/>
      <c r="I39" s="555"/>
      <c r="J39" s="555"/>
      <c r="K39" s="556">
        <f aca="true" t="shared" si="7" ref="K39:K49">SUM(F39:J39)</f>
        <v>928</v>
      </c>
      <c r="L39" s="333"/>
      <c r="M39" s="327"/>
      <c r="N39" s="327"/>
      <c r="O39" s="327"/>
      <c r="P39" s="333">
        <v>13</v>
      </c>
      <c r="Q39" s="327">
        <v>900</v>
      </c>
      <c r="R39" s="327">
        <v>15</v>
      </c>
      <c r="S39" s="327"/>
      <c r="T39" s="327"/>
      <c r="U39" s="327"/>
      <c r="V39" s="327"/>
      <c r="W39" s="328">
        <v>0</v>
      </c>
      <c r="X39" s="335">
        <f aca="true" t="shared" si="8" ref="X39:X49">SUM(L39:W39)</f>
        <v>928</v>
      </c>
    </row>
    <row r="40" spans="2:24" ht="51">
      <c r="B40" s="558" t="s">
        <v>255</v>
      </c>
      <c r="C40" s="234"/>
      <c r="D40" s="234"/>
      <c r="E40" s="234">
        <v>802</v>
      </c>
      <c r="F40" s="555">
        <f t="shared" si="6"/>
        <v>802</v>
      </c>
      <c r="G40" s="555"/>
      <c r="H40" s="555"/>
      <c r="I40" s="555"/>
      <c r="J40" s="555"/>
      <c r="K40" s="556">
        <f t="shared" si="7"/>
        <v>802</v>
      </c>
      <c r="L40" s="333"/>
      <c r="M40" s="327"/>
      <c r="N40" s="327"/>
      <c r="O40" s="327"/>
      <c r="P40" s="365">
        <v>15804</v>
      </c>
      <c r="Q40" s="327"/>
      <c r="R40" s="327"/>
      <c r="S40" s="327"/>
      <c r="T40" s="327"/>
      <c r="U40" s="327"/>
      <c r="V40" s="327"/>
      <c r="W40" s="328">
        <v>-15002</v>
      </c>
      <c r="X40" s="335">
        <f t="shared" si="8"/>
        <v>802</v>
      </c>
    </row>
    <row r="41" spans="2:24" ht="19.5" customHeight="1">
      <c r="B41" s="368" t="s">
        <v>256</v>
      </c>
      <c r="C41" s="234">
        <v>16044</v>
      </c>
      <c r="D41" s="234">
        <v>4332</v>
      </c>
      <c r="E41" s="234">
        <v>64350</v>
      </c>
      <c r="F41" s="555">
        <f t="shared" si="6"/>
        <v>84726</v>
      </c>
      <c r="G41" s="555"/>
      <c r="H41" s="555"/>
      <c r="I41" s="555"/>
      <c r="J41" s="555"/>
      <c r="K41" s="556">
        <f t="shared" si="7"/>
        <v>84726</v>
      </c>
      <c r="L41" s="559">
        <v>68271</v>
      </c>
      <c r="M41" s="327"/>
      <c r="N41" s="327"/>
      <c r="O41" s="327"/>
      <c r="P41" s="333"/>
      <c r="Q41" s="327"/>
      <c r="R41" s="327">
        <f>16455-15002</f>
        <v>1453</v>
      </c>
      <c r="S41" s="327"/>
      <c r="T41" s="327"/>
      <c r="U41" s="327"/>
      <c r="V41" s="327"/>
      <c r="W41" s="328">
        <v>15002</v>
      </c>
      <c r="X41" s="335">
        <f t="shared" si="8"/>
        <v>84726</v>
      </c>
    </row>
    <row r="42" spans="2:24" ht="38.25">
      <c r="B42" s="557" t="s">
        <v>257</v>
      </c>
      <c r="C42" s="234"/>
      <c r="D42" s="234"/>
      <c r="E42" s="234">
        <v>2807</v>
      </c>
      <c r="F42" s="555">
        <f t="shared" si="6"/>
        <v>2807</v>
      </c>
      <c r="G42" s="555"/>
      <c r="H42" s="555"/>
      <c r="I42" s="555"/>
      <c r="J42" s="555"/>
      <c r="K42" s="556">
        <f t="shared" si="7"/>
        <v>2807</v>
      </c>
      <c r="L42" s="333">
        <v>4210</v>
      </c>
      <c r="M42" s="327"/>
      <c r="N42" s="327"/>
      <c r="O42" s="327"/>
      <c r="P42" s="333"/>
      <c r="Q42" s="327"/>
      <c r="R42" s="327"/>
      <c r="S42" s="327"/>
      <c r="T42" s="327"/>
      <c r="U42" s="327"/>
      <c r="V42" s="327"/>
      <c r="W42" s="328">
        <v>-1403</v>
      </c>
      <c r="X42" s="335">
        <f t="shared" si="8"/>
        <v>2807</v>
      </c>
    </row>
    <row r="43" spans="2:24" ht="38.25">
      <c r="B43" s="558" t="s">
        <v>258</v>
      </c>
      <c r="C43" s="234"/>
      <c r="D43" s="234"/>
      <c r="E43" s="234">
        <v>2713</v>
      </c>
      <c r="F43" s="555">
        <f t="shared" si="6"/>
        <v>2713</v>
      </c>
      <c r="G43" s="555"/>
      <c r="H43" s="555"/>
      <c r="I43" s="555"/>
      <c r="J43" s="555"/>
      <c r="K43" s="556">
        <f t="shared" si="7"/>
        <v>2713</v>
      </c>
      <c r="L43" s="333">
        <v>10747</v>
      </c>
      <c r="M43" s="327"/>
      <c r="N43" s="327"/>
      <c r="O43" s="327"/>
      <c r="P43" s="333"/>
      <c r="Q43" s="327"/>
      <c r="R43" s="327"/>
      <c r="S43" s="327"/>
      <c r="T43" s="327"/>
      <c r="U43" s="327"/>
      <c r="V43" s="327"/>
      <c r="W43" s="328">
        <v>-8034</v>
      </c>
      <c r="X43" s="335">
        <f t="shared" si="8"/>
        <v>2713</v>
      </c>
    </row>
    <row r="44" spans="2:24" ht="25.5">
      <c r="B44" s="558" t="s">
        <v>259</v>
      </c>
      <c r="C44" s="234"/>
      <c r="D44" s="234"/>
      <c r="E44" s="234">
        <v>3048</v>
      </c>
      <c r="F44" s="555">
        <f t="shared" si="6"/>
        <v>3048</v>
      </c>
      <c r="G44" s="555"/>
      <c r="H44" s="555"/>
      <c r="I44" s="555"/>
      <c r="J44" s="555"/>
      <c r="K44" s="556">
        <f t="shared" si="7"/>
        <v>3048</v>
      </c>
      <c r="L44" s="333"/>
      <c r="M44" s="327"/>
      <c r="N44" s="327"/>
      <c r="O44" s="327"/>
      <c r="P44" s="333"/>
      <c r="Q44" s="327"/>
      <c r="R44" s="327">
        <f>3048-1403</f>
        <v>1645</v>
      </c>
      <c r="S44" s="327"/>
      <c r="T44" s="327"/>
      <c r="U44" s="327"/>
      <c r="V44" s="327"/>
      <c r="W44" s="328">
        <v>1403</v>
      </c>
      <c r="X44" s="335">
        <f t="shared" si="8"/>
        <v>3048</v>
      </c>
    </row>
    <row r="45" spans="2:24" ht="38.25">
      <c r="B45" s="558" t="s">
        <v>260</v>
      </c>
      <c r="C45" s="234">
        <v>22976</v>
      </c>
      <c r="D45" s="234">
        <v>6219</v>
      </c>
      <c r="E45" s="234">
        <v>15794</v>
      </c>
      <c r="F45" s="555">
        <f t="shared" si="6"/>
        <v>44989</v>
      </c>
      <c r="G45" s="555"/>
      <c r="H45" s="555"/>
      <c r="I45" s="555"/>
      <c r="J45" s="555"/>
      <c r="K45" s="556">
        <f t="shared" si="7"/>
        <v>44989</v>
      </c>
      <c r="L45" s="333"/>
      <c r="M45" s="327"/>
      <c r="N45" s="327"/>
      <c r="O45" s="327"/>
      <c r="P45" s="365">
        <f>55854-36902+16243</f>
        <v>35195</v>
      </c>
      <c r="Q45" s="327"/>
      <c r="R45" s="327">
        <f>9794-3513</f>
        <v>6281</v>
      </c>
      <c r="S45" s="327"/>
      <c r="T45" s="327"/>
      <c r="U45" s="327"/>
      <c r="V45" s="327"/>
      <c r="W45" s="328">
        <v>3513</v>
      </c>
      <c r="X45" s="335">
        <f t="shared" si="8"/>
        <v>44989</v>
      </c>
    </row>
    <row r="46" spans="2:24" ht="12.75">
      <c r="B46" s="368" t="s">
        <v>261</v>
      </c>
      <c r="C46" s="234"/>
      <c r="D46" s="234"/>
      <c r="E46" s="234">
        <v>31284</v>
      </c>
      <c r="F46" s="555">
        <f t="shared" si="6"/>
        <v>31284</v>
      </c>
      <c r="G46" s="555"/>
      <c r="H46" s="555"/>
      <c r="I46" s="555"/>
      <c r="J46" s="555"/>
      <c r="K46" s="556">
        <f t="shared" si="7"/>
        <v>31284</v>
      </c>
      <c r="L46" s="333"/>
      <c r="M46" s="327"/>
      <c r="N46" s="327"/>
      <c r="O46" s="327"/>
      <c r="P46" s="365">
        <v>20985</v>
      </c>
      <c r="Q46" s="327"/>
      <c r="R46" s="327">
        <f>10299-8033</f>
        <v>2266</v>
      </c>
      <c r="S46" s="327"/>
      <c r="T46" s="327"/>
      <c r="U46" s="327"/>
      <c r="V46" s="327"/>
      <c r="W46" s="328">
        <v>8033</v>
      </c>
      <c r="X46" s="335">
        <f t="shared" si="8"/>
        <v>31284</v>
      </c>
    </row>
    <row r="47" spans="2:24" ht="38.25">
      <c r="B47" s="558" t="s">
        <v>262</v>
      </c>
      <c r="C47" s="234"/>
      <c r="D47" s="234"/>
      <c r="E47" s="234">
        <v>19</v>
      </c>
      <c r="F47" s="555">
        <f t="shared" si="6"/>
        <v>19</v>
      </c>
      <c r="G47" s="555"/>
      <c r="H47" s="555"/>
      <c r="I47" s="555"/>
      <c r="J47" s="555"/>
      <c r="K47" s="556">
        <f t="shared" si="7"/>
        <v>19</v>
      </c>
      <c r="L47" s="559">
        <v>2159</v>
      </c>
      <c r="M47" s="327"/>
      <c r="N47" s="327"/>
      <c r="O47" s="327"/>
      <c r="P47" s="333"/>
      <c r="Q47" s="327"/>
      <c r="R47" s="327"/>
      <c r="S47" s="327"/>
      <c r="T47" s="327"/>
      <c r="U47" s="327"/>
      <c r="V47" s="327"/>
      <c r="W47" s="328">
        <v>-2140</v>
      </c>
      <c r="X47" s="335">
        <f t="shared" si="8"/>
        <v>19</v>
      </c>
    </row>
    <row r="48" spans="2:24" ht="38.25">
      <c r="B48" s="558" t="s">
        <v>263</v>
      </c>
      <c r="C48" s="234">
        <v>3077</v>
      </c>
      <c r="D48" s="234">
        <v>825</v>
      </c>
      <c r="E48" s="234">
        <v>4389</v>
      </c>
      <c r="F48" s="555">
        <f t="shared" si="6"/>
        <v>8291</v>
      </c>
      <c r="G48" s="555"/>
      <c r="H48" s="555"/>
      <c r="I48" s="555"/>
      <c r="J48" s="555"/>
      <c r="K48" s="556">
        <f t="shared" si="7"/>
        <v>8291</v>
      </c>
      <c r="L48" s="333"/>
      <c r="M48" s="327"/>
      <c r="N48" s="327"/>
      <c r="O48" s="327"/>
      <c r="P48" s="333"/>
      <c r="Q48" s="327"/>
      <c r="R48" s="327">
        <v>8291</v>
      </c>
      <c r="S48" s="327"/>
      <c r="T48" s="327"/>
      <c r="U48" s="327"/>
      <c r="V48" s="327"/>
      <c r="W48" s="328"/>
      <c r="X48" s="335">
        <f t="shared" si="8"/>
        <v>8291</v>
      </c>
    </row>
    <row r="49" spans="2:24" ht="26.25" thickBot="1">
      <c r="B49" s="558" t="s">
        <v>264</v>
      </c>
      <c r="C49" s="234"/>
      <c r="D49" s="234"/>
      <c r="E49" s="234">
        <v>311</v>
      </c>
      <c r="F49" s="555">
        <f t="shared" si="6"/>
        <v>311</v>
      </c>
      <c r="G49" s="555"/>
      <c r="H49" s="555"/>
      <c r="I49" s="555"/>
      <c r="J49" s="555"/>
      <c r="K49" s="556">
        <f t="shared" si="7"/>
        <v>311</v>
      </c>
      <c r="L49" s="333">
        <v>381</v>
      </c>
      <c r="M49" s="327"/>
      <c r="N49" s="327"/>
      <c r="O49" s="327"/>
      <c r="P49" s="653">
        <v>100</v>
      </c>
      <c r="Q49" s="327"/>
      <c r="R49" s="327"/>
      <c r="S49" s="327"/>
      <c r="T49" s="327"/>
      <c r="U49" s="327"/>
      <c r="V49" s="327"/>
      <c r="W49" s="654">
        <v>-170</v>
      </c>
      <c r="X49" s="335">
        <f t="shared" si="8"/>
        <v>311</v>
      </c>
    </row>
    <row r="50" spans="2:24" ht="13.5" thickBot="1">
      <c r="B50" s="560" t="s">
        <v>252</v>
      </c>
      <c r="C50" s="561">
        <f>SUM(C37:C49)</f>
        <v>42326</v>
      </c>
      <c r="D50" s="561">
        <f>SUM(D37:D49)</f>
        <v>11438</v>
      </c>
      <c r="E50" s="561">
        <f aca="true" t="shared" si="9" ref="E50:J50">SUM(E37:E49)</f>
        <v>127343</v>
      </c>
      <c r="F50" s="561">
        <f>SUM(F37:F49)</f>
        <v>181107</v>
      </c>
      <c r="G50" s="561">
        <f t="shared" si="9"/>
        <v>0</v>
      </c>
      <c r="H50" s="561">
        <f t="shared" si="9"/>
        <v>0</v>
      </c>
      <c r="I50" s="561">
        <f t="shared" si="9"/>
        <v>0</v>
      </c>
      <c r="J50" s="561">
        <f t="shared" si="9"/>
        <v>0</v>
      </c>
      <c r="K50" s="562">
        <f>SUM(K37:K49)</f>
        <v>181107</v>
      </c>
      <c r="L50" s="563">
        <f>SUM(L38:L49)</f>
        <v>85768</v>
      </c>
      <c r="M50" s="561">
        <f>SUM(M38:M49)</f>
        <v>0</v>
      </c>
      <c r="N50" s="561"/>
      <c r="O50" s="561">
        <f>SUM(O38:O49)</f>
        <v>0</v>
      </c>
      <c r="P50" s="655">
        <f>SUM(P37:P49)</f>
        <v>72388</v>
      </c>
      <c r="Q50" s="656">
        <f aca="true" t="shared" si="10" ref="Q50:W50">SUM(Q37:Q49)</f>
        <v>900</v>
      </c>
      <c r="R50" s="656">
        <f t="shared" si="10"/>
        <v>20849</v>
      </c>
      <c r="S50" s="656">
        <f t="shared" si="10"/>
        <v>0</v>
      </c>
      <c r="T50" s="656">
        <f t="shared" si="10"/>
        <v>0</v>
      </c>
      <c r="U50" s="656">
        <f t="shared" si="10"/>
        <v>0</v>
      </c>
      <c r="V50" s="656">
        <f t="shared" si="10"/>
        <v>0</v>
      </c>
      <c r="W50" s="657">
        <f t="shared" si="10"/>
        <v>1202</v>
      </c>
      <c r="X50" s="652">
        <f>SUM(X37:X49)</f>
        <v>181107</v>
      </c>
    </row>
    <row r="51" spans="2:18" ht="17.25" customHeight="1" thickBot="1">
      <c r="B51" s="269">
        <f>+D51-D50</f>
        <v>0</v>
      </c>
      <c r="C51" s="269">
        <f>+4_mell!D7</f>
        <v>42326</v>
      </c>
      <c r="D51" s="269">
        <f>+4_mell!E7</f>
        <v>11438</v>
      </c>
      <c r="E51" s="233">
        <f>+4_mell!F7</f>
        <v>127343</v>
      </c>
      <c r="F51" s="269">
        <f>SUM(C50:E50)</f>
        <v>181107</v>
      </c>
      <c r="G51" s="269"/>
      <c r="H51" s="269"/>
      <c r="I51" s="269"/>
      <c r="J51" s="269"/>
      <c r="K51" s="269">
        <f>+4_mell!M7</f>
        <v>181107</v>
      </c>
      <c r="L51" s="230">
        <f>+3_mell!D5</f>
        <v>87890</v>
      </c>
      <c r="R51" s="233"/>
    </row>
    <row r="52" spans="2:11" ht="13.5" hidden="1" thickBot="1">
      <c r="B52" s="269"/>
      <c r="C52" s="269"/>
      <c r="D52" s="269"/>
      <c r="E52" s="233">
        <f>+E51-E50</f>
        <v>0</v>
      </c>
      <c r="F52" s="269"/>
      <c r="G52" s="269"/>
      <c r="H52" s="269"/>
      <c r="I52" s="269"/>
      <c r="J52" s="269"/>
      <c r="K52" s="269"/>
    </row>
    <row r="53" spans="2:24" ht="13.5" thickBot="1">
      <c r="B53" s="272" t="s">
        <v>296</v>
      </c>
      <c r="C53" s="697" t="s">
        <v>174</v>
      </c>
      <c r="D53" s="695"/>
      <c r="E53" s="695"/>
      <c r="F53" s="695"/>
      <c r="G53" s="695"/>
      <c r="H53" s="695"/>
      <c r="I53" s="695"/>
      <c r="J53" s="695"/>
      <c r="K53" s="696"/>
      <c r="L53" s="695" t="s">
        <v>297</v>
      </c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6"/>
    </row>
    <row r="54" spans="2:24" ht="13.5" thickBot="1">
      <c r="B54" s="343"/>
      <c r="C54" s="341"/>
      <c r="D54" s="342"/>
      <c r="E54" s="342"/>
      <c r="F54" s="342"/>
      <c r="G54" s="342"/>
      <c r="H54" s="342"/>
      <c r="I54" s="342"/>
      <c r="J54" s="342"/>
      <c r="K54" s="384"/>
      <c r="L54" s="342"/>
      <c r="M54" s="342"/>
      <c r="N54" s="544"/>
      <c r="O54" s="327"/>
      <c r="P54" s="698" t="s">
        <v>281</v>
      </c>
      <c r="Q54" s="699"/>
      <c r="R54" s="699"/>
      <c r="S54" s="699"/>
      <c r="T54" s="699"/>
      <c r="U54" s="699"/>
      <c r="V54" s="699"/>
      <c r="W54" s="700"/>
      <c r="X54" s="357"/>
    </row>
    <row r="55" spans="2:24" s="266" customFormat="1" ht="77.25" thickBot="1">
      <c r="B55" s="564" t="s">
        <v>72</v>
      </c>
      <c r="C55" s="549" t="s">
        <v>56</v>
      </c>
      <c r="D55" s="547" t="s">
        <v>234</v>
      </c>
      <c r="E55" s="547" t="s">
        <v>235</v>
      </c>
      <c r="F55" s="547" t="s">
        <v>61</v>
      </c>
      <c r="G55" s="329" t="s">
        <v>277</v>
      </c>
      <c r="H55" s="329" t="s">
        <v>278</v>
      </c>
      <c r="I55" s="329" t="s">
        <v>62</v>
      </c>
      <c r="J55" s="329" t="s">
        <v>9</v>
      </c>
      <c r="K55" s="565" t="s">
        <v>279</v>
      </c>
      <c r="L55" s="547" t="s">
        <v>250</v>
      </c>
      <c r="M55" s="547" t="s">
        <v>249</v>
      </c>
      <c r="N55" s="329" t="s">
        <v>487</v>
      </c>
      <c r="O55" s="329" t="s">
        <v>248</v>
      </c>
      <c r="P55" s="549" t="s">
        <v>265</v>
      </c>
      <c r="Q55" s="331" t="s">
        <v>289</v>
      </c>
      <c r="R55" s="330" t="s">
        <v>290</v>
      </c>
      <c r="S55" s="331" t="s">
        <v>291</v>
      </c>
      <c r="T55" s="330" t="s">
        <v>293</v>
      </c>
      <c r="U55" s="331" t="s">
        <v>294</v>
      </c>
      <c r="V55" s="356" t="s">
        <v>513</v>
      </c>
      <c r="W55" s="369" t="s">
        <v>292</v>
      </c>
      <c r="X55" s="344" t="s">
        <v>295</v>
      </c>
    </row>
    <row r="56" spans="2:24" ht="12.75">
      <c r="B56" s="388"/>
      <c r="C56" s="385"/>
      <c r="D56" s="378"/>
      <c r="E56" s="566"/>
      <c r="F56" s="378"/>
      <c r="G56" s="378"/>
      <c r="H56" s="378"/>
      <c r="I56" s="378"/>
      <c r="J56" s="378"/>
      <c r="K56" s="379"/>
      <c r="L56" s="327"/>
      <c r="M56" s="327"/>
      <c r="N56" s="327"/>
      <c r="O56" s="327"/>
      <c r="P56" s="333"/>
      <c r="Q56" s="327"/>
      <c r="R56" s="327"/>
      <c r="S56" s="327"/>
      <c r="T56" s="327"/>
      <c r="U56" s="327"/>
      <c r="V56" s="327"/>
      <c r="W56" s="328"/>
      <c r="X56" s="386"/>
    </row>
    <row r="57" spans="2:24" ht="12.75">
      <c r="B57" s="345"/>
      <c r="C57" s="549"/>
      <c r="D57" s="547"/>
      <c r="E57" s="547"/>
      <c r="F57" s="547"/>
      <c r="G57" s="329"/>
      <c r="H57" s="329"/>
      <c r="I57" s="329"/>
      <c r="J57" s="329"/>
      <c r="K57" s="565"/>
      <c r="L57" s="547"/>
      <c r="M57" s="547"/>
      <c r="N57" s="547"/>
      <c r="O57" s="329"/>
      <c r="P57" s="549"/>
      <c r="Q57" s="330"/>
      <c r="R57" s="330"/>
      <c r="S57" s="330"/>
      <c r="T57" s="330"/>
      <c r="U57" s="330"/>
      <c r="V57" s="330"/>
      <c r="W57" s="369"/>
      <c r="X57" s="386"/>
    </row>
    <row r="58" spans="2:24" ht="25.5">
      <c r="B58" s="558" t="s">
        <v>274</v>
      </c>
      <c r="C58" s="567">
        <f>+4_mell!D31</f>
        <v>105191</v>
      </c>
      <c r="D58" s="566">
        <f>+4_mell!E31</f>
        <v>28150</v>
      </c>
      <c r="E58" s="566">
        <f>+4_mell!F31</f>
        <v>35531</v>
      </c>
      <c r="F58" s="566">
        <f>SUM(C58:E58)</f>
        <v>168872</v>
      </c>
      <c r="G58" s="566"/>
      <c r="H58" s="566"/>
      <c r="J58" s="566"/>
      <c r="K58" s="568">
        <f>SUM(F58:J58)</f>
        <v>168872</v>
      </c>
      <c r="L58" s="566">
        <f>+3_mell!D27</f>
        <v>2100</v>
      </c>
      <c r="M58" s="327"/>
      <c r="N58" s="327"/>
      <c r="O58" s="334">
        <f>+3_mell!F28</f>
        <v>973</v>
      </c>
      <c r="P58" s="365">
        <f>93478+279+151+41</f>
        <v>93949</v>
      </c>
      <c r="Q58" s="334">
        <v>4272</v>
      </c>
      <c r="R58" s="334">
        <f>67857-279</f>
        <v>67578</v>
      </c>
      <c r="S58" s="334"/>
      <c r="T58" s="327"/>
      <c r="U58" s="327"/>
      <c r="V58" s="327"/>
      <c r="W58" s="389"/>
      <c r="X58" s="387">
        <f>SUM(L58:W58)</f>
        <v>168872</v>
      </c>
    </row>
    <row r="59" spans="2:24" ht="12.75">
      <c r="B59" s="558" t="s">
        <v>283</v>
      </c>
      <c r="C59" s="567"/>
      <c r="D59" s="566"/>
      <c r="E59" s="566"/>
      <c r="F59" s="566">
        <f>SUM(C59:E59)</f>
        <v>0</v>
      </c>
      <c r="G59" s="566"/>
      <c r="H59" s="566"/>
      <c r="I59" s="566">
        <f>+4_mell!I31</f>
        <v>113225</v>
      </c>
      <c r="J59" s="566"/>
      <c r="K59" s="568">
        <f>SUM(F59:J59)</f>
        <v>113225</v>
      </c>
      <c r="L59" s="566"/>
      <c r="M59" s="327"/>
      <c r="N59" s="327"/>
      <c r="O59" s="334">
        <v>0</v>
      </c>
      <c r="P59" s="365">
        <v>36760</v>
      </c>
      <c r="Q59" s="334"/>
      <c r="R59" s="334"/>
      <c r="S59" s="334"/>
      <c r="T59" s="327"/>
      <c r="U59" s="327"/>
      <c r="V59" s="327"/>
      <c r="W59" s="328">
        <v>76465</v>
      </c>
      <c r="X59" s="387">
        <f>SUM(L59:W59)</f>
        <v>113225</v>
      </c>
    </row>
    <row r="60" spans="2:24" s="267" customFormat="1" ht="12.75">
      <c r="B60" s="388" t="s">
        <v>280</v>
      </c>
      <c r="C60" s="385">
        <f>SUM(C58:C59)</f>
        <v>105191</v>
      </c>
      <c r="D60" s="378">
        <f aca="true" t="shared" si="11" ref="D60:K60">SUM(D58:D59)</f>
        <v>28150</v>
      </c>
      <c r="E60" s="378">
        <f t="shared" si="11"/>
        <v>35531</v>
      </c>
      <c r="F60" s="378">
        <f t="shared" si="11"/>
        <v>168872</v>
      </c>
      <c r="G60" s="378">
        <f t="shared" si="11"/>
        <v>0</v>
      </c>
      <c r="H60" s="378">
        <f t="shared" si="11"/>
        <v>0</v>
      </c>
      <c r="I60" s="378">
        <f>SUM(I59:I59)</f>
        <v>113225</v>
      </c>
      <c r="J60" s="378">
        <f t="shared" si="11"/>
        <v>0</v>
      </c>
      <c r="K60" s="379">
        <f t="shared" si="11"/>
        <v>282097</v>
      </c>
      <c r="L60" s="378">
        <f>SUM(L58:L59)</f>
        <v>2100</v>
      </c>
      <c r="M60" s="378">
        <f aca="true" t="shared" si="12" ref="M60:X60">SUM(M58:M59)</f>
        <v>0</v>
      </c>
      <c r="N60" s="378"/>
      <c r="O60" s="378">
        <f t="shared" si="12"/>
        <v>973</v>
      </c>
      <c r="P60" s="385">
        <f t="shared" si="12"/>
        <v>130709</v>
      </c>
      <c r="Q60" s="378">
        <f t="shared" si="12"/>
        <v>4272</v>
      </c>
      <c r="R60" s="378">
        <f t="shared" si="12"/>
        <v>67578</v>
      </c>
      <c r="S60" s="378">
        <f t="shared" si="12"/>
        <v>0</v>
      </c>
      <c r="T60" s="378">
        <f t="shared" si="12"/>
        <v>0</v>
      </c>
      <c r="U60" s="378">
        <f t="shared" si="12"/>
        <v>0</v>
      </c>
      <c r="V60" s="378"/>
      <c r="W60" s="379">
        <f t="shared" si="12"/>
        <v>76465</v>
      </c>
      <c r="X60" s="388">
        <f t="shared" si="12"/>
        <v>282097</v>
      </c>
    </row>
    <row r="61" spans="2:24" s="267" customFormat="1" ht="12.75">
      <c r="B61" s="388"/>
      <c r="C61" s="385">
        <f>+4_mell!D31</f>
        <v>105191</v>
      </c>
      <c r="D61" s="378">
        <f>+4_mell!E31</f>
        <v>28150</v>
      </c>
      <c r="E61" s="378">
        <f>+4_mell!F31</f>
        <v>35531</v>
      </c>
      <c r="F61" s="378">
        <f>SUM(C61:E61)</f>
        <v>168872</v>
      </c>
      <c r="G61" s="378"/>
      <c r="H61" s="378"/>
      <c r="I61" s="378">
        <f>+4_mell!I31</f>
        <v>113225</v>
      </c>
      <c r="J61" s="378"/>
      <c r="K61" s="379">
        <f>+4_mell!M31</f>
        <v>282097</v>
      </c>
      <c r="L61" s="378">
        <f>+3_mell!D27</f>
        <v>2100</v>
      </c>
      <c r="M61" s="378"/>
      <c r="N61" s="378"/>
      <c r="O61" s="378">
        <f>+3_mell!F28</f>
        <v>973</v>
      </c>
      <c r="P61" s="385"/>
      <c r="Q61" s="378"/>
      <c r="R61" s="378"/>
      <c r="S61" s="378"/>
      <c r="T61" s="378"/>
      <c r="U61" s="378"/>
      <c r="V61" s="378"/>
      <c r="W61" s="379"/>
      <c r="X61" s="358"/>
    </row>
    <row r="62" spans="2:24" s="267" customFormat="1" ht="12.75">
      <c r="B62" s="358"/>
      <c r="C62" s="385"/>
      <c r="D62" s="378"/>
      <c r="E62" s="378"/>
      <c r="F62" s="378"/>
      <c r="G62" s="378"/>
      <c r="H62" s="378"/>
      <c r="I62" s="378"/>
      <c r="J62" s="378"/>
      <c r="K62" s="379"/>
      <c r="L62" s="378"/>
      <c r="M62" s="378"/>
      <c r="N62" s="378"/>
      <c r="O62" s="378"/>
      <c r="P62" s="385"/>
      <c r="Q62" s="378"/>
      <c r="R62" s="378"/>
      <c r="S62" s="378"/>
      <c r="T62" s="378"/>
      <c r="U62" s="378"/>
      <c r="V62" s="378"/>
      <c r="W62" s="379"/>
      <c r="X62" s="358"/>
    </row>
    <row r="63" spans="2:24" ht="25.5">
      <c r="B63" s="564" t="s">
        <v>41</v>
      </c>
      <c r="C63" s="549"/>
      <c r="D63" s="547"/>
      <c r="E63" s="547"/>
      <c r="F63" s="547"/>
      <c r="G63" s="329"/>
      <c r="H63" s="329"/>
      <c r="I63" s="329"/>
      <c r="J63" s="329"/>
      <c r="K63" s="565"/>
      <c r="L63" s="547"/>
      <c r="M63" s="547"/>
      <c r="N63" s="547"/>
      <c r="O63" s="329"/>
      <c r="P63" s="549"/>
      <c r="Q63" s="330"/>
      <c r="R63" s="330"/>
      <c r="S63" s="330"/>
      <c r="T63" s="330"/>
      <c r="U63" s="330"/>
      <c r="V63" s="330"/>
      <c r="W63" s="369"/>
      <c r="X63" s="386"/>
    </row>
    <row r="64" spans="2:24" ht="25.5">
      <c r="B64" s="383" t="s">
        <v>41</v>
      </c>
      <c r="C64" s="333">
        <v>1620</v>
      </c>
      <c r="D64" s="327">
        <v>394</v>
      </c>
      <c r="E64" s="334">
        <f>+9_mell!F13+9_mell!F14+9_mell!F15</f>
        <v>12517</v>
      </c>
      <c r="F64" s="381">
        <f>SUM(C64:E64)</f>
        <v>14531</v>
      </c>
      <c r="G64" s="235">
        <f>+4_mell!H21</f>
        <v>26169</v>
      </c>
      <c r="H64" s="235">
        <f>+4_mell!K21</f>
        <v>3000</v>
      </c>
      <c r="I64" s="235">
        <f>+4_mell!I21</f>
        <v>5114</v>
      </c>
      <c r="J64" s="235">
        <f>+4_mell!L22-6094</f>
        <v>61190</v>
      </c>
      <c r="K64" s="377">
        <f>SUM(F64:J64)</f>
        <v>110004</v>
      </c>
      <c r="L64" s="327">
        <f>+3_mell!D22</f>
        <v>500</v>
      </c>
      <c r="M64" s="327"/>
      <c r="N64" s="334">
        <f>+1_mell!F43</f>
        <v>26212</v>
      </c>
      <c r="O64" s="334">
        <f>+3_mell!F22-5100-24129</f>
        <v>88615</v>
      </c>
      <c r="P64" s="365">
        <v>24129</v>
      </c>
      <c r="Q64" s="334">
        <f>+8_mell!C18-8_mell!C7-4272-900</f>
        <v>46278</v>
      </c>
      <c r="R64" s="334">
        <f>1810-826-700+301</f>
        <v>585</v>
      </c>
      <c r="S64" s="334"/>
      <c r="T64" s="327"/>
      <c r="U64" s="327">
        <v>150</v>
      </c>
      <c r="V64" s="327"/>
      <c r="W64" s="328">
        <v>-76465</v>
      </c>
      <c r="X64" s="387">
        <f>SUM(L64:W64)</f>
        <v>110004</v>
      </c>
    </row>
    <row r="65" spans="2:24" ht="12.75">
      <c r="B65" s="345" t="s">
        <v>275</v>
      </c>
      <c r="C65" s="333">
        <f>1412+11</f>
        <v>1423</v>
      </c>
      <c r="D65" s="327">
        <f>381+2</f>
        <v>383</v>
      </c>
      <c r="E65" s="327">
        <v>2105</v>
      </c>
      <c r="F65" s="381">
        <f>SUM(C65:E65)</f>
        <v>3911</v>
      </c>
      <c r="G65" s="381"/>
      <c r="H65" s="381"/>
      <c r="I65" s="381"/>
      <c r="J65" s="381"/>
      <c r="K65" s="377">
        <f>SUM(F65:J65)</f>
        <v>3911</v>
      </c>
      <c r="L65" s="327"/>
      <c r="M65" s="327"/>
      <c r="N65" s="327"/>
      <c r="O65" s="334">
        <f>+1_mell!E34+1_mell!E35</f>
        <v>5100</v>
      </c>
      <c r="P65" s="333">
        <v>13</v>
      </c>
      <c r="Q65" s="327"/>
      <c r="R65" s="327"/>
      <c r="S65" s="327"/>
      <c r="T65" s="327"/>
      <c r="U65" s="327"/>
      <c r="V65" s="327"/>
      <c r="W65" s="328">
        <v>-1202</v>
      </c>
      <c r="X65" s="387">
        <f>SUM(L65:W65)</f>
        <v>3911</v>
      </c>
    </row>
    <row r="66" spans="2:24" ht="25.5">
      <c r="B66" s="383" t="s">
        <v>276</v>
      </c>
      <c r="C66" s="333"/>
      <c r="D66" s="327"/>
      <c r="E66" s="327">
        <v>507</v>
      </c>
      <c r="F66" s="381">
        <f>SUM(C66:E66)</f>
        <v>507</v>
      </c>
      <c r="G66" s="381"/>
      <c r="H66" s="381"/>
      <c r="I66" s="381"/>
      <c r="J66" s="381"/>
      <c r="K66" s="377">
        <f>SUM(F66:J66)</f>
        <v>507</v>
      </c>
      <c r="L66" s="327"/>
      <c r="M66" s="327"/>
      <c r="N66" s="327"/>
      <c r="O66" s="327"/>
      <c r="P66" s="333"/>
      <c r="Q66" s="327"/>
      <c r="R66" s="327"/>
      <c r="S66" s="327"/>
      <c r="T66" s="327">
        <v>507</v>
      </c>
      <c r="U66" s="327"/>
      <c r="V66" s="327"/>
      <c r="W66" s="328"/>
      <c r="X66" s="387">
        <f>SUM(L66:W66)</f>
        <v>507</v>
      </c>
    </row>
    <row r="67" spans="2:24" ht="12.75">
      <c r="B67" s="383" t="s">
        <v>493</v>
      </c>
      <c r="C67" s="333">
        <v>33371</v>
      </c>
      <c r="D67" s="327">
        <v>4505</v>
      </c>
      <c r="E67" s="327">
        <v>1440</v>
      </c>
      <c r="F67" s="381">
        <f>SUM(C67:E67)</f>
        <v>39316</v>
      </c>
      <c r="G67" s="381"/>
      <c r="H67" s="381"/>
      <c r="I67" s="381"/>
      <c r="J67" s="381">
        <v>6094</v>
      </c>
      <c r="K67" s="377">
        <f>SUM(F67:J67)</f>
        <v>45410</v>
      </c>
      <c r="L67" s="327"/>
      <c r="M67" s="327"/>
      <c r="N67" s="334">
        <f>+1_mell!F44</f>
        <v>6094</v>
      </c>
      <c r="O67" s="334">
        <f>+1_mell!F39</f>
        <v>39316</v>
      </c>
      <c r="P67" s="333"/>
      <c r="Q67" s="327"/>
      <c r="R67" s="327"/>
      <c r="S67" s="327"/>
      <c r="T67" s="327"/>
      <c r="U67" s="327"/>
      <c r="V67" s="327"/>
      <c r="W67" s="328"/>
      <c r="X67" s="387">
        <f>SUM(L67:W67)</f>
        <v>45410</v>
      </c>
    </row>
    <row r="68" spans="2:24" s="267" customFormat="1" ht="12.75">
      <c r="B68" s="388" t="s">
        <v>280</v>
      </c>
      <c r="C68" s="658">
        <f>SUM(C64:C67)</f>
        <v>36414</v>
      </c>
      <c r="D68" s="659">
        <f aca="true" t="shared" si="13" ref="D68:I68">SUM(D64:D67)</f>
        <v>5282</v>
      </c>
      <c r="E68" s="659">
        <f t="shared" si="13"/>
        <v>16569</v>
      </c>
      <c r="F68" s="659">
        <f t="shared" si="13"/>
        <v>58265</v>
      </c>
      <c r="G68" s="659">
        <f t="shared" si="13"/>
        <v>26169</v>
      </c>
      <c r="H68" s="659">
        <f t="shared" si="13"/>
        <v>3000</v>
      </c>
      <c r="I68" s="659">
        <f t="shared" si="13"/>
        <v>5114</v>
      </c>
      <c r="J68" s="648">
        <f>SUM(J64:J67)</f>
        <v>67284</v>
      </c>
      <c r="K68" s="332">
        <f>SUM(K64:K67)</f>
        <v>159832</v>
      </c>
      <c r="L68" s="382">
        <f>SUM(L64:L67)</f>
        <v>500</v>
      </c>
      <c r="M68" s="382">
        <f>SUM(M64:M66)</f>
        <v>0</v>
      </c>
      <c r="N68" s="337">
        <f>SUM(N64:N67)</f>
        <v>32306</v>
      </c>
      <c r="O68" s="337">
        <f>SUM(O64:O67)</f>
        <v>133031</v>
      </c>
      <c r="P68" s="380">
        <f aca="true" t="shared" si="14" ref="P68:X68">SUM(P64:P66)</f>
        <v>24142</v>
      </c>
      <c r="Q68" s="337">
        <f t="shared" si="14"/>
        <v>46278</v>
      </c>
      <c r="R68" s="337">
        <f t="shared" si="14"/>
        <v>585</v>
      </c>
      <c r="S68" s="337">
        <f t="shared" si="14"/>
        <v>0</v>
      </c>
      <c r="T68" s="337">
        <f t="shared" si="14"/>
        <v>507</v>
      </c>
      <c r="U68" s="337">
        <f>SUM(U64:U66)</f>
        <v>150</v>
      </c>
      <c r="V68" s="337">
        <f>SUM(V64:V66)</f>
        <v>0</v>
      </c>
      <c r="W68" s="338">
        <f t="shared" si="14"/>
        <v>-77667</v>
      </c>
      <c r="X68" s="350">
        <f t="shared" si="14"/>
        <v>114422</v>
      </c>
    </row>
    <row r="69" spans="2:24" ht="12.75">
      <c r="B69" s="345"/>
      <c r="C69" s="660">
        <f>+4_mell!D22</f>
        <v>36414</v>
      </c>
      <c r="D69" s="661">
        <f>+4_mell!E22</f>
        <v>5282</v>
      </c>
      <c r="E69" s="661">
        <f>+4_mell!F22</f>
        <v>16569</v>
      </c>
      <c r="F69" s="381">
        <f>SUM(C69:E69)</f>
        <v>58265</v>
      </c>
      <c r="G69" s="334">
        <f>+4_mell!H21</f>
        <v>26169</v>
      </c>
      <c r="H69" s="334">
        <f>+4_mell!K21</f>
        <v>3000</v>
      </c>
      <c r="I69" s="334">
        <f>+4_mell!I21</f>
        <v>5114</v>
      </c>
      <c r="J69" s="334">
        <f>+4_mell!L22</f>
        <v>67284</v>
      </c>
      <c r="K69" s="328">
        <f>+4_mell!M21</f>
        <v>89097</v>
      </c>
      <c r="L69" s="327"/>
      <c r="M69" s="327"/>
      <c r="N69" s="327"/>
      <c r="O69" s="334">
        <f>+1_mell!F31</f>
        <v>166504</v>
      </c>
      <c r="P69" s="333"/>
      <c r="Q69" s="327"/>
      <c r="R69" s="327"/>
      <c r="S69" s="327"/>
      <c r="T69" s="327"/>
      <c r="U69" s="327"/>
      <c r="V69" s="327"/>
      <c r="W69" s="328"/>
      <c r="X69" s="386"/>
    </row>
    <row r="70" spans="2:24" ht="13.5" thickBot="1">
      <c r="B70" s="345"/>
      <c r="C70" s="333"/>
      <c r="D70" s="327"/>
      <c r="E70" s="327"/>
      <c r="F70" s="327"/>
      <c r="G70" s="327"/>
      <c r="H70" s="327"/>
      <c r="I70" s="327"/>
      <c r="J70" s="327"/>
      <c r="K70" s="328"/>
      <c r="L70" s="327"/>
      <c r="M70" s="327"/>
      <c r="N70" s="327"/>
      <c r="O70" s="327"/>
      <c r="P70" s="333"/>
      <c r="Q70" s="327"/>
      <c r="R70" s="327"/>
      <c r="S70" s="327"/>
      <c r="T70" s="327"/>
      <c r="U70" s="327"/>
      <c r="V70" s="327"/>
      <c r="W70" s="328"/>
      <c r="X70" s="386"/>
    </row>
    <row r="71" spans="2:24" s="268" customFormat="1" ht="13.5" thickBot="1">
      <c r="B71" s="570" t="s">
        <v>96</v>
      </c>
      <c r="C71" s="571">
        <f aca="true" t="shared" si="15" ref="C71:W71">+C68+C60+C50+C22+C31</f>
        <v>260542</v>
      </c>
      <c r="D71" s="572">
        <f t="shared" si="15"/>
        <v>65392</v>
      </c>
      <c r="E71" s="572">
        <f t="shared" si="15"/>
        <v>230985</v>
      </c>
      <c r="F71" s="572">
        <f>+F68+F60+F50+F22+F31</f>
        <v>556919</v>
      </c>
      <c r="G71" s="572">
        <f t="shared" si="15"/>
        <v>26169</v>
      </c>
      <c r="H71" s="572">
        <f t="shared" si="15"/>
        <v>3000</v>
      </c>
      <c r="I71" s="572">
        <f t="shared" si="15"/>
        <v>118339</v>
      </c>
      <c r="J71" s="572">
        <f t="shared" si="15"/>
        <v>67284</v>
      </c>
      <c r="K71" s="573">
        <f t="shared" si="15"/>
        <v>771711</v>
      </c>
      <c r="L71" s="572">
        <f t="shared" si="15"/>
        <v>99471</v>
      </c>
      <c r="M71" s="572">
        <f t="shared" si="15"/>
        <v>32500</v>
      </c>
      <c r="N71" s="572">
        <f t="shared" si="15"/>
        <v>32306</v>
      </c>
      <c r="O71" s="572">
        <f t="shared" si="15"/>
        <v>134004</v>
      </c>
      <c r="P71" s="571">
        <f t="shared" si="15"/>
        <v>266588</v>
      </c>
      <c r="Q71" s="572">
        <f t="shared" si="15"/>
        <v>51450</v>
      </c>
      <c r="R71" s="572">
        <f t="shared" si="15"/>
        <v>145278</v>
      </c>
      <c r="S71" s="572">
        <f t="shared" si="15"/>
        <v>0</v>
      </c>
      <c r="T71" s="572">
        <f t="shared" si="15"/>
        <v>9964</v>
      </c>
      <c r="U71" s="572">
        <f t="shared" si="15"/>
        <v>150</v>
      </c>
      <c r="V71" s="572">
        <f t="shared" si="15"/>
        <v>0</v>
      </c>
      <c r="W71" s="573">
        <f t="shared" si="15"/>
        <v>0</v>
      </c>
      <c r="X71" s="390">
        <f>SUM(L71:W71)</f>
        <v>771711</v>
      </c>
    </row>
  </sheetData>
  <sheetProtection/>
  <mergeCells count="9">
    <mergeCell ref="P35:W35"/>
    <mergeCell ref="C53:K53"/>
    <mergeCell ref="L53:X53"/>
    <mergeCell ref="P54:W54"/>
    <mergeCell ref="P5:W5"/>
    <mergeCell ref="C4:K4"/>
    <mergeCell ref="L4:X4"/>
    <mergeCell ref="C34:K34"/>
    <mergeCell ref="L34:X3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65" r:id="rId1"/>
  <headerFooter alignWithMargins="0">
    <oddHeader>&amp;L12. melléklet a 2014. évi 6/2014.(III.28.) Önkormányzati költségvetési rendelethez&amp;R&amp;D</oddHeader>
    <oddFooter>&amp;R&amp;F</oddFooter>
  </headerFooter>
  <rowBreaks count="2" manualBreakCount="2">
    <brk id="33" max="21" man="1"/>
    <brk id="52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75" zoomScaleSheetLayoutView="75" zoomScalePageLayoutView="0" workbookViewId="0" topLeftCell="A40">
      <selection activeCell="M63" sqref="M63"/>
    </sheetView>
  </sheetViews>
  <sheetFormatPr defaultColWidth="9.140625" defaultRowHeight="12.75"/>
  <cols>
    <col min="1" max="1" width="3.57421875" style="50" customWidth="1"/>
    <col min="2" max="2" width="23.7109375" style="50" customWidth="1"/>
    <col min="3" max="3" width="9.140625" style="50" customWidth="1"/>
    <col min="4" max="4" width="11.28125" style="50" bestFit="1" customWidth="1"/>
    <col min="5" max="5" width="10.28125" style="50" bestFit="1" customWidth="1"/>
    <col min="6" max="6" width="10.8515625" style="50" customWidth="1"/>
    <col min="7" max="7" width="12.7109375" style="49" customWidth="1"/>
    <col min="8" max="8" width="10.57421875" style="49" customWidth="1"/>
    <col min="9" max="16384" width="9.140625" style="50" customWidth="1"/>
  </cols>
  <sheetData>
    <row r="1" spans="1:9" ht="12.75">
      <c r="A1" s="436" t="s">
        <v>233</v>
      </c>
      <c r="I1" s="569"/>
    </row>
    <row r="2" spans="1:9" ht="12.75">
      <c r="A2" s="436" t="s">
        <v>428</v>
      </c>
      <c r="I2" s="569"/>
    </row>
    <row r="3" ht="12.75">
      <c r="I3" s="569"/>
    </row>
    <row r="4" spans="1:12" ht="12.75">
      <c r="A4" s="136"/>
      <c r="B4" s="137"/>
      <c r="C4" s="138"/>
      <c r="D4" s="702" t="s">
        <v>429</v>
      </c>
      <c r="E4" s="702"/>
      <c r="F4" s="138"/>
      <c r="G4" s="172"/>
      <c r="H4" s="172"/>
      <c r="I4" s="569"/>
      <c r="J4" s="139"/>
      <c r="K4" s="139"/>
      <c r="L4" s="139"/>
    </row>
    <row r="5" spans="1:12" ht="12.75">
      <c r="A5" s="136"/>
      <c r="B5" s="137"/>
      <c r="C5" s="138"/>
      <c r="E5" s="138"/>
      <c r="F5" s="138"/>
      <c r="G5" s="172"/>
      <c r="H5" s="172"/>
      <c r="I5" s="569"/>
      <c r="J5" s="139"/>
      <c r="K5" s="139"/>
      <c r="L5" s="139"/>
    </row>
    <row r="6" spans="1:12" ht="15">
      <c r="A6" s="139"/>
      <c r="B6" s="139"/>
      <c r="C6" s="703" t="s">
        <v>175</v>
      </c>
      <c r="D6" s="703"/>
      <c r="E6" s="703"/>
      <c r="F6" s="703"/>
      <c r="G6" s="490"/>
      <c r="H6" s="491"/>
      <c r="I6" s="569"/>
      <c r="J6" s="139"/>
      <c r="K6" s="139"/>
      <c r="L6" s="139"/>
    </row>
    <row r="7" spans="1:12" ht="12.75">
      <c r="A7" s="140"/>
      <c r="B7" s="140"/>
      <c r="C7" s="140"/>
      <c r="D7" s="140"/>
      <c r="E7" s="140"/>
      <c r="F7" s="140"/>
      <c r="G7" s="491"/>
      <c r="H7" s="491"/>
      <c r="I7" s="569"/>
      <c r="J7" s="139"/>
      <c r="K7" s="139"/>
      <c r="L7" s="139"/>
    </row>
    <row r="8" spans="1:12" ht="15">
      <c r="A8" s="174" t="s">
        <v>176</v>
      </c>
      <c r="B8" s="140"/>
      <c r="C8" s="140"/>
      <c r="D8" s="140"/>
      <c r="E8" s="140"/>
      <c r="F8" s="140"/>
      <c r="G8" s="491"/>
      <c r="H8" s="491"/>
      <c r="I8" s="569"/>
      <c r="J8" s="139"/>
      <c r="K8" s="139"/>
      <c r="L8" s="139"/>
    </row>
    <row r="9" spans="1:12" ht="18.75" customHeight="1">
      <c r="A9" s="140"/>
      <c r="B9" s="140" t="s">
        <v>3</v>
      </c>
      <c r="C9" s="140"/>
      <c r="D9" s="140"/>
      <c r="E9" s="140"/>
      <c r="F9" s="140"/>
      <c r="G9" s="491">
        <v>8000000</v>
      </c>
      <c r="H9" s="491"/>
      <c r="I9" s="569"/>
      <c r="J9" s="139"/>
      <c r="K9" s="139"/>
      <c r="L9" s="139"/>
    </row>
    <row r="10" spans="1:14" ht="12" customHeight="1" thickBot="1">
      <c r="A10" s="140"/>
      <c r="B10" s="140"/>
      <c r="C10" s="140"/>
      <c r="D10" s="140"/>
      <c r="E10" s="140"/>
      <c r="F10" s="140"/>
      <c r="G10" s="491"/>
      <c r="H10" s="491"/>
      <c r="I10" s="569"/>
      <c r="J10" s="569"/>
      <c r="K10" s="569"/>
      <c r="L10" s="569"/>
      <c r="M10" s="391"/>
      <c r="N10" s="391"/>
    </row>
    <row r="11" spans="1:14" ht="15.75" thickBot="1">
      <c r="A11" s="161" t="s">
        <v>149</v>
      </c>
      <c r="B11" s="178"/>
      <c r="C11" s="178"/>
      <c r="D11" s="178"/>
      <c r="E11" s="178"/>
      <c r="F11" s="178"/>
      <c r="G11" s="492">
        <f>SUM(G8:G10)</f>
        <v>8000000</v>
      </c>
      <c r="H11" s="493">
        <f>G11/1000</f>
        <v>8000</v>
      </c>
      <c r="I11" s="569"/>
      <c r="J11" s="569"/>
      <c r="K11" s="569"/>
      <c r="L11" s="569"/>
      <c r="M11" s="391"/>
      <c r="N11" s="391"/>
    </row>
    <row r="12" spans="1:14" ht="12.75">
      <c r="A12" s="144"/>
      <c r="B12" s="144"/>
      <c r="C12" s="144"/>
      <c r="D12" s="144"/>
      <c r="E12" s="144"/>
      <c r="F12" s="144"/>
      <c r="G12" s="494"/>
      <c r="H12" s="494"/>
      <c r="I12" s="569"/>
      <c r="J12" s="569"/>
      <c r="K12" s="569"/>
      <c r="L12" s="569"/>
      <c r="M12" s="391"/>
      <c r="N12" s="391"/>
    </row>
    <row r="13" spans="1:14" ht="15">
      <c r="A13" s="495" t="s">
        <v>177</v>
      </c>
      <c r="B13" s="495"/>
      <c r="C13" s="145"/>
      <c r="D13" s="145"/>
      <c r="E13" s="145"/>
      <c r="F13" s="145"/>
      <c r="G13" s="148"/>
      <c r="H13" s="148"/>
      <c r="I13" s="569"/>
      <c r="J13" s="569"/>
      <c r="K13" s="569"/>
      <c r="L13" s="569"/>
      <c r="M13" s="391"/>
      <c r="N13" s="391"/>
    </row>
    <row r="14" spans="1:14" ht="14.25">
      <c r="A14" s="145"/>
      <c r="B14" s="145"/>
      <c r="C14" s="145"/>
      <c r="D14" s="145"/>
      <c r="E14" s="145"/>
      <c r="F14" s="145"/>
      <c r="G14" s="148"/>
      <c r="H14" s="148"/>
      <c r="I14" s="569"/>
      <c r="J14" s="569"/>
      <c r="K14" s="569"/>
      <c r="L14" s="569"/>
      <c r="M14" s="391"/>
      <c r="N14" s="391"/>
    </row>
    <row r="15" spans="2:14" ht="15">
      <c r="B15" s="146" t="s">
        <v>178</v>
      </c>
      <c r="C15" s="145"/>
      <c r="D15" s="145"/>
      <c r="E15" s="145"/>
      <c r="F15" s="145"/>
      <c r="G15" s="149">
        <f>SUM(F17:F19)</f>
        <v>3085200</v>
      </c>
      <c r="H15" s="149">
        <f>G15/1000</f>
        <v>3085.2</v>
      </c>
      <c r="I15" s="569"/>
      <c r="J15" s="569"/>
      <c r="K15" s="569"/>
      <c r="L15" s="569"/>
      <c r="M15" s="391"/>
      <c r="N15" s="391"/>
    </row>
    <row r="16" spans="1:14" ht="18" customHeight="1">
      <c r="A16" s="147"/>
      <c r="B16" s="145" t="s">
        <v>179</v>
      </c>
      <c r="C16" s="145"/>
      <c r="D16" s="145"/>
      <c r="E16" s="145"/>
      <c r="F16" s="148"/>
      <c r="I16" s="569"/>
      <c r="J16" s="569"/>
      <c r="K16" s="569"/>
      <c r="L16" s="569"/>
      <c r="M16" s="391"/>
      <c r="N16" s="391"/>
    </row>
    <row r="17" spans="1:14" ht="14.25">
      <c r="A17" s="145"/>
      <c r="B17" s="701" t="s">
        <v>430</v>
      </c>
      <c r="C17" s="701"/>
      <c r="D17" s="148">
        <f>97000+33800+93900+32400</f>
        <v>257100</v>
      </c>
      <c r="E17" s="145" t="s">
        <v>180</v>
      </c>
      <c r="F17" s="148">
        <f>D17*1</f>
        <v>257100</v>
      </c>
      <c r="G17" s="150"/>
      <c r="H17" s="148"/>
      <c r="I17" s="569"/>
      <c r="J17" s="569"/>
      <c r="K17" s="569"/>
      <c r="L17" s="569"/>
      <c r="M17" s="391"/>
      <c r="N17" s="391"/>
    </row>
    <row r="18" spans="1:14" ht="14.25">
      <c r="A18" s="145"/>
      <c r="B18" s="704" t="s">
        <v>431</v>
      </c>
      <c r="C18" s="705"/>
      <c r="D18" s="148">
        <f>+'[5]2014 bérek'!J48+'[5]2014 bérek'!J49</f>
        <v>257100</v>
      </c>
      <c r="E18" s="151" t="s">
        <v>181</v>
      </c>
      <c r="F18" s="148">
        <f>D18*11</f>
        <v>2828100</v>
      </c>
      <c r="G18" s="150"/>
      <c r="H18" s="148"/>
      <c r="I18" s="569"/>
      <c r="J18" s="569"/>
      <c r="K18" s="569"/>
      <c r="L18" s="569"/>
      <c r="M18" s="391"/>
      <c r="N18" s="391"/>
    </row>
    <row r="19" spans="1:14" ht="14.25">
      <c r="A19" s="145"/>
      <c r="B19" s="701"/>
      <c r="C19" s="701"/>
      <c r="D19" s="145"/>
      <c r="E19" s="145"/>
      <c r="F19" s="152"/>
      <c r="G19" s="148"/>
      <c r="H19" s="152"/>
      <c r="I19" s="569"/>
      <c r="J19" s="569"/>
      <c r="K19" s="569"/>
      <c r="L19" s="569"/>
      <c r="M19" s="391"/>
      <c r="N19" s="391"/>
    </row>
    <row r="20" spans="2:14" ht="15">
      <c r="B20" s="496" t="s">
        <v>182</v>
      </c>
      <c r="C20" s="496"/>
      <c r="D20" s="151"/>
      <c r="E20" s="151"/>
      <c r="F20" s="152"/>
      <c r="G20" s="153">
        <f>SUM(G21:G21)</f>
        <v>505536</v>
      </c>
      <c r="H20" s="154">
        <f>G20/1000</f>
        <v>505.536</v>
      </c>
      <c r="J20" s="569"/>
      <c r="K20" s="569"/>
      <c r="L20" s="569"/>
      <c r="M20" s="391"/>
      <c r="N20" s="391"/>
    </row>
    <row r="21" spans="1:14" ht="18.75" customHeight="1">
      <c r="A21" s="147"/>
      <c r="B21" s="151" t="s">
        <v>183</v>
      </c>
      <c r="C21" s="151"/>
      <c r="D21" s="151"/>
      <c r="E21" s="151"/>
      <c r="F21" s="152"/>
      <c r="G21" s="154">
        <f>SUM(F22:F23)</f>
        <v>505536</v>
      </c>
      <c r="H21" s="154"/>
      <c r="J21" s="569"/>
      <c r="K21" s="569"/>
      <c r="L21" s="569"/>
      <c r="M21" s="391"/>
      <c r="N21" s="391"/>
    </row>
    <row r="22" spans="1:14" ht="14.25">
      <c r="A22" s="156"/>
      <c r="B22" s="89" t="s">
        <v>432</v>
      </c>
      <c r="C22" s="89"/>
      <c r="D22" s="89"/>
      <c r="E22" s="89"/>
      <c r="F22" s="65">
        <f>22*36*9*12</f>
        <v>85536</v>
      </c>
      <c r="G22" s="150"/>
      <c r="H22" s="65"/>
      <c r="J22" s="569"/>
      <c r="K22" s="569"/>
      <c r="L22" s="569"/>
      <c r="M22" s="391"/>
      <c r="N22" s="391"/>
    </row>
    <row r="23" spans="1:14" ht="14.25">
      <c r="A23" s="145"/>
      <c r="B23" s="155" t="s">
        <v>184</v>
      </c>
      <c r="C23" s="155"/>
      <c r="D23" s="155"/>
      <c r="E23" s="151"/>
      <c r="F23" s="152">
        <v>420000</v>
      </c>
      <c r="G23" s="152"/>
      <c r="H23" s="152"/>
      <c r="J23" s="569"/>
      <c r="K23" s="569"/>
      <c r="L23" s="569"/>
      <c r="M23" s="391"/>
      <c r="N23" s="391"/>
    </row>
    <row r="24" spans="1:14" ht="14.25">
      <c r="A24" s="145"/>
      <c r="B24" s="155"/>
      <c r="C24" s="155"/>
      <c r="D24" s="155"/>
      <c r="E24" s="151"/>
      <c r="F24" s="152"/>
      <c r="G24" s="152"/>
      <c r="H24" s="152"/>
      <c r="J24" s="569"/>
      <c r="K24" s="569"/>
      <c r="L24" s="569"/>
      <c r="M24" s="391"/>
      <c r="N24" s="391"/>
    </row>
    <row r="25" spans="2:14" ht="15">
      <c r="B25" s="147" t="s">
        <v>433</v>
      </c>
      <c r="C25" s="157"/>
      <c r="D25" s="158"/>
      <c r="E25" s="145"/>
      <c r="F25" s="148"/>
      <c r="G25" s="154">
        <f>E27</f>
        <v>960000</v>
      </c>
      <c r="H25" s="159">
        <f>G25/1000</f>
        <v>960</v>
      </c>
      <c r="J25" s="569"/>
      <c r="K25" s="569"/>
      <c r="L25" s="569"/>
      <c r="M25" s="391"/>
      <c r="N25" s="391"/>
    </row>
    <row r="26" spans="1:14" ht="15">
      <c r="A26" s="155"/>
      <c r="B26" s="155" t="s">
        <v>185</v>
      </c>
      <c r="C26" s="155"/>
      <c r="D26" s="151"/>
      <c r="E26" s="160"/>
      <c r="F26" s="151"/>
      <c r="G26" s="153"/>
      <c r="H26" s="152"/>
      <c r="J26" s="569"/>
      <c r="K26" s="569"/>
      <c r="L26" s="569"/>
      <c r="M26" s="391"/>
      <c r="N26" s="391"/>
    </row>
    <row r="27" spans="1:14" ht="12.75" customHeight="1">
      <c r="A27" s="155"/>
      <c r="B27" s="155" t="s">
        <v>186</v>
      </c>
      <c r="C27" s="155"/>
      <c r="D27" s="151"/>
      <c r="E27" s="160">
        <f>80000*12</f>
        <v>960000</v>
      </c>
      <c r="F27" s="151"/>
      <c r="G27" s="150"/>
      <c r="H27" s="152"/>
      <c r="J27" s="569"/>
      <c r="K27" s="569"/>
      <c r="L27" s="569"/>
      <c r="M27" s="391"/>
      <c r="N27" s="391"/>
    </row>
    <row r="28" spans="1:14" ht="13.5" thickBot="1">
      <c r="A28" s="140"/>
      <c r="B28" s="138"/>
      <c r="C28" s="138"/>
      <c r="D28" s="138"/>
      <c r="E28" s="138"/>
      <c r="F28" s="138"/>
      <c r="G28" s="172"/>
      <c r="H28" s="172"/>
      <c r="J28" s="569"/>
      <c r="K28" s="569"/>
      <c r="L28" s="569"/>
      <c r="M28" s="391"/>
      <c r="N28" s="391"/>
    </row>
    <row r="29" spans="1:12" ht="15.75" thickBot="1">
      <c r="A29" s="161" t="s">
        <v>187</v>
      </c>
      <c r="B29" s="162"/>
      <c r="C29" s="162"/>
      <c r="D29" s="162"/>
      <c r="E29" s="162"/>
      <c r="F29" s="162"/>
      <c r="G29" s="163">
        <f>G15+G20+G25</f>
        <v>4550736</v>
      </c>
      <c r="H29" s="392">
        <f>ROUND(G29/1000,0)</f>
        <v>4551</v>
      </c>
      <c r="I29" s="139"/>
      <c r="J29" s="139"/>
      <c r="K29" s="139"/>
      <c r="L29" s="139"/>
    </row>
    <row r="30" spans="1:12" ht="12.75">
      <c r="A30" s="144"/>
      <c r="B30" s="138"/>
      <c r="C30" s="138"/>
      <c r="D30" s="138"/>
      <c r="E30" s="138"/>
      <c r="F30" s="138"/>
      <c r="G30" s="494"/>
      <c r="H30" s="494"/>
      <c r="I30" s="139"/>
      <c r="J30" s="139"/>
      <c r="K30" s="139"/>
      <c r="L30" s="139"/>
    </row>
    <row r="31" spans="1:12" ht="15">
      <c r="A31" s="497" t="s">
        <v>188</v>
      </c>
      <c r="B31" s="165"/>
      <c r="C31" s="165"/>
      <c r="D31" s="165"/>
      <c r="E31" s="165"/>
      <c r="F31" s="165"/>
      <c r="G31" s="167"/>
      <c r="H31" s="498"/>
      <c r="I31" s="139"/>
      <c r="J31" s="139"/>
      <c r="K31" s="139"/>
      <c r="L31" s="139"/>
    </row>
    <row r="32" spans="1:12" ht="15">
      <c r="A32" s="164"/>
      <c r="B32" s="166"/>
      <c r="C32" s="165"/>
      <c r="D32" s="165"/>
      <c r="E32" s="167"/>
      <c r="F32" s="167"/>
      <c r="G32" s="167"/>
      <c r="H32" s="498"/>
      <c r="I32" s="139"/>
      <c r="J32" s="139"/>
      <c r="K32" s="139"/>
      <c r="L32" s="139"/>
    </row>
    <row r="33" spans="1:12" ht="15">
      <c r="A33" s="168"/>
      <c r="B33" s="499" t="s">
        <v>211</v>
      </c>
      <c r="C33" s="170"/>
      <c r="F33" s="165"/>
      <c r="G33" s="32">
        <f>SUM(G34:G35)</f>
        <v>1066284</v>
      </c>
      <c r="H33" s="153">
        <f>ROUND(G33/1000,0)</f>
        <v>1066</v>
      </c>
      <c r="I33" s="139"/>
      <c r="J33" s="139"/>
      <c r="K33" s="139"/>
      <c r="L33" s="139"/>
    </row>
    <row r="34" spans="1:12" ht="14.25">
      <c r="A34" s="171"/>
      <c r="B34" s="170" t="s">
        <v>434</v>
      </c>
      <c r="C34" s="170"/>
      <c r="D34" s="170">
        <f>+G15</f>
        <v>3085200</v>
      </c>
      <c r="E34" s="170" t="s">
        <v>435</v>
      </c>
      <c r="F34" s="165"/>
      <c r="G34" s="167">
        <f>+D34*27%</f>
        <v>833004</v>
      </c>
      <c r="H34" s="500"/>
      <c r="I34" s="139"/>
      <c r="J34" s="139"/>
      <c r="K34" s="139"/>
      <c r="L34" s="139"/>
    </row>
    <row r="35" spans="1:12" ht="14.25">
      <c r="A35" s="169"/>
      <c r="B35" s="170" t="s">
        <v>436</v>
      </c>
      <c r="C35" s="170"/>
      <c r="D35" s="170">
        <f>+G25</f>
        <v>960000</v>
      </c>
      <c r="E35" s="170" t="s">
        <v>437</v>
      </c>
      <c r="F35" s="165"/>
      <c r="G35" s="167">
        <f>+D35*90%*27%</f>
        <v>233280.00000000003</v>
      </c>
      <c r="H35" s="500"/>
      <c r="I35" s="139"/>
      <c r="J35" s="139"/>
      <c r="K35" s="139"/>
      <c r="L35" s="139"/>
    </row>
    <row r="36" spans="1:12" ht="13.5" thickBot="1">
      <c r="A36" s="140"/>
      <c r="B36" s="138"/>
      <c r="C36" s="138"/>
      <c r="D36" s="138"/>
      <c r="E36" s="138"/>
      <c r="F36" s="138"/>
      <c r="G36" s="172"/>
      <c r="H36" s="172"/>
      <c r="I36" s="139"/>
      <c r="J36" s="139"/>
      <c r="K36" s="139"/>
      <c r="L36" s="139"/>
    </row>
    <row r="37" spans="1:12" ht="15.75" thickBot="1">
      <c r="A37" s="161" t="s">
        <v>438</v>
      </c>
      <c r="B37" s="162"/>
      <c r="C37" s="173"/>
      <c r="D37" s="173"/>
      <c r="E37" s="173"/>
      <c r="F37" s="173"/>
      <c r="G37" s="163">
        <f>+G33</f>
        <v>1066284</v>
      </c>
      <c r="H37" s="392">
        <f>ROUND(G37/1000,0)</f>
        <v>1066</v>
      </c>
      <c r="I37" s="139"/>
      <c r="J37" s="139"/>
      <c r="K37" s="139"/>
      <c r="L37" s="139"/>
    </row>
    <row r="38" spans="1:12" ht="12.75">
      <c r="A38" s="140"/>
      <c r="B38" s="140"/>
      <c r="C38" s="140"/>
      <c r="D38" s="140"/>
      <c r="E38" s="140"/>
      <c r="F38" s="140"/>
      <c r="G38" s="172"/>
      <c r="H38" s="172"/>
      <c r="I38" s="139"/>
      <c r="J38" s="139"/>
      <c r="K38" s="139"/>
      <c r="L38" s="139"/>
    </row>
    <row r="39" spans="1:12" ht="15">
      <c r="A39" s="174" t="s">
        <v>189</v>
      </c>
      <c r="B39" s="175"/>
      <c r="C39" s="145"/>
      <c r="D39" s="145"/>
      <c r="E39" s="145"/>
      <c r="F39" s="145"/>
      <c r="G39" s="148"/>
      <c r="H39" s="148"/>
      <c r="I39" s="139"/>
      <c r="J39" s="139"/>
      <c r="K39" s="139"/>
      <c r="L39" s="139"/>
    </row>
    <row r="40" spans="1:12" ht="14.25">
      <c r="A40" s="145"/>
      <c r="B40" s="151"/>
      <c r="C40" s="151"/>
      <c r="D40" s="151"/>
      <c r="E40" s="151"/>
      <c r="F40" s="151"/>
      <c r="G40" s="152"/>
      <c r="H40" s="152"/>
      <c r="I40" s="139"/>
      <c r="J40" s="139"/>
      <c r="K40" s="139"/>
      <c r="L40" s="139"/>
    </row>
    <row r="41" spans="1:12" ht="15">
      <c r="A41" s="147"/>
      <c r="B41" s="151" t="s">
        <v>190</v>
      </c>
      <c r="C41" s="151"/>
      <c r="D41" s="151"/>
      <c r="E41" s="151"/>
      <c r="F41" s="151"/>
      <c r="G41" s="152">
        <v>50000</v>
      </c>
      <c r="H41" s="152">
        <f>G41/1000</f>
        <v>50</v>
      </c>
      <c r="I41" s="139"/>
      <c r="J41" s="139"/>
      <c r="K41" s="139"/>
      <c r="L41" s="139"/>
    </row>
    <row r="42" spans="1:12" ht="15">
      <c r="A42" s="147"/>
      <c r="B42" s="151" t="s">
        <v>191</v>
      </c>
      <c r="C42" s="151"/>
      <c r="D42" s="151"/>
      <c r="E42" s="151"/>
      <c r="F42" s="151"/>
      <c r="G42" s="152">
        <v>20000</v>
      </c>
      <c r="H42" s="152">
        <f>G42/1000</f>
        <v>20</v>
      </c>
      <c r="I42" s="139"/>
      <c r="J42" s="139"/>
      <c r="K42" s="139"/>
      <c r="L42" s="139"/>
    </row>
    <row r="43" spans="1:12" ht="15">
      <c r="A43" s="147"/>
      <c r="B43" s="151" t="s">
        <v>192</v>
      </c>
      <c r="C43" s="151"/>
      <c r="D43" s="151"/>
      <c r="E43" s="151"/>
      <c r="F43" s="151"/>
      <c r="G43" s="152">
        <v>32000</v>
      </c>
      <c r="H43" s="152">
        <f>G43/1000</f>
        <v>32</v>
      </c>
      <c r="I43" s="139"/>
      <c r="J43" s="139"/>
      <c r="K43" s="139"/>
      <c r="L43" s="139"/>
    </row>
    <row r="44" spans="1:12" ht="15">
      <c r="A44" s="147"/>
      <c r="B44" s="151" t="s">
        <v>193</v>
      </c>
      <c r="C44" s="151"/>
      <c r="D44" s="151"/>
      <c r="E44" s="151"/>
      <c r="F44" s="151"/>
      <c r="G44" s="152">
        <f>SUM(E45:E46)</f>
        <v>288000</v>
      </c>
      <c r="H44" s="152">
        <f>G44/1000</f>
        <v>288</v>
      </c>
      <c r="I44" s="139"/>
      <c r="J44" s="139"/>
      <c r="K44" s="139"/>
      <c r="L44" s="139"/>
    </row>
    <row r="45" spans="1:12" ht="14.25">
      <c r="A45" s="145"/>
      <c r="B45" s="176" t="s">
        <v>194</v>
      </c>
      <c r="C45" s="151" t="s">
        <v>439</v>
      </c>
      <c r="D45" s="151"/>
      <c r="E45" s="151">
        <f>3*4000*12</f>
        <v>144000</v>
      </c>
      <c r="F45" s="151"/>
      <c r="G45" s="152"/>
      <c r="H45" s="152"/>
      <c r="I45" s="139"/>
      <c r="J45" s="139"/>
      <c r="K45" s="139"/>
      <c r="L45" s="139"/>
    </row>
    <row r="46" spans="1:12" ht="15">
      <c r="A46" s="146"/>
      <c r="B46" s="176" t="s">
        <v>195</v>
      </c>
      <c r="C46" s="151" t="s">
        <v>196</v>
      </c>
      <c r="D46" s="151"/>
      <c r="E46" s="151">
        <f>12*12000</f>
        <v>144000</v>
      </c>
      <c r="F46" s="151"/>
      <c r="G46" s="152"/>
      <c r="H46" s="152"/>
      <c r="I46" s="139"/>
      <c r="J46" s="139"/>
      <c r="K46" s="139"/>
      <c r="L46" s="139"/>
    </row>
    <row r="47" spans="1:12" ht="15">
      <c r="A47" s="146"/>
      <c r="B47" s="151" t="s">
        <v>197</v>
      </c>
      <c r="C47" s="151"/>
      <c r="D47" s="151"/>
      <c r="E47" s="151"/>
      <c r="F47" s="151"/>
      <c r="G47" s="152">
        <v>150000</v>
      </c>
      <c r="H47" s="152">
        <f aca="true" t="shared" si="0" ref="H47:H52">G47/1000</f>
        <v>150</v>
      </c>
      <c r="I47" s="139"/>
      <c r="J47" s="139"/>
      <c r="K47" s="139"/>
      <c r="L47" s="139"/>
    </row>
    <row r="48" spans="1:12" ht="15">
      <c r="A48" s="146"/>
      <c r="B48" s="151" t="s">
        <v>198</v>
      </c>
      <c r="C48" s="151"/>
      <c r="D48" s="151"/>
      <c r="E48" s="151"/>
      <c r="F48" s="151"/>
      <c r="G48" s="152">
        <v>80000</v>
      </c>
      <c r="H48" s="152">
        <f t="shared" si="0"/>
        <v>80</v>
      </c>
      <c r="I48" s="139"/>
      <c r="J48" s="139"/>
      <c r="K48" s="139"/>
      <c r="L48" s="139"/>
    </row>
    <row r="49" spans="1:12" ht="15">
      <c r="A49" s="146"/>
      <c r="B49" s="151" t="s">
        <v>199</v>
      </c>
      <c r="C49" s="151"/>
      <c r="D49" s="151"/>
      <c r="E49" s="151"/>
      <c r="F49" s="151"/>
      <c r="G49" s="152">
        <v>50000</v>
      </c>
      <c r="H49" s="152">
        <f t="shared" si="0"/>
        <v>50</v>
      </c>
      <c r="I49" s="139"/>
      <c r="J49" s="139"/>
      <c r="K49" s="139"/>
      <c r="L49" s="139"/>
    </row>
    <row r="50" spans="1:12" ht="15">
      <c r="A50" s="146"/>
      <c r="B50" s="151" t="s">
        <v>200</v>
      </c>
      <c r="C50" s="151"/>
      <c r="D50" s="151"/>
      <c r="E50" s="151"/>
      <c r="F50" s="151"/>
      <c r="G50" s="152">
        <f>298000-56693</f>
        <v>241307</v>
      </c>
      <c r="H50" s="152">
        <f t="shared" si="0"/>
        <v>241.307</v>
      </c>
      <c r="I50" s="139"/>
      <c r="J50" s="139"/>
      <c r="K50" s="139"/>
      <c r="L50" s="139"/>
    </row>
    <row r="51" spans="1:12" ht="15">
      <c r="A51" s="146"/>
      <c r="B51" s="151" t="s">
        <v>201</v>
      </c>
      <c r="C51" s="151"/>
      <c r="D51" s="151"/>
      <c r="E51" s="151"/>
      <c r="F51" s="151"/>
      <c r="G51" s="152">
        <v>60000</v>
      </c>
      <c r="H51" s="152">
        <f t="shared" si="0"/>
        <v>60</v>
      </c>
      <c r="I51" s="139"/>
      <c r="J51" s="139"/>
      <c r="K51" s="139"/>
      <c r="L51" s="139"/>
    </row>
    <row r="52" spans="1:12" ht="15">
      <c r="A52" s="146"/>
      <c r="B52" s="151" t="s">
        <v>202</v>
      </c>
      <c r="C52" s="151"/>
      <c r="D52" s="151"/>
      <c r="E52" s="151"/>
      <c r="F52" s="151"/>
      <c r="G52" s="152">
        <f>SUM(F53:F57)</f>
        <v>1064000</v>
      </c>
      <c r="H52" s="152">
        <f t="shared" si="0"/>
        <v>1064</v>
      </c>
      <c r="I52" s="139"/>
      <c r="J52" s="139"/>
      <c r="K52" s="139"/>
      <c r="L52" s="139"/>
    </row>
    <row r="53" spans="1:12" ht="14.25">
      <c r="A53" s="145"/>
      <c r="B53" s="501" t="s">
        <v>203</v>
      </c>
      <c r="C53" s="502">
        <v>50000</v>
      </c>
      <c r="D53" s="502" t="s">
        <v>440</v>
      </c>
      <c r="E53" s="151"/>
      <c r="F53" s="152">
        <f>50000*12</f>
        <v>600000</v>
      </c>
      <c r="H53" s="152"/>
      <c r="I53" s="139"/>
      <c r="J53" s="139"/>
      <c r="K53" s="139"/>
      <c r="L53" s="139"/>
    </row>
    <row r="54" spans="1:12" ht="14.25">
      <c r="A54" s="145"/>
      <c r="B54" s="501" t="s">
        <v>204</v>
      </c>
      <c r="C54" s="502">
        <v>40000</v>
      </c>
      <c r="D54" s="502" t="s">
        <v>441</v>
      </c>
      <c r="E54" s="151"/>
      <c r="F54" s="152">
        <f>40000*6</f>
        <v>240000</v>
      </c>
      <c r="H54" s="152"/>
      <c r="I54" s="139"/>
      <c r="J54" s="139"/>
      <c r="K54" s="139"/>
      <c r="L54" s="139"/>
    </row>
    <row r="55" spans="1:12" ht="14.25">
      <c r="A55" s="145"/>
      <c r="B55" s="501" t="s">
        <v>205</v>
      </c>
      <c r="C55" s="502"/>
      <c r="D55" s="502"/>
      <c r="E55" s="151"/>
      <c r="F55" s="152">
        <v>100000</v>
      </c>
      <c r="H55" s="152"/>
      <c r="I55" s="139"/>
      <c r="J55" s="139"/>
      <c r="K55" s="139"/>
      <c r="L55" s="139"/>
    </row>
    <row r="56" spans="1:12" ht="14.25">
      <c r="A56" s="145"/>
      <c r="B56" s="501" t="s">
        <v>206</v>
      </c>
      <c r="C56" s="502"/>
      <c r="D56" s="502"/>
      <c r="E56" s="151"/>
      <c r="F56" s="151">
        <v>100000</v>
      </c>
      <c r="G56" s="152"/>
      <c r="H56" s="152"/>
      <c r="I56" s="139"/>
      <c r="J56" s="139"/>
      <c r="K56" s="139"/>
      <c r="L56" s="139"/>
    </row>
    <row r="57" spans="1:12" ht="14.25">
      <c r="A57" s="145"/>
      <c r="B57" s="501" t="s">
        <v>442</v>
      </c>
      <c r="C57" s="502">
        <v>12000</v>
      </c>
      <c r="D57" s="502" t="s">
        <v>443</v>
      </c>
      <c r="E57" s="151"/>
      <c r="F57" s="151">
        <f>+C57*2</f>
        <v>24000</v>
      </c>
      <c r="G57" s="152"/>
      <c r="H57" s="152"/>
      <c r="I57" s="139"/>
      <c r="J57" s="139"/>
      <c r="K57" s="139"/>
      <c r="L57" s="139"/>
    </row>
    <row r="58" spans="1:12" ht="15">
      <c r="A58" s="147"/>
      <c r="B58" s="151" t="s">
        <v>207</v>
      </c>
      <c r="C58" s="151"/>
      <c r="D58" s="151"/>
      <c r="E58" s="151"/>
      <c r="F58" s="151"/>
      <c r="G58" s="152">
        <f>170000+36835-43655</f>
        <v>163180</v>
      </c>
      <c r="H58" s="152">
        <f>G58/1000</f>
        <v>163.18</v>
      </c>
      <c r="I58" s="139"/>
      <c r="J58" s="139"/>
      <c r="K58" s="139"/>
      <c r="L58" s="139"/>
    </row>
    <row r="59" spans="1:12" ht="16.5" customHeight="1">
      <c r="A59" s="147"/>
      <c r="B59" s="151" t="s">
        <v>208</v>
      </c>
      <c r="C59" s="151"/>
      <c r="D59" s="151"/>
      <c r="E59" s="151"/>
      <c r="F59" s="151"/>
      <c r="G59" s="152">
        <v>184493</v>
      </c>
      <c r="H59" s="152">
        <f>G59/1000</f>
        <v>184.493</v>
      </c>
      <c r="I59" s="139"/>
      <c r="J59" s="139"/>
      <c r="K59" s="139"/>
      <c r="L59" s="139"/>
    </row>
    <row r="60" spans="1:12" ht="15" thickBot="1">
      <c r="A60" s="145"/>
      <c r="B60" s="151"/>
      <c r="C60" s="151"/>
      <c r="D60" s="151"/>
      <c r="E60" s="151"/>
      <c r="F60" s="151"/>
      <c r="G60" s="152"/>
      <c r="H60" s="152"/>
      <c r="I60" s="139"/>
      <c r="J60" s="139"/>
      <c r="K60" s="139"/>
      <c r="L60" s="139"/>
    </row>
    <row r="61" spans="1:12" ht="15.75" thickBot="1">
      <c r="A61" s="161" t="s">
        <v>209</v>
      </c>
      <c r="B61" s="173"/>
      <c r="C61" s="173"/>
      <c r="D61" s="173"/>
      <c r="E61" s="173"/>
      <c r="F61" s="173"/>
      <c r="G61" s="163">
        <f>SUM(G41:G59)</f>
        <v>2382980</v>
      </c>
      <c r="H61" s="392">
        <f>ROUND(G61/1000,0)</f>
        <v>2383</v>
      </c>
      <c r="I61" s="139"/>
      <c r="J61" s="139"/>
      <c r="K61" s="139"/>
      <c r="L61" s="139"/>
    </row>
    <row r="62" spans="1:12" ht="15" thickBot="1">
      <c r="A62" s="145"/>
      <c r="B62" s="151"/>
      <c r="C62" s="151"/>
      <c r="D62" s="151"/>
      <c r="E62" s="151"/>
      <c r="F62" s="151"/>
      <c r="G62" s="152"/>
      <c r="H62" s="152"/>
      <c r="I62" s="139"/>
      <c r="J62" s="139"/>
      <c r="K62" s="139"/>
      <c r="L62" s="139"/>
    </row>
    <row r="63" spans="1:12" ht="28.5" customHeight="1" thickBot="1">
      <c r="A63" s="141" t="s">
        <v>210</v>
      </c>
      <c r="B63" s="142"/>
      <c r="C63" s="142"/>
      <c r="D63" s="142"/>
      <c r="E63" s="142"/>
      <c r="F63" s="142"/>
      <c r="G63" s="143">
        <f>G61+G37+G29</f>
        <v>8000000</v>
      </c>
      <c r="H63" s="393">
        <f>H61+H37+H29</f>
        <v>8000</v>
      </c>
      <c r="I63" s="139"/>
      <c r="J63" s="139"/>
      <c r="K63" s="139"/>
      <c r="L63" s="139"/>
    </row>
    <row r="64" spans="9:12" ht="12.75">
      <c r="I64" s="139"/>
      <c r="J64" s="139"/>
      <c r="K64" s="139"/>
      <c r="L64" s="139"/>
    </row>
    <row r="65" spans="9:12" ht="12.75">
      <c r="I65" s="139"/>
      <c r="J65" s="139"/>
      <c r="K65" s="139"/>
      <c r="L65" s="139"/>
    </row>
    <row r="66" spans="2:12" ht="12.75">
      <c r="B66" s="50" t="s">
        <v>212</v>
      </c>
      <c r="G66" s="49">
        <f>+G11-G63</f>
        <v>0</v>
      </c>
      <c r="H66" s="49">
        <f>+G66/1.27</f>
        <v>0</v>
      </c>
      <c r="I66" s="139"/>
      <c r="J66" s="139"/>
      <c r="K66" s="139"/>
      <c r="L66" s="139"/>
    </row>
    <row r="67" spans="9:12" ht="12.75">
      <c r="I67" s="139"/>
      <c r="J67" s="139"/>
      <c r="K67" s="139"/>
      <c r="L67" s="139"/>
    </row>
    <row r="68" spans="9:12" ht="12.75">
      <c r="I68" s="139"/>
      <c r="J68" s="139"/>
      <c r="K68" s="139"/>
      <c r="L68" s="139"/>
    </row>
    <row r="69" spans="9:12" ht="12.75">
      <c r="I69" s="139"/>
      <c r="J69" s="139"/>
      <c r="K69" s="139"/>
      <c r="L69" s="139"/>
    </row>
    <row r="70" spans="9:12" ht="12.75">
      <c r="I70" s="139"/>
      <c r="J70" s="139"/>
      <c r="K70" s="139"/>
      <c r="L70" s="139"/>
    </row>
    <row r="71" spans="9:12" ht="12.75">
      <c r="I71" s="139"/>
      <c r="J71" s="139"/>
      <c r="K71" s="139"/>
      <c r="L71" s="139"/>
    </row>
  </sheetData>
  <sheetProtection/>
  <mergeCells count="5">
    <mergeCell ref="B19:C19"/>
    <mergeCell ref="D4:E4"/>
    <mergeCell ref="C6:F6"/>
    <mergeCell ref="B17:C17"/>
    <mergeCell ref="B18:C18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&amp;L13. melléklet a 2014. évi 6/2014.(III.28.) Önkormányzati költségvetési rendelethez&amp;R&amp;D</oddHeader>
    <oddFooter>&amp;R&amp;F</oddFooter>
  </headerFooter>
  <rowBreaks count="1" manualBreakCount="1">
    <brk id="52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E21" sqref="E21"/>
    </sheetView>
  </sheetViews>
  <sheetFormatPr defaultColWidth="10.421875" defaultRowHeight="12.75"/>
  <cols>
    <col min="1" max="1" width="7.57421875" style="400" customWidth="1"/>
    <col min="2" max="2" width="56.421875" style="400" customWidth="1"/>
    <col min="3" max="3" width="18.7109375" style="400" customWidth="1"/>
    <col min="4" max="16384" width="10.421875" style="400" customWidth="1"/>
  </cols>
  <sheetData>
    <row r="1" spans="1:3" ht="78.75" customHeight="1">
      <c r="A1" s="706" t="s">
        <v>345</v>
      </c>
      <c r="B1" s="706"/>
      <c r="C1" s="706"/>
    </row>
    <row r="2" spans="1:4" ht="15.75" thickBot="1">
      <c r="A2" s="401"/>
      <c r="B2" s="401"/>
      <c r="C2" s="402" t="s">
        <v>346</v>
      </c>
      <c r="D2" s="403"/>
    </row>
    <row r="3" spans="1:3" ht="32.25" thickBot="1">
      <c r="A3" s="404" t="s">
        <v>300</v>
      </c>
      <c r="B3" s="405" t="s">
        <v>347</v>
      </c>
      <c r="C3" s="406" t="s">
        <v>488</v>
      </c>
    </row>
    <row r="4" spans="1:3" ht="16.5" thickBot="1">
      <c r="A4" s="407" t="s">
        <v>11</v>
      </c>
      <c r="B4" s="408" t="s">
        <v>362</v>
      </c>
      <c r="C4" s="409" t="s">
        <v>13</v>
      </c>
    </row>
    <row r="5" spans="1:3" ht="15.75">
      <c r="A5" s="422" t="s">
        <v>20</v>
      </c>
      <c r="B5" s="410" t="s">
        <v>348</v>
      </c>
      <c r="C5" s="411">
        <f>+1_mell!E11+1_mell!E13+1_mell!E14+1_mell!E15</f>
        <v>142778</v>
      </c>
    </row>
    <row r="6" spans="1:3" ht="15.75">
      <c r="A6" s="423" t="s">
        <v>21</v>
      </c>
      <c r="B6" s="412" t="s">
        <v>349</v>
      </c>
      <c r="C6" s="413"/>
    </row>
    <row r="7" spans="1:3" ht="15.75">
      <c r="A7" s="423" t="s">
        <v>22</v>
      </c>
      <c r="B7" s="412" t="s">
        <v>350</v>
      </c>
      <c r="C7" s="413">
        <f>+1_mell!E16</f>
        <v>2500</v>
      </c>
    </row>
    <row r="8" spans="1:3" ht="31.5">
      <c r="A8" s="423" t="s">
        <v>23</v>
      </c>
      <c r="B8" s="414" t="s">
        <v>351</v>
      </c>
      <c r="C8" s="413"/>
    </row>
    <row r="9" spans="1:3" ht="15.75">
      <c r="A9" s="424" t="s">
        <v>24</v>
      </c>
      <c r="B9" s="415" t="s">
        <v>352</v>
      </c>
      <c r="C9" s="413"/>
    </row>
    <row r="10" spans="1:3" ht="15.75">
      <c r="A10" s="423" t="s">
        <v>25</v>
      </c>
      <c r="B10" s="412" t="s">
        <v>353</v>
      </c>
      <c r="C10" s="413"/>
    </row>
    <row r="11" spans="1:3" ht="16.5" thickBot="1">
      <c r="A11" s="424" t="s">
        <v>26</v>
      </c>
      <c r="B11" s="415" t="s">
        <v>354</v>
      </c>
      <c r="C11" s="421"/>
    </row>
    <row r="12" spans="1:3" ht="17.25" thickBot="1">
      <c r="A12" s="425" t="s">
        <v>27</v>
      </c>
      <c r="B12" s="420" t="s">
        <v>355</v>
      </c>
      <c r="C12" s="416">
        <f>SUM(C5:C11)</f>
        <v>145278</v>
      </c>
    </row>
    <row r="13" spans="1:3" ht="39" customHeight="1">
      <c r="A13" s="707" t="s">
        <v>356</v>
      </c>
      <c r="B13" s="707"/>
      <c r="C13" s="707"/>
    </row>
  </sheetData>
  <sheetProtection/>
  <mergeCells count="2">
    <mergeCell ref="A1:C1"/>
    <mergeCell ref="A13:C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&amp;L14. melléklet a 2014. évi 6/2014.(III.28.) Önkormányzati költségvetési rendelethez</oddHeader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AT266"/>
  <sheetViews>
    <sheetView zoomScalePageLayoutView="0" workbookViewId="0" topLeftCell="A1">
      <selection activeCell="G11" sqref="G11"/>
    </sheetView>
  </sheetViews>
  <sheetFormatPr defaultColWidth="9.140625" defaultRowHeight="13.5" customHeight="1"/>
  <cols>
    <col min="1" max="1" width="4.00390625" style="104" customWidth="1"/>
    <col min="2" max="2" width="4.7109375" style="104" customWidth="1"/>
    <col min="3" max="3" width="23.7109375" style="104" customWidth="1"/>
    <col min="4" max="5" width="12.7109375" style="104" bestFit="1" customWidth="1"/>
    <col min="6" max="6" width="10.140625" style="104" bestFit="1" customWidth="1"/>
    <col min="7" max="7" width="8.28125" style="104" bestFit="1" customWidth="1"/>
    <col min="8" max="10" width="10.140625" style="104" bestFit="1" customWidth="1"/>
    <col min="11" max="11" width="9.8515625" style="104" bestFit="1" customWidth="1"/>
    <col min="12" max="12" width="11.00390625" style="104" bestFit="1" customWidth="1"/>
    <col min="13" max="13" width="10.140625" style="104" bestFit="1" customWidth="1"/>
    <col min="14" max="14" width="11.57421875" style="104" bestFit="1" customWidth="1"/>
    <col min="15" max="15" width="11.140625" style="104" bestFit="1" customWidth="1"/>
    <col min="16" max="16" width="11.140625" style="310" bestFit="1" customWidth="1"/>
    <col min="17" max="17" width="11.7109375" style="309" customWidth="1"/>
    <col min="18" max="19" width="9.7109375" style="309" customWidth="1"/>
    <col min="20" max="20" width="10.57421875" style="309" customWidth="1"/>
    <col min="21" max="21" width="13.00390625" style="309" customWidth="1"/>
    <col min="22" max="22" width="9.28125" style="309" customWidth="1"/>
    <col min="23" max="46" width="9.140625" style="309" customWidth="1"/>
    <col min="47" max="16384" width="9.140625" style="104" customWidth="1"/>
  </cols>
  <sheetData>
    <row r="3" spans="2:16" ht="32.25" customHeight="1">
      <c r="B3" s="708" t="s">
        <v>427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</row>
    <row r="4" spans="1:16" ht="32.25" customHeight="1" thickBot="1">
      <c r="A4" s="104" t="s">
        <v>11</v>
      </c>
      <c r="B4" s="311" t="s">
        <v>362</v>
      </c>
      <c r="C4" s="311" t="s">
        <v>13</v>
      </c>
      <c r="D4" s="311" t="s">
        <v>14</v>
      </c>
      <c r="E4" s="311" t="s">
        <v>15</v>
      </c>
      <c r="F4" s="311" t="s">
        <v>16</v>
      </c>
      <c r="G4" s="311" t="s">
        <v>17</v>
      </c>
      <c r="H4" s="311" t="s">
        <v>18</v>
      </c>
      <c r="I4" s="311" t="s">
        <v>63</v>
      </c>
      <c r="J4" s="311" t="s">
        <v>369</v>
      </c>
      <c r="K4" s="311" t="s">
        <v>363</v>
      </c>
      <c r="L4" s="311" t="s">
        <v>364</v>
      </c>
      <c r="M4" s="311" t="s">
        <v>366</v>
      </c>
      <c r="N4" s="311" t="s">
        <v>370</v>
      </c>
      <c r="O4" s="311" t="s">
        <v>371</v>
      </c>
      <c r="P4" s="311" t="s">
        <v>372</v>
      </c>
    </row>
    <row r="5" spans="1:16" ht="18" customHeight="1" thickBot="1">
      <c r="A5" s="104" t="s">
        <v>20</v>
      </c>
      <c r="B5" s="277" t="s">
        <v>300</v>
      </c>
      <c r="C5" s="278" t="s">
        <v>67</v>
      </c>
      <c r="D5" s="278" t="s">
        <v>301</v>
      </c>
      <c r="E5" s="278" t="s">
        <v>302</v>
      </c>
      <c r="F5" s="278" t="s">
        <v>303</v>
      </c>
      <c r="G5" s="278" t="s">
        <v>304</v>
      </c>
      <c r="H5" s="278" t="s">
        <v>305</v>
      </c>
      <c r="I5" s="278" t="s">
        <v>306</v>
      </c>
      <c r="J5" s="278" t="s">
        <v>307</v>
      </c>
      <c r="K5" s="278" t="s">
        <v>308</v>
      </c>
      <c r="L5" s="278" t="s">
        <v>309</v>
      </c>
      <c r="M5" s="278" t="s">
        <v>310</v>
      </c>
      <c r="N5" s="278" t="s">
        <v>311</v>
      </c>
      <c r="O5" s="278" t="s">
        <v>312</v>
      </c>
      <c r="P5" s="279" t="s">
        <v>313</v>
      </c>
    </row>
    <row r="6" spans="1:16" ht="13.5" customHeight="1" thickBot="1">
      <c r="A6" s="104" t="s">
        <v>21</v>
      </c>
      <c r="B6" s="280" t="s">
        <v>20</v>
      </c>
      <c r="C6" s="281" t="s">
        <v>97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97"/>
    </row>
    <row r="7" spans="1:16" ht="13.5" customHeight="1">
      <c r="A7" s="104" t="s">
        <v>22</v>
      </c>
      <c r="B7" s="283" t="s">
        <v>21</v>
      </c>
      <c r="C7" s="284" t="s">
        <v>334</v>
      </c>
      <c r="D7" s="312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4" t="s">
        <v>335</v>
      </c>
    </row>
    <row r="8" spans="1:16" ht="13.5" customHeight="1">
      <c r="A8" s="104" t="s">
        <v>23</v>
      </c>
      <c r="B8" s="287" t="s">
        <v>22</v>
      </c>
      <c r="C8" s="288" t="s">
        <v>315</v>
      </c>
      <c r="D8" s="315">
        <v>42</v>
      </c>
      <c r="E8" s="315">
        <f>+D8</f>
        <v>42</v>
      </c>
      <c r="F8" s="315">
        <f aca="true" t="shared" si="0" ref="F8:N8">+E8</f>
        <v>42</v>
      </c>
      <c r="G8" s="315">
        <f t="shared" si="0"/>
        <v>42</v>
      </c>
      <c r="H8" s="315">
        <f t="shared" si="0"/>
        <v>42</v>
      </c>
      <c r="I8" s="315">
        <f t="shared" si="0"/>
        <v>42</v>
      </c>
      <c r="J8" s="315">
        <f t="shared" si="0"/>
        <v>42</v>
      </c>
      <c r="K8" s="315">
        <f t="shared" si="0"/>
        <v>42</v>
      </c>
      <c r="L8" s="315">
        <f t="shared" si="0"/>
        <v>42</v>
      </c>
      <c r="M8" s="315">
        <f t="shared" si="0"/>
        <v>42</v>
      </c>
      <c r="N8" s="315">
        <f t="shared" si="0"/>
        <v>42</v>
      </c>
      <c r="O8" s="315">
        <f>+N8-4</f>
        <v>38</v>
      </c>
      <c r="P8" s="582">
        <f>SUM(D8:O8)</f>
        <v>500</v>
      </c>
    </row>
    <row r="9" spans="1:16" ht="22.5" customHeight="1">
      <c r="A9" s="104" t="s">
        <v>24</v>
      </c>
      <c r="B9" s="287" t="s">
        <v>23</v>
      </c>
      <c r="C9" s="291" t="s">
        <v>361</v>
      </c>
      <c r="D9" s="317">
        <f>20064+8403+426</f>
        <v>28893</v>
      </c>
      <c r="E9" s="317">
        <v>28467</v>
      </c>
      <c r="F9" s="317">
        <f aca="true" t="shared" si="1" ref="F9:N9">+E9</f>
        <v>28467</v>
      </c>
      <c r="G9" s="317">
        <v>20064</v>
      </c>
      <c r="H9" s="317">
        <f t="shared" si="1"/>
        <v>20064</v>
      </c>
      <c r="I9" s="317">
        <f t="shared" si="1"/>
        <v>20064</v>
      </c>
      <c r="J9" s="317">
        <f t="shared" si="1"/>
        <v>20064</v>
      </c>
      <c r="K9" s="317">
        <f t="shared" si="1"/>
        <v>20064</v>
      </c>
      <c r="L9" s="317">
        <f t="shared" si="1"/>
        <v>20064</v>
      </c>
      <c r="M9" s="317">
        <f t="shared" si="1"/>
        <v>20064</v>
      </c>
      <c r="N9" s="317">
        <f t="shared" si="1"/>
        <v>20064</v>
      </c>
      <c r="O9" s="317">
        <f>+N9+5+301-121</f>
        <v>20249</v>
      </c>
      <c r="P9" s="318">
        <f>SUM(D9:O9)</f>
        <v>266588</v>
      </c>
    </row>
    <row r="10" spans="1:16" ht="13.5" customHeight="1">
      <c r="A10" s="104" t="s">
        <v>25</v>
      </c>
      <c r="B10" s="287" t="s">
        <v>24</v>
      </c>
      <c r="C10" s="288" t="s">
        <v>317</v>
      </c>
      <c r="D10" s="315">
        <f>12937</f>
        <v>12937</v>
      </c>
      <c r="E10" s="315">
        <f>+D10</f>
        <v>12937</v>
      </c>
      <c r="F10" s="315">
        <f aca="true" t="shared" si="2" ref="F10:N10">+E10</f>
        <v>12937</v>
      </c>
      <c r="G10" s="315">
        <v>12937</v>
      </c>
      <c r="H10" s="315">
        <f t="shared" si="2"/>
        <v>12937</v>
      </c>
      <c r="I10" s="315">
        <f t="shared" si="2"/>
        <v>12937</v>
      </c>
      <c r="J10" s="315">
        <f t="shared" si="2"/>
        <v>12937</v>
      </c>
      <c r="K10" s="315">
        <f t="shared" si="2"/>
        <v>12937</v>
      </c>
      <c r="L10" s="315">
        <f t="shared" si="2"/>
        <v>12937</v>
      </c>
      <c r="M10" s="315">
        <f t="shared" si="2"/>
        <v>12937</v>
      </c>
      <c r="N10" s="315">
        <f t="shared" si="2"/>
        <v>12937</v>
      </c>
      <c r="O10" s="315">
        <f>12936-1</f>
        <v>12935</v>
      </c>
      <c r="P10" s="316">
        <f aca="true" t="shared" si="3" ref="P10:P28">SUM(D10:O10)</f>
        <v>155242</v>
      </c>
    </row>
    <row r="11" spans="1:16" ht="13.5" customHeight="1">
      <c r="A11" s="104" t="s">
        <v>26</v>
      </c>
      <c r="B11" s="287" t="s">
        <v>25</v>
      </c>
      <c r="C11" s="288" t="s">
        <v>318</v>
      </c>
      <c r="D11" s="315">
        <v>5000</v>
      </c>
      <c r="E11" s="315">
        <v>10000</v>
      </c>
      <c r="F11" s="315">
        <v>6094</v>
      </c>
      <c r="G11" s="315"/>
      <c r="H11" s="315"/>
      <c r="I11" s="315"/>
      <c r="J11" s="315"/>
      <c r="K11" s="315"/>
      <c r="L11" s="315">
        <v>14137</v>
      </c>
      <c r="M11" s="315"/>
      <c r="N11" s="315">
        <f>22313+26212</f>
        <v>48525</v>
      </c>
      <c r="O11" s="315"/>
      <c r="P11" s="316">
        <f t="shared" si="3"/>
        <v>83756</v>
      </c>
    </row>
    <row r="12" spans="1:16" ht="13.5" customHeight="1">
      <c r="A12" s="104" t="s">
        <v>27</v>
      </c>
      <c r="B12" s="287" t="s">
        <v>26</v>
      </c>
      <c r="C12" s="288" t="s">
        <v>319</v>
      </c>
      <c r="D12" s="315">
        <f>9845-9092</f>
        <v>753</v>
      </c>
      <c r="E12" s="315">
        <f>+D12</f>
        <v>753</v>
      </c>
      <c r="F12" s="315">
        <f>9845+3337</f>
        <v>13182</v>
      </c>
      <c r="G12" s="315">
        <f aca="true" t="shared" si="4" ref="G12:N12">+F12</f>
        <v>13182</v>
      </c>
      <c r="H12" s="315">
        <f t="shared" si="4"/>
        <v>13182</v>
      </c>
      <c r="I12" s="315">
        <f t="shared" si="4"/>
        <v>13182</v>
      </c>
      <c r="J12" s="315">
        <f t="shared" si="4"/>
        <v>13182</v>
      </c>
      <c r="K12" s="315">
        <f t="shared" si="4"/>
        <v>13182</v>
      </c>
      <c r="L12" s="315">
        <f t="shared" si="4"/>
        <v>13182</v>
      </c>
      <c r="M12" s="315">
        <f t="shared" si="4"/>
        <v>13182</v>
      </c>
      <c r="N12" s="315">
        <f t="shared" si="4"/>
        <v>13182</v>
      </c>
      <c r="O12" s="315">
        <f>+N12-5+10-301+1</f>
        <v>12887</v>
      </c>
      <c r="P12" s="582">
        <f t="shared" si="3"/>
        <v>133031</v>
      </c>
    </row>
    <row r="13" spans="1:16" ht="13.5" customHeight="1">
      <c r="A13" s="104" t="s">
        <v>28</v>
      </c>
      <c r="B13" s="287" t="s">
        <v>27</v>
      </c>
      <c r="C13" s="288" t="s">
        <v>320</v>
      </c>
      <c r="D13" s="315">
        <v>13</v>
      </c>
      <c r="E13" s="315">
        <f>+D13</f>
        <v>13</v>
      </c>
      <c r="F13" s="315">
        <f aca="true" t="shared" si="5" ref="F13:N13">+E13</f>
        <v>13</v>
      </c>
      <c r="G13" s="315">
        <f t="shared" si="5"/>
        <v>13</v>
      </c>
      <c r="H13" s="315">
        <f t="shared" si="5"/>
        <v>13</v>
      </c>
      <c r="I13" s="315">
        <f t="shared" si="5"/>
        <v>13</v>
      </c>
      <c r="J13" s="315">
        <f t="shared" si="5"/>
        <v>13</v>
      </c>
      <c r="K13" s="315">
        <f t="shared" si="5"/>
        <v>13</v>
      </c>
      <c r="L13" s="315">
        <f t="shared" si="5"/>
        <v>13</v>
      </c>
      <c r="M13" s="315">
        <f t="shared" si="5"/>
        <v>13</v>
      </c>
      <c r="N13" s="315">
        <f t="shared" si="5"/>
        <v>13</v>
      </c>
      <c r="O13" s="315">
        <f>+N13-6</f>
        <v>7</v>
      </c>
      <c r="P13" s="582">
        <f>SUM(D13:O13)</f>
        <v>150</v>
      </c>
    </row>
    <row r="14" spans="1:16" ht="21" customHeight="1">
      <c r="A14" s="104" t="s">
        <v>29</v>
      </c>
      <c r="B14" s="287" t="s">
        <v>28</v>
      </c>
      <c r="C14" s="293" t="s">
        <v>321</v>
      </c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6">
        <f t="shared" si="3"/>
        <v>0</v>
      </c>
    </row>
    <row r="15" spans="1:16" ht="13.5" customHeight="1" thickBot="1">
      <c r="A15" s="104" t="s">
        <v>30</v>
      </c>
      <c r="B15" s="287" t="s">
        <v>29</v>
      </c>
      <c r="C15" s="288" t="s">
        <v>336</v>
      </c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6">
        <f t="shared" si="3"/>
        <v>0</v>
      </c>
    </row>
    <row r="16" spans="1:46" s="310" customFormat="1" ht="13.5" customHeight="1" thickBot="1">
      <c r="A16" s="310" t="s">
        <v>31</v>
      </c>
      <c r="B16" s="280" t="s">
        <v>30</v>
      </c>
      <c r="C16" s="295" t="s">
        <v>322</v>
      </c>
      <c r="D16" s="319">
        <f>SUM(D8:D15)</f>
        <v>47638</v>
      </c>
      <c r="E16" s="319">
        <f aca="true" t="shared" si="6" ref="E16:O16">SUM(E8:E15)</f>
        <v>52212</v>
      </c>
      <c r="F16" s="319">
        <f t="shared" si="6"/>
        <v>60735</v>
      </c>
      <c r="G16" s="319">
        <f t="shared" si="6"/>
        <v>46238</v>
      </c>
      <c r="H16" s="319">
        <f t="shared" si="6"/>
        <v>46238</v>
      </c>
      <c r="I16" s="319">
        <f t="shared" si="6"/>
        <v>46238</v>
      </c>
      <c r="J16" s="319">
        <f t="shared" si="6"/>
        <v>46238</v>
      </c>
      <c r="K16" s="319">
        <f t="shared" si="6"/>
        <v>46238</v>
      </c>
      <c r="L16" s="319">
        <f t="shared" si="6"/>
        <v>60375</v>
      </c>
      <c r="M16" s="319">
        <f t="shared" si="6"/>
        <v>46238</v>
      </c>
      <c r="N16" s="319">
        <f t="shared" si="6"/>
        <v>94763</v>
      </c>
      <c r="O16" s="319">
        <f t="shared" si="6"/>
        <v>46116</v>
      </c>
      <c r="P16" s="319">
        <f>SUM(P8:P15)</f>
        <v>639267</v>
      </c>
      <c r="Q16" s="309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</row>
    <row r="17" spans="1:46" s="310" customFormat="1" ht="13.5" customHeight="1" thickBot="1">
      <c r="A17" s="310" t="s">
        <v>32</v>
      </c>
      <c r="B17" s="280" t="s">
        <v>31</v>
      </c>
      <c r="C17" s="281" t="s">
        <v>125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97"/>
      <c r="Q17" s="309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</row>
    <row r="18" spans="1:16" ht="13.5" customHeight="1">
      <c r="A18" s="104" t="s">
        <v>33</v>
      </c>
      <c r="B18" s="298" t="s">
        <v>32</v>
      </c>
      <c r="C18" s="299" t="s">
        <v>215</v>
      </c>
      <c r="D18" s="317">
        <v>253</v>
      </c>
      <c r="E18" s="317">
        <f>+D18+11</f>
        <v>264</v>
      </c>
      <c r="F18" s="317">
        <f>253+3337</f>
        <v>3590</v>
      </c>
      <c r="G18" s="317">
        <f aca="true" t="shared" si="7" ref="F18:N20">+F18</f>
        <v>3590</v>
      </c>
      <c r="H18" s="317">
        <f t="shared" si="7"/>
        <v>3590</v>
      </c>
      <c r="I18" s="317">
        <f t="shared" si="7"/>
        <v>3590</v>
      </c>
      <c r="J18" s="317">
        <f t="shared" si="7"/>
        <v>3590</v>
      </c>
      <c r="K18" s="317">
        <f t="shared" si="7"/>
        <v>3590</v>
      </c>
      <c r="L18" s="317">
        <f t="shared" si="7"/>
        <v>3590</v>
      </c>
      <c r="M18" s="317">
        <f t="shared" si="7"/>
        <v>3590</v>
      </c>
      <c r="N18" s="317">
        <f t="shared" si="7"/>
        <v>3590</v>
      </c>
      <c r="O18" s="317">
        <f>+N18-4+8-8+1</f>
        <v>3587</v>
      </c>
      <c r="P18" s="318">
        <f>SUM(D18:O18)</f>
        <v>36414</v>
      </c>
    </row>
    <row r="19" spans="1:16" ht="24.75" customHeight="1">
      <c r="A19" s="104" t="s">
        <v>34</v>
      </c>
      <c r="B19" s="287" t="s">
        <v>33</v>
      </c>
      <c r="C19" s="293" t="s">
        <v>323</v>
      </c>
      <c r="D19" s="315">
        <v>65</v>
      </c>
      <c r="E19" s="315">
        <f>+D19+2</f>
        <v>67</v>
      </c>
      <c r="F19" s="315">
        <f>65+451</f>
        <v>516</v>
      </c>
      <c r="G19" s="315">
        <f t="shared" si="7"/>
        <v>516</v>
      </c>
      <c r="H19" s="315">
        <f t="shared" si="7"/>
        <v>516</v>
      </c>
      <c r="I19" s="315">
        <f t="shared" si="7"/>
        <v>516</v>
      </c>
      <c r="J19" s="315">
        <f t="shared" si="7"/>
        <v>516</v>
      </c>
      <c r="K19" s="315">
        <f t="shared" si="7"/>
        <v>516</v>
      </c>
      <c r="L19" s="315">
        <f t="shared" si="7"/>
        <v>516</v>
      </c>
      <c r="M19" s="315">
        <f t="shared" si="7"/>
        <v>516</v>
      </c>
      <c r="N19" s="315">
        <f t="shared" si="7"/>
        <v>516</v>
      </c>
      <c r="O19" s="315">
        <f>+N19+5-10-5</f>
        <v>506</v>
      </c>
      <c r="P19" s="316">
        <f t="shared" si="3"/>
        <v>5282</v>
      </c>
    </row>
    <row r="20" spans="1:16" ht="13.5" customHeight="1">
      <c r="A20" s="104" t="s">
        <v>35</v>
      </c>
      <c r="B20" s="287" t="s">
        <v>34</v>
      </c>
      <c r="C20" s="288" t="s">
        <v>251</v>
      </c>
      <c r="D20" s="315">
        <v>473</v>
      </c>
      <c r="E20" s="315">
        <f>+D20</f>
        <v>473</v>
      </c>
      <c r="F20" s="315">
        <f t="shared" si="7"/>
        <v>473</v>
      </c>
      <c r="G20" s="315">
        <f>+F20+1440</f>
        <v>1913</v>
      </c>
      <c r="H20" s="315">
        <v>473</v>
      </c>
      <c r="I20" s="315">
        <f t="shared" si="7"/>
        <v>473</v>
      </c>
      <c r="J20" s="315">
        <f t="shared" si="7"/>
        <v>473</v>
      </c>
      <c r="K20" s="315">
        <f t="shared" si="7"/>
        <v>473</v>
      </c>
      <c r="L20" s="315">
        <f t="shared" si="7"/>
        <v>473</v>
      </c>
      <c r="M20" s="315">
        <f t="shared" si="7"/>
        <v>473</v>
      </c>
      <c r="N20" s="315">
        <f t="shared" si="7"/>
        <v>473</v>
      </c>
      <c r="O20" s="315">
        <f>+N20+3+9450</f>
        <v>9926</v>
      </c>
      <c r="P20" s="316">
        <f t="shared" si="3"/>
        <v>16569</v>
      </c>
    </row>
    <row r="21" spans="1:16" ht="13.5" customHeight="1">
      <c r="A21" s="104" t="s">
        <v>36</v>
      </c>
      <c r="B21" s="287" t="s">
        <v>35</v>
      </c>
      <c r="C21" s="288" t="s">
        <v>324</v>
      </c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6">
        <f t="shared" si="3"/>
        <v>0</v>
      </c>
    </row>
    <row r="22" spans="1:16" ht="13.5" customHeight="1">
      <c r="A22" s="104" t="s">
        <v>37</v>
      </c>
      <c r="B22" s="287" t="s">
        <v>36</v>
      </c>
      <c r="C22" s="288" t="s">
        <v>325</v>
      </c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6">
        <f t="shared" si="3"/>
        <v>0</v>
      </c>
    </row>
    <row r="23" spans="1:16" ht="13.5" customHeight="1">
      <c r="A23" s="104" t="s">
        <v>40</v>
      </c>
      <c r="B23" s="287" t="s">
        <v>37</v>
      </c>
      <c r="C23" s="288" t="s">
        <v>326</v>
      </c>
      <c r="D23" s="315">
        <v>2239</v>
      </c>
      <c r="E23" s="315">
        <f aca="true" t="shared" si="8" ref="E23:N23">+D23</f>
        <v>2239</v>
      </c>
      <c r="F23" s="315">
        <f t="shared" si="8"/>
        <v>2239</v>
      </c>
      <c r="G23" s="315">
        <f t="shared" si="8"/>
        <v>2239</v>
      </c>
      <c r="H23" s="315">
        <f t="shared" si="8"/>
        <v>2239</v>
      </c>
      <c r="I23" s="315">
        <f t="shared" si="8"/>
        <v>2239</v>
      </c>
      <c r="J23" s="315">
        <f t="shared" si="8"/>
        <v>2239</v>
      </c>
      <c r="K23" s="315">
        <f t="shared" si="8"/>
        <v>2239</v>
      </c>
      <c r="L23" s="315">
        <f t="shared" si="8"/>
        <v>2239</v>
      </c>
      <c r="M23" s="315">
        <f t="shared" si="8"/>
        <v>2239</v>
      </c>
      <c r="N23" s="315">
        <f t="shared" si="8"/>
        <v>2239</v>
      </c>
      <c r="O23" s="315">
        <f>+N23+1-700</f>
        <v>1540</v>
      </c>
      <c r="P23" s="316">
        <f t="shared" si="3"/>
        <v>26169</v>
      </c>
    </row>
    <row r="24" spans="1:16" ht="21" customHeight="1">
      <c r="A24" s="104" t="s">
        <v>42</v>
      </c>
      <c r="B24" s="287" t="s">
        <v>40</v>
      </c>
      <c r="C24" s="293" t="s">
        <v>327</v>
      </c>
      <c r="D24" s="315">
        <v>426</v>
      </c>
      <c r="E24" s="315">
        <f>+D24</f>
        <v>426</v>
      </c>
      <c r="F24" s="315">
        <f aca="true" t="shared" si="9" ref="F24:N24">+E24</f>
        <v>426</v>
      </c>
      <c r="G24" s="315">
        <f t="shared" si="9"/>
        <v>426</v>
      </c>
      <c r="H24" s="315">
        <f t="shared" si="9"/>
        <v>426</v>
      </c>
      <c r="I24" s="315">
        <f t="shared" si="9"/>
        <v>426</v>
      </c>
      <c r="J24" s="315">
        <f t="shared" si="9"/>
        <v>426</v>
      </c>
      <c r="K24" s="315">
        <f t="shared" si="9"/>
        <v>426</v>
      </c>
      <c r="L24" s="315">
        <f t="shared" si="9"/>
        <v>426</v>
      </c>
      <c r="M24" s="315">
        <f t="shared" si="9"/>
        <v>426</v>
      </c>
      <c r="N24" s="315">
        <f t="shared" si="9"/>
        <v>426</v>
      </c>
      <c r="O24" s="315">
        <f>+N24+2</f>
        <v>428</v>
      </c>
      <c r="P24" s="316">
        <f t="shared" si="3"/>
        <v>5114</v>
      </c>
    </row>
    <row r="25" spans="1:16" ht="13.5" customHeight="1">
      <c r="A25" s="104" t="s">
        <v>43</v>
      </c>
      <c r="B25" s="287" t="s">
        <v>42</v>
      </c>
      <c r="C25" s="288" t="s">
        <v>452</v>
      </c>
      <c r="D25" s="315"/>
      <c r="E25" s="315">
        <v>1000</v>
      </c>
      <c r="F25" s="315">
        <v>2000</v>
      </c>
      <c r="G25" s="315"/>
      <c r="H25" s="315"/>
      <c r="I25" s="315"/>
      <c r="J25" s="315"/>
      <c r="K25" s="315"/>
      <c r="L25" s="315"/>
      <c r="M25" s="315"/>
      <c r="N25" s="315"/>
      <c r="O25" s="315"/>
      <c r="P25" s="316">
        <f t="shared" si="3"/>
        <v>3000</v>
      </c>
    </row>
    <row r="26" spans="1:16" ht="13.5" customHeight="1">
      <c r="A26" s="104" t="s">
        <v>44</v>
      </c>
      <c r="B26" s="287" t="s">
        <v>43</v>
      </c>
      <c r="C26" s="288" t="s">
        <v>329</v>
      </c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6">
        <f t="shared" si="3"/>
        <v>0</v>
      </c>
    </row>
    <row r="27" spans="1:16" ht="13.5" customHeight="1">
      <c r="A27" s="104" t="s">
        <v>45</v>
      </c>
      <c r="B27" s="287" t="s">
        <v>44</v>
      </c>
      <c r="C27" s="288" t="s">
        <v>330</v>
      </c>
      <c r="D27" s="315"/>
      <c r="E27" s="315"/>
      <c r="F27" s="315"/>
      <c r="G27" s="315">
        <v>6094</v>
      </c>
      <c r="H27" s="315"/>
      <c r="I27" s="315">
        <v>8101</v>
      </c>
      <c r="J27" s="315"/>
      <c r="K27" s="315"/>
      <c r="L27" s="315"/>
      <c r="M27" s="315"/>
      <c r="N27" s="315">
        <v>26212</v>
      </c>
      <c r="O27" s="315">
        <f>35878-8101-900</f>
        <v>26877</v>
      </c>
      <c r="P27" s="316">
        <f t="shared" si="3"/>
        <v>67284</v>
      </c>
    </row>
    <row r="28" spans="1:46" s="310" customFormat="1" ht="13.5" customHeight="1" thickBot="1">
      <c r="A28" s="310" t="s">
        <v>46</v>
      </c>
      <c r="B28" s="287" t="s">
        <v>45</v>
      </c>
      <c r="C28" s="288" t="s">
        <v>331</v>
      </c>
      <c r="D28" s="315">
        <f>+'20_mell'!D16+'19_mell'!D16+'18_mell'!D16+'17_mell'!D18</f>
        <v>40033</v>
      </c>
      <c r="E28" s="315">
        <f>+'20_mell'!E16+'19_mell'!E16+'18_mell'!E16+'17_mell'!E18</f>
        <v>41035</v>
      </c>
      <c r="F28" s="315">
        <f>+'20_mell'!F16+'19_mell'!F16+'18_mell'!F16+'17_mell'!F18</f>
        <v>39453</v>
      </c>
      <c r="G28" s="315">
        <f>+'20_mell'!G16+'19_mell'!G16+'18_mell'!G16+'17_mell'!G18</f>
        <v>39605</v>
      </c>
      <c r="H28" s="315">
        <f>+'20_mell'!H16+'19_mell'!H16+'18_mell'!H16+'17_mell'!H18</f>
        <v>40269</v>
      </c>
      <c r="I28" s="315">
        <f>+'20_mell'!I16+'19_mell'!I16+'18_mell'!I16+'17_mell'!I18</f>
        <v>39369</v>
      </c>
      <c r="J28" s="315">
        <f>+'20_mell'!J16+'19_mell'!J16+'18_mell'!J16+'17_mell'!J18</f>
        <v>40732</v>
      </c>
      <c r="K28" s="315">
        <f>+'20_mell'!K16+'19_mell'!K16+'18_mell'!K16+'17_mell'!K18</f>
        <v>40732</v>
      </c>
      <c r="L28" s="315">
        <f>+'20_mell'!L16+'19_mell'!L16+'18_mell'!L16+'17_mell'!L18</f>
        <v>39932</v>
      </c>
      <c r="M28" s="315">
        <f>+'20_mell'!M16+'19_mell'!M16+'18_mell'!M16+'17_mell'!M18</f>
        <v>39715</v>
      </c>
      <c r="N28" s="315">
        <f>+'20_mell'!N16+'19_mell'!N16+'18_mell'!N16+'17_mell'!N18</f>
        <v>39369</v>
      </c>
      <c r="O28" s="315">
        <f>+'20_mell'!O16+'19_mell'!O16+'18_mell'!O16+'17_mell'!O18</f>
        <v>39191</v>
      </c>
      <c r="P28" s="316">
        <f t="shared" si="3"/>
        <v>479435</v>
      </c>
      <c r="Q28" s="309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</row>
    <row r="29" spans="1:46" s="310" customFormat="1" ht="13.5" customHeight="1" thickBot="1">
      <c r="A29" s="310" t="s">
        <v>47</v>
      </c>
      <c r="B29" s="301" t="s">
        <v>46</v>
      </c>
      <c r="C29" s="295" t="s">
        <v>332</v>
      </c>
      <c r="D29" s="319">
        <f>SUM(D18:D28)</f>
        <v>43489</v>
      </c>
      <c r="E29" s="319">
        <f aca="true" t="shared" si="10" ref="E29:O29">SUM(E18:E28)</f>
        <v>45504</v>
      </c>
      <c r="F29" s="319">
        <f t="shared" si="10"/>
        <v>48697</v>
      </c>
      <c r="G29" s="319">
        <f t="shared" si="10"/>
        <v>54383</v>
      </c>
      <c r="H29" s="319">
        <f t="shared" si="10"/>
        <v>47513</v>
      </c>
      <c r="I29" s="319">
        <f t="shared" si="10"/>
        <v>54714</v>
      </c>
      <c r="J29" s="319">
        <f t="shared" si="10"/>
        <v>47976</v>
      </c>
      <c r="K29" s="319">
        <f t="shared" si="10"/>
        <v>47976</v>
      </c>
      <c r="L29" s="319">
        <f t="shared" si="10"/>
        <v>47176</v>
      </c>
      <c r="M29" s="319">
        <f t="shared" si="10"/>
        <v>46959</v>
      </c>
      <c r="N29" s="319">
        <f t="shared" si="10"/>
        <v>72825</v>
      </c>
      <c r="O29" s="319">
        <f t="shared" si="10"/>
        <v>82055</v>
      </c>
      <c r="P29" s="321">
        <f>SUM(D29:O29)</f>
        <v>639267</v>
      </c>
      <c r="Q29" s="309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</row>
    <row r="30" spans="1:46" s="325" customFormat="1" ht="28.5" customHeight="1" thickBot="1">
      <c r="A30" s="325" t="s">
        <v>48</v>
      </c>
      <c r="B30" s="301" t="s">
        <v>47</v>
      </c>
      <c r="C30" s="303" t="s">
        <v>337</v>
      </c>
      <c r="D30" s="322">
        <f>D16-D29</f>
        <v>4149</v>
      </c>
      <c r="E30" s="322">
        <f aca="true" t="shared" si="11" ref="E30:N30">E16-E29</f>
        <v>6708</v>
      </c>
      <c r="F30" s="322">
        <f t="shared" si="11"/>
        <v>12038</v>
      </c>
      <c r="G30" s="322">
        <f t="shared" si="11"/>
        <v>-8145</v>
      </c>
      <c r="H30" s="322">
        <f t="shared" si="11"/>
        <v>-1275</v>
      </c>
      <c r="I30" s="322">
        <f t="shared" si="11"/>
        <v>-8476</v>
      </c>
      <c r="J30" s="322">
        <f t="shared" si="11"/>
        <v>-1738</v>
      </c>
      <c r="K30" s="322">
        <f t="shared" si="11"/>
        <v>-1738</v>
      </c>
      <c r="L30" s="322">
        <f t="shared" si="11"/>
        <v>13199</v>
      </c>
      <c r="M30" s="322">
        <f t="shared" si="11"/>
        <v>-721</v>
      </c>
      <c r="N30" s="322">
        <f t="shared" si="11"/>
        <v>21938</v>
      </c>
      <c r="O30" s="322">
        <f>O16-O29</f>
        <v>-35939</v>
      </c>
      <c r="P30" s="323" t="s">
        <v>335</v>
      </c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</row>
    <row r="31" spans="2:16" ht="13.5" customHeight="1"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20"/>
    </row>
    <row r="32" spans="2:16" ht="13.5" customHeight="1"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20"/>
    </row>
    <row r="33" spans="2:16" ht="13.5" customHeight="1"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20"/>
    </row>
    <row r="34" spans="2:16" ht="13.5" customHeight="1"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20"/>
    </row>
    <row r="35" spans="2:16" ht="13.5" customHeight="1"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20"/>
    </row>
    <row r="36" spans="2:16" ht="13.5" customHeight="1"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20"/>
    </row>
    <row r="37" spans="2:16" ht="13.5" customHeight="1"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20"/>
    </row>
    <row r="38" spans="2:16" ht="13.5" customHeight="1"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20"/>
    </row>
    <row r="39" spans="2:16" ht="13.5" customHeight="1"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20"/>
    </row>
    <row r="40" spans="2:16" ht="13.5" customHeight="1"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20"/>
    </row>
    <row r="41" spans="2:16" ht="13.5" customHeight="1"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20"/>
    </row>
    <row r="42" spans="2:16" ht="13.5" customHeight="1"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20"/>
    </row>
    <row r="43" spans="2:16" ht="13.5" customHeight="1"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20"/>
    </row>
    <row r="44" spans="2:16" ht="13.5" customHeight="1"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20"/>
    </row>
    <row r="45" spans="2:16" ht="13.5" customHeight="1"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20"/>
    </row>
    <row r="46" spans="2:16" ht="13.5" customHeight="1"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20"/>
    </row>
    <row r="47" spans="2:16" ht="13.5" customHeight="1"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20"/>
    </row>
    <row r="48" spans="2:16" ht="13.5" customHeight="1"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20"/>
    </row>
    <row r="49" spans="2:16" ht="13.5" customHeight="1"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20"/>
    </row>
    <row r="50" spans="2:16" ht="13.5" customHeight="1"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20"/>
    </row>
    <row r="51" spans="2:16" ht="13.5" customHeight="1"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20"/>
    </row>
    <row r="52" spans="2:16" ht="13.5" customHeight="1"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20"/>
    </row>
    <row r="53" spans="2:16" ht="13.5" customHeight="1"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20"/>
    </row>
    <row r="54" spans="2:16" ht="13.5" customHeight="1"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20"/>
    </row>
    <row r="55" spans="2:16" ht="13.5" customHeight="1"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20"/>
    </row>
    <row r="56" spans="2:16" ht="13.5" customHeight="1"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20"/>
    </row>
    <row r="57" spans="2:16" ht="13.5" customHeight="1"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20"/>
    </row>
    <row r="58" spans="2:16" ht="13.5" customHeight="1"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20"/>
    </row>
    <row r="59" spans="2:16" ht="13.5" customHeight="1"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20"/>
    </row>
    <row r="60" spans="2:16" ht="13.5" customHeight="1"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20"/>
    </row>
    <row r="61" spans="2:16" ht="13.5" customHeight="1"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20"/>
    </row>
    <row r="62" spans="2:16" ht="13.5" customHeight="1"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20"/>
    </row>
    <row r="63" spans="2:16" ht="13.5" customHeight="1"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20"/>
    </row>
    <row r="64" spans="2:16" ht="13.5" customHeight="1"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20"/>
    </row>
    <row r="65" spans="2:16" ht="13.5" customHeight="1"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20"/>
    </row>
    <row r="66" spans="2:16" ht="13.5" customHeight="1">
      <c r="B66" s="309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20"/>
    </row>
    <row r="67" spans="2:16" ht="13.5" customHeight="1"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20"/>
    </row>
    <row r="68" spans="2:16" ht="13.5" customHeight="1"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20"/>
    </row>
    <row r="69" spans="2:16" ht="13.5" customHeight="1"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20"/>
    </row>
    <row r="70" spans="2:16" ht="13.5" customHeight="1"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20"/>
    </row>
    <row r="71" spans="2:16" ht="13.5" customHeight="1"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20"/>
    </row>
    <row r="72" spans="2:16" ht="13.5" customHeight="1"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20"/>
    </row>
    <row r="73" spans="2:16" ht="13.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20"/>
    </row>
    <row r="74" spans="2:16" ht="13.5" customHeight="1"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20"/>
    </row>
    <row r="75" spans="2:16" ht="13.5" customHeight="1">
      <c r="B75" s="309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20"/>
    </row>
    <row r="76" spans="2:16" ht="13.5" customHeight="1"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20"/>
    </row>
    <row r="77" spans="2:16" ht="13.5" customHeight="1"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20"/>
    </row>
    <row r="78" spans="2:16" ht="13.5" customHeight="1"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20"/>
    </row>
    <row r="79" spans="2:16" ht="13.5" customHeight="1"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20"/>
    </row>
    <row r="80" spans="2:16" ht="13.5" customHeight="1"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20"/>
    </row>
    <row r="81" spans="2:16" ht="13.5" customHeight="1"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20"/>
    </row>
    <row r="82" spans="2:16" ht="13.5" customHeight="1"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20"/>
    </row>
    <row r="83" spans="2:16" ht="13.5" customHeight="1"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20"/>
    </row>
    <row r="84" spans="2:16" ht="13.5" customHeight="1">
      <c r="B84" s="309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20"/>
    </row>
    <row r="85" spans="2:16" ht="13.5" customHeight="1"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20"/>
    </row>
    <row r="86" spans="2:16" ht="13.5" customHeight="1">
      <c r="B86" s="309"/>
      <c r="C86" s="309"/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20"/>
    </row>
    <row r="87" spans="2:16" ht="13.5" customHeight="1">
      <c r="B87" s="309"/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20"/>
    </row>
    <row r="88" spans="2:16" ht="13.5" customHeight="1">
      <c r="B88" s="309"/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20"/>
    </row>
    <row r="89" spans="2:16" ht="13.5" customHeight="1">
      <c r="B89" s="309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20"/>
    </row>
    <row r="90" spans="2:16" ht="13.5" customHeight="1">
      <c r="B90" s="309"/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20"/>
    </row>
    <row r="91" spans="2:16" ht="13.5" customHeight="1">
      <c r="B91" s="309"/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20"/>
    </row>
    <row r="92" spans="2:16" ht="13.5" customHeight="1">
      <c r="B92" s="309"/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20"/>
    </row>
    <row r="93" spans="2:16" ht="13.5" customHeight="1"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20"/>
    </row>
    <row r="94" spans="2:16" ht="13.5" customHeight="1">
      <c r="B94" s="309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20"/>
    </row>
    <row r="95" spans="2:16" ht="13.5" customHeight="1">
      <c r="B95" s="309"/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20"/>
    </row>
    <row r="96" spans="2:16" ht="13.5" customHeight="1">
      <c r="B96" s="309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20"/>
    </row>
    <row r="97" spans="2:16" ht="13.5" customHeight="1">
      <c r="B97" s="309"/>
      <c r="C97" s="309"/>
      <c r="D97" s="309"/>
      <c r="E97" s="309"/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20"/>
    </row>
    <row r="98" spans="2:16" ht="13.5" customHeight="1">
      <c r="B98" s="309"/>
      <c r="C98" s="309"/>
      <c r="D98" s="3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20"/>
    </row>
    <row r="99" spans="2:16" ht="13.5" customHeight="1">
      <c r="B99" s="309"/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20"/>
    </row>
    <row r="100" spans="2:16" ht="13.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20"/>
    </row>
    <row r="101" spans="2:16" ht="13.5" customHeight="1"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20"/>
    </row>
    <row r="102" spans="2:16" ht="13.5" customHeight="1">
      <c r="B102" s="309"/>
      <c r="C102" s="309"/>
      <c r="D102" s="309"/>
      <c r="E102" s="309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20"/>
    </row>
    <row r="103" spans="2:16" ht="13.5" customHeight="1">
      <c r="B103" s="309"/>
      <c r="C103" s="309"/>
      <c r="D103" s="309"/>
      <c r="E103" s="309"/>
      <c r="F103" s="309"/>
      <c r="G103" s="309"/>
      <c r="H103" s="309"/>
      <c r="I103" s="309"/>
      <c r="J103" s="309"/>
      <c r="K103" s="309"/>
      <c r="L103" s="309"/>
      <c r="M103" s="309"/>
      <c r="N103" s="309"/>
      <c r="O103" s="309"/>
      <c r="P103" s="320"/>
    </row>
    <row r="104" spans="2:16" ht="13.5" customHeight="1">
      <c r="B104" s="309"/>
      <c r="C104" s="309"/>
      <c r="D104" s="309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20"/>
    </row>
    <row r="105" spans="2:16" ht="13.5" customHeight="1">
      <c r="B105" s="309"/>
      <c r="C105" s="309"/>
      <c r="D105" s="309"/>
      <c r="E105" s="309"/>
      <c r="F105" s="309"/>
      <c r="G105" s="309"/>
      <c r="H105" s="309"/>
      <c r="I105" s="309"/>
      <c r="J105" s="309"/>
      <c r="K105" s="309"/>
      <c r="L105" s="309"/>
      <c r="M105" s="309"/>
      <c r="N105" s="309"/>
      <c r="O105" s="309"/>
      <c r="P105" s="320"/>
    </row>
    <row r="106" spans="2:16" ht="13.5" customHeight="1">
      <c r="B106" s="309"/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20"/>
    </row>
    <row r="107" spans="2:16" ht="13.5" customHeight="1">
      <c r="B107" s="309"/>
      <c r="C107" s="309"/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20"/>
    </row>
    <row r="108" spans="2:16" ht="13.5" customHeight="1">
      <c r="B108" s="309"/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20"/>
    </row>
    <row r="109" spans="2:16" ht="13.5" customHeight="1">
      <c r="B109" s="309"/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20"/>
    </row>
    <row r="110" spans="2:16" ht="13.5" customHeight="1"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20"/>
    </row>
    <row r="111" spans="2:16" ht="13.5" customHeight="1">
      <c r="B111" s="309"/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20"/>
    </row>
    <row r="112" spans="2:16" ht="13.5" customHeight="1">
      <c r="B112" s="309"/>
      <c r="C112" s="309"/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20"/>
    </row>
    <row r="113" spans="2:16" ht="13.5" customHeight="1">
      <c r="B113" s="309"/>
      <c r="C113" s="309"/>
      <c r="D113" s="309"/>
      <c r="E113" s="309"/>
      <c r="F113" s="309"/>
      <c r="G113" s="309"/>
      <c r="H113" s="309"/>
      <c r="I113" s="309"/>
      <c r="J113" s="309"/>
      <c r="K113" s="309"/>
      <c r="L113" s="309"/>
      <c r="M113" s="309"/>
      <c r="N113" s="309"/>
      <c r="O113" s="309"/>
      <c r="P113" s="320"/>
    </row>
    <row r="114" spans="2:16" ht="13.5" customHeight="1">
      <c r="B114" s="309"/>
      <c r="C114" s="309"/>
      <c r="D114" s="309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20"/>
    </row>
    <row r="115" spans="2:16" ht="13.5" customHeight="1">
      <c r="B115" s="309"/>
      <c r="C115" s="309"/>
      <c r="D115" s="309"/>
      <c r="E115" s="309"/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20"/>
    </row>
    <row r="116" spans="2:16" ht="13.5" customHeight="1">
      <c r="B116" s="309"/>
      <c r="C116" s="309"/>
      <c r="D116" s="309"/>
      <c r="E116" s="309"/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20"/>
    </row>
    <row r="117" spans="2:16" ht="13.5" customHeight="1">
      <c r="B117" s="309"/>
      <c r="C117" s="309"/>
      <c r="D117" s="309"/>
      <c r="E117" s="309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20"/>
    </row>
    <row r="118" spans="2:16" ht="13.5" customHeight="1"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20"/>
    </row>
    <row r="119" spans="2:16" ht="13.5" customHeight="1">
      <c r="B119" s="309"/>
      <c r="C119" s="309"/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20"/>
    </row>
    <row r="120" spans="2:16" ht="13.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20"/>
    </row>
    <row r="121" spans="2:16" ht="13.5" customHeight="1">
      <c r="B121" s="309"/>
      <c r="C121" s="309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P121" s="320"/>
    </row>
    <row r="122" spans="2:16" ht="13.5" customHeight="1">
      <c r="B122" s="309"/>
      <c r="C122" s="309"/>
      <c r="D122" s="309"/>
      <c r="E122" s="309"/>
      <c r="F122" s="309"/>
      <c r="G122" s="309"/>
      <c r="H122" s="309"/>
      <c r="I122" s="309"/>
      <c r="J122" s="309"/>
      <c r="K122" s="309"/>
      <c r="L122" s="309"/>
      <c r="M122" s="309"/>
      <c r="N122" s="309"/>
      <c r="O122" s="309"/>
      <c r="P122" s="320"/>
    </row>
    <row r="123" spans="2:16" ht="13.5" customHeight="1">
      <c r="B123" s="309"/>
      <c r="C123" s="309"/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  <c r="N123" s="309"/>
      <c r="O123" s="309"/>
      <c r="P123" s="320"/>
    </row>
    <row r="124" spans="2:16" ht="13.5" customHeight="1">
      <c r="B124" s="309"/>
      <c r="C124" s="309"/>
      <c r="D124" s="309"/>
      <c r="E124" s="309"/>
      <c r="F124" s="309"/>
      <c r="G124" s="309"/>
      <c r="H124" s="309"/>
      <c r="I124" s="309"/>
      <c r="J124" s="309"/>
      <c r="K124" s="309"/>
      <c r="L124" s="309"/>
      <c r="M124" s="309"/>
      <c r="N124" s="309"/>
      <c r="O124" s="309"/>
      <c r="P124" s="320"/>
    </row>
    <row r="125" spans="2:16" ht="13.5" customHeight="1">
      <c r="B125" s="309"/>
      <c r="C125" s="309"/>
      <c r="D125" s="309"/>
      <c r="E125" s="309"/>
      <c r="F125" s="309"/>
      <c r="G125" s="309"/>
      <c r="H125" s="309"/>
      <c r="I125" s="309"/>
      <c r="J125" s="309"/>
      <c r="K125" s="309"/>
      <c r="L125" s="309"/>
      <c r="M125" s="309"/>
      <c r="N125" s="309"/>
      <c r="O125" s="309"/>
      <c r="P125" s="320"/>
    </row>
    <row r="126" spans="2:16" ht="13.5" customHeight="1">
      <c r="B126" s="309"/>
      <c r="C126" s="309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20"/>
    </row>
    <row r="127" spans="2:16" ht="13.5" customHeight="1">
      <c r="B127" s="309"/>
      <c r="C127" s="309"/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P127" s="320"/>
    </row>
    <row r="128" spans="2:16" ht="13.5" customHeight="1">
      <c r="B128" s="309"/>
      <c r="C128" s="309"/>
      <c r="D128" s="309"/>
      <c r="E128" s="309"/>
      <c r="F128" s="309"/>
      <c r="G128" s="309"/>
      <c r="H128" s="309"/>
      <c r="I128" s="309"/>
      <c r="J128" s="309"/>
      <c r="K128" s="309"/>
      <c r="L128" s="309"/>
      <c r="M128" s="309"/>
      <c r="N128" s="309"/>
      <c r="O128" s="309"/>
      <c r="P128" s="320"/>
    </row>
    <row r="129" spans="2:16" ht="13.5" customHeight="1">
      <c r="B129" s="309"/>
      <c r="C129" s="309"/>
      <c r="D129" s="309"/>
      <c r="E129" s="309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  <c r="P129" s="320"/>
    </row>
    <row r="130" spans="2:16" ht="13.5" customHeight="1">
      <c r="B130" s="309"/>
      <c r="C130" s="309"/>
      <c r="D130" s="309"/>
      <c r="E130" s="309"/>
      <c r="F130" s="309"/>
      <c r="G130" s="309"/>
      <c r="H130" s="309"/>
      <c r="I130" s="309"/>
      <c r="J130" s="309"/>
      <c r="K130" s="309"/>
      <c r="L130" s="309"/>
      <c r="M130" s="309"/>
      <c r="N130" s="309"/>
      <c r="O130" s="309"/>
      <c r="P130" s="320"/>
    </row>
    <row r="131" spans="2:16" ht="13.5" customHeight="1">
      <c r="B131" s="309"/>
      <c r="C131" s="309"/>
      <c r="D131" s="309"/>
      <c r="E131" s="309"/>
      <c r="F131" s="309"/>
      <c r="G131" s="309"/>
      <c r="H131" s="309"/>
      <c r="I131" s="309"/>
      <c r="J131" s="309"/>
      <c r="K131" s="309"/>
      <c r="L131" s="309"/>
      <c r="M131" s="309"/>
      <c r="N131" s="309"/>
      <c r="O131" s="309"/>
      <c r="P131" s="320"/>
    </row>
    <row r="132" spans="2:16" ht="13.5" customHeight="1"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  <c r="O132" s="309"/>
      <c r="P132" s="320"/>
    </row>
    <row r="133" spans="2:16" ht="13.5" customHeight="1">
      <c r="B133" s="309"/>
      <c r="C133" s="309"/>
      <c r="D133" s="309"/>
      <c r="E133" s="309"/>
      <c r="F133" s="309"/>
      <c r="G133" s="309"/>
      <c r="H133" s="309"/>
      <c r="I133" s="309"/>
      <c r="J133" s="309"/>
      <c r="K133" s="309"/>
      <c r="L133" s="309"/>
      <c r="M133" s="309"/>
      <c r="N133" s="309"/>
      <c r="O133" s="309"/>
      <c r="P133" s="320"/>
    </row>
    <row r="134" spans="2:16" ht="13.5" customHeight="1">
      <c r="B134" s="309"/>
      <c r="C134" s="309"/>
      <c r="D134" s="309"/>
      <c r="E134" s="309"/>
      <c r="F134" s="309"/>
      <c r="G134" s="309"/>
      <c r="H134" s="309"/>
      <c r="I134" s="309"/>
      <c r="J134" s="309"/>
      <c r="K134" s="309"/>
      <c r="L134" s="309"/>
      <c r="M134" s="309"/>
      <c r="N134" s="309"/>
      <c r="O134" s="309"/>
      <c r="P134" s="320"/>
    </row>
    <row r="135" spans="2:16" ht="13.5" customHeight="1">
      <c r="B135" s="309"/>
      <c r="C135" s="309"/>
      <c r="D135" s="309"/>
      <c r="E135" s="309"/>
      <c r="F135" s="309"/>
      <c r="G135" s="309"/>
      <c r="H135" s="309"/>
      <c r="I135" s="309"/>
      <c r="J135" s="309"/>
      <c r="K135" s="309"/>
      <c r="L135" s="309"/>
      <c r="M135" s="309"/>
      <c r="N135" s="309"/>
      <c r="O135" s="309"/>
      <c r="P135" s="320"/>
    </row>
    <row r="136" spans="2:16" ht="13.5" customHeight="1">
      <c r="B136" s="309"/>
      <c r="C136" s="309"/>
      <c r="D136" s="309"/>
      <c r="E136" s="309"/>
      <c r="F136" s="309"/>
      <c r="G136" s="309"/>
      <c r="H136" s="309"/>
      <c r="I136" s="309"/>
      <c r="J136" s="309"/>
      <c r="K136" s="309"/>
      <c r="L136" s="309"/>
      <c r="M136" s="309"/>
      <c r="N136" s="309"/>
      <c r="O136" s="309"/>
      <c r="P136" s="320"/>
    </row>
    <row r="137" spans="2:16" ht="13.5" customHeight="1">
      <c r="B137" s="309"/>
      <c r="C137" s="309"/>
      <c r="D137" s="309"/>
      <c r="E137" s="309"/>
      <c r="F137" s="309"/>
      <c r="G137" s="309"/>
      <c r="H137" s="309"/>
      <c r="I137" s="309"/>
      <c r="J137" s="309"/>
      <c r="K137" s="309"/>
      <c r="L137" s="309"/>
      <c r="M137" s="309"/>
      <c r="N137" s="309"/>
      <c r="O137" s="309"/>
      <c r="P137" s="320"/>
    </row>
    <row r="138" spans="2:16" ht="13.5" customHeight="1">
      <c r="B138" s="309"/>
      <c r="C138" s="309"/>
      <c r="D138" s="309"/>
      <c r="E138" s="309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20"/>
    </row>
    <row r="139" spans="2:16" ht="13.5" customHeight="1">
      <c r="B139" s="309"/>
      <c r="C139" s="309"/>
      <c r="D139" s="309"/>
      <c r="E139" s="309"/>
      <c r="F139" s="309"/>
      <c r="G139" s="309"/>
      <c r="H139" s="309"/>
      <c r="I139" s="309"/>
      <c r="J139" s="309"/>
      <c r="K139" s="309"/>
      <c r="L139" s="309"/>
      <c r="M139" s="309"/>
      <c r="N139" s="309"/>
      <c r="O139" s="309"/>
      <c r="P139" s="320"/>
    </row>
    <row r="140" spans="2:16" ht="13.5" customHeight="1"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20"/>
    </row>
    <row r="141" spans="2:16" ht="13.5" customHeight="1">
      <c r="B141" s="309"/>
      <c r="C141" s="309"/>
      <c r="D141" s="309"/>
      <c r="E141" s="309"/>
      <c r="F141" s="309"/>
      <c r="G141" s="309"/>
      <c r="H141" s="309"/>
      <c r="I141" s="309"/>
      <c r="J141" s="309"/>
      <c r="K141" s="309"/>
      <c r="L141" s="309"/>
      <c r="M141" s="309"/>
      <c r="N141" s="309"/>
      <c r="O141" s="309"/>
      <c r="P141" s="320"/>
    </row>
    <row r="142" spans="2:16" ht="13.5" customHeight="1">
      <c r="B142" s="309"/>
      <c r="C142" s="309"/>
      <c r="D142" s="309"/>
      <c r="E142" s="309"/>
      <c r="F142" s="309"/>
      <c r="G142" s="309"/>
      <c r="H142" s="309"/>
      <c r="I142" s="309"/>
      <c r="J142" s="309"/>
      <c r="K142" s="309"/>
      <c r="L142" s="309"/>
      <c r="M142" s="309"/>
      <c r="N142" s="309"/>
      <c r="O142" s="309"/>
      <c r="P142" s="320"/>
    </row>
    <row r="143" spans="2:16" ht="13.5" customHeight="1">
      <c r="B143" s="309"/>
      <c r="C143" s="309"/>
      <c r="D143" s="309"/>
      <c r="E143" s="309"/>
      <c r="F143" s="309"/>
      <c r="G143" s="309"/>
      <c r="H143" s="309"/>
      <c r="I143" s="309"/>
      <c r="J143" s="309"/>
      <c r="K143" s="309"/>
      <c r="L143" s="309"/>
      <c r="M143" s="309"/>
      <c r="N143" s="309"/>
      <c r="O143" s="309"/>
      <c r="P143" s="320"/>
    </row>
    <row r="144" spans="2:16" ht="13.5" customHeight="1">
      <c r="B144" s="309"/>
      <c r="C144" s="309"/>
      <c r="D144" s="309"/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  <c r="P144" s="320"/>
    </row>
    <row r="145" spans="2:16" ht="13.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  <c r="L145" s="309"/>
      <c r="M145" s="309"/>
      <c r="N145" s="309"/>
      <c r="O145" s="309"/>
      <c r="P145" s="320"/>
    </row>
    <row r="146" spans="2:16" ht="13.5" customHeight="1">
      <c r="B146" s="309"/>
      <c r="C146" s="309"/>
      <c r="D146" s="309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20"/>
    </row>
    <row r="147" spans="2:16" ht="13.5" customHeight="1">
      <c r="B147" s="309"/>
      <c r="C147" s="309"/>
      <c r="D147" s="309"/>
      <c r="E147" s="309"/>
      <c r="F147" s="309"/>
      <c r="G147" s="309"/>
      <c r="H147" s="309"/>
      <c r="I147" s="309"/>
      <c r="J147" s="309"/>
      <c r="K147" s="309"/>
      <c r="L147" s="309"/>
      <c r="M147" s="309"/>
      <c r="N147" s="309"/>
      <c r="O147" s="309"/>
      <c r="P147" s="320"/>
    </row>
    <row r="148" spans="2:16" ht="13.5" customHeight="1">
      <c r="B148" s="309"/>
      <c r="C148" s="309"/>
      <c r="D148" s="309"/>
      <c r="E148" s="309"/>
      <c r="F148" s="309"/>
      <c r="G148" s="309"/>
      <c r="H148" s="309"/>
      <c r="I148" s="309"/>
      <c r="J148" s="309"/>
      <c r="K148" s="309"/>
      <c r="L148" s="309"/>
      <c r="M148" s="309"/>
      <c r="N148" s="309"/>
      <c r="O148" s="309"/>
      <c r="P148" s="320"/>
    </row>
    <row r="149" spans="2:16" ht="13.5" customHeight="1">
      <c r="B149" s="309"/>
      <c r="C149" s="309"/>
      <c r="D149" s="309"/>
      <c r="E149" s="309"/>
      <c r="F149" s="309"/>
      <c r="G149" s="309"/>
      <c r="H149" s="309"/>
      <c r="I149" s="309"/>
      <c r="J149" s="309"/>
      <c r="K149" s="309"/>
      <c r="L149" s="309"/>
      <c r="M149" s="309"/>
      <c r="N149" s="309"/>
      <c r="O149" s="309"/>
      <c r="P149" s="320"/>
    </row>
    <row r="150" spans="2:16" ht="13.5" customHeight="1">
      <c r="B150" s="309"/>
      <c r="C150" s="309"/>
      <c r="D150" s="309"/>
      <c r="E150" s="309"/>
      <c r="F150" s="309"/>
      <c r="G150" s="309"/>
      <c r="H150" s="309"/>
      <c r="I150" s="309"/>
      <c r="J150" s="309"/>
      <c r="K150" s="309"/>
      <c r="L150" s="309"/>
      <c r="M150" s="309"/>
      <c r="N150" s="309"/>
      <c r="O150" s="309"/>
      <c r="P150" s="320"/>
    </row>
    <row r="151" spans="2:16" ht="13.5" customHeight="1">
      <c r="B151" s="309"/>
      <c r="C151" s="309"/>
      <c r="D151" s="309"/>
      <c r="E151" s="309"/>
      <c r="F151" s="309"/>
      <c r="G151" s="309"/>
      <c r="H151" s="309"/>
      <c r="I151" s="309"/>
      <c r="J151" s="309"/>
      <c r="K151" s="309"/>
      <c r="L151" s="309"/>
      <c r="M151" s="309"/>
      <c r="N151" s="309"/>
      <c r="O151" s="309"/>
      <c r="P151" s="320"/>
    </row>
    <row r="152" spans="2:16" ht="13.5" customHeight="1">
      <c r="B152" s="309"/>
      <c r="C152" s="309"/>
      <c r="D152" s="309"/>
      <c r="E152" s="309"/>
      <c r="F152" s="309"/>
      <c r="G152" s="309"/>
      <c r="H152" s="309"/>
      <c r="I152" s="309"/>
      <c r="J152" s="309"/>
      <c r="K152" s="309"/>
      <c r="L152" s="309"/>
      <c r="M152" s="309"/>
      <c r="N152" s="309"/>
      <c r="O152" s="309"/>
      <c r="P152" s="320"/>
    </row>
    <row r="153" spans="2:16" ht="13.5" customHeight="1">
      <c r="B153" s="309"/>
      <c r="C153" s="309"/>
      <c r="D153" s="309"/>
      <c r="E153" s="309"/>
      <c r="F153" s="309"/>
      <c r="G153" s="309"/>
      <c r="H153" s="309"/>
      <c r="I153" s="309"/>
      <c r="J153" s="309"/>
      <c r="K153" s="309"/>
      <c r="L153" s="309"/>
      <c r="M153" s="309"/>
      <c r="N153" s="309"/>
      <c r="O153" s="309"/>
      <c r="P153" s="320"/>
    </row>
    <row r="154" spans="2:16" ht="13.5" customHeight="1">
      <c r="B154" s="309"/>
      <c r="C154" s="309"/>
      <c r="D154" s="309"/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  <c r="P154" s="320"/>
    </row>
    <row r="155" spans="2:16" ht="13.5" customHeight="1">
      <c r="B155" s="309"/>
      <c r="C155" s="309"/>
      <c r="D155" s="309"/>
      <c r="E155" s="309"/>
      <c r="F155" s="309"/>
      <c r="G155" s="309"/>
      <c r="H155" s="309"/>
      <c r="I155" s="309"/>
      <c r="J155" s="309"/>
      <c r="K155" s="309"/>
      <c r="L155" s="309"/>
      <c r="M155" s="309"/>
      <c r="N155" s="309"/>
      <c r="O155" s="309"/>
      <c r="P155" s="320"/>
    </row>
    <row r="156" spans="2:16" ht="13.5" customHeight="1">
      <c r="B156" s="309"/>
      <c r="C156" s="309"/>
      <c r="D156" s="309"/>
      <c r="E156" s="309"/>
      <c r="F156" s="309"/>
      <c r="G156" s="309"/>
      <c r="H156" s="309"/>
      <c r="I156" s="309"/>
      <c r="J156" s="309"/>
      <c r="K156" s="309"/>
      <c r="L156" s="309"/>
      <c r="M156" s="309"/>
      <c r="N156" s="309"/>
      <c r="O156" s="309"/>
      <c r="P156" s="320"/>
    </row>
    <row r="157" spans="2:16" ht="13.5" customHeight="1">
      <c r="B157" s="309"/>
      <c r="C157" s="309"/>
      <c r="D157" s="309"/>
      <c r="E157" s="309"/>
      <c r="F157" s="309"/>
      <c r="G157" s="309"/>
      <c r="H157" s="309"/>
      <c r="I157" s="309"/>
      <c r="J157" s="309"/>
      <c r="K157" s="309"/>
      <c r="L157" s="309"/>
      <c r="M157" s="309"/>
      <c r="N157" s="309"/>
      <c r="O157" s="309"/>
      <c r="P157" s="320"/>
    </row>
    <row r="158" spans="2:16" ht="13.5" customHeight="1">
      <c r="B158" s="309"/>
      <c r="C158" s="309"/>
      <c r="D158" s="309"/>
      <c r="E158" s="309"/>
      <c r="F158" s="309"/>
      <c r="G158" s="309"/>
      <c r="H158" s="309"/>
      <c r="I158" s="309"/>
      <c r="J158" s="309"/>
      <c r="K158" s="309"/>
      <c r="L158" s="309"/>
      <c r="M158" s="309"/>
      <c r="N158" s="309"/>
      <c r="O158" s="309"/>
      <c r="P158" s="320"/>
    </row>
    <row r="159" spans="2:16" ht="13.5" customHeight="1">
      <c r="B159" s="309"/>
      <c r="C159" s="309"/>
      <c r="D159" s="309"/>
      <c r="E159" s="309"/>
      <c r="F159" s="309"/>
      <c r="G159" s="309"/>
      <c r="H159" s="309"/>
      <c r="I159" s="309"/>
      <c r="J159" s="309"/>
      <c r="K159" s="309"/>
      <c r="L159" s="309"/>
      <c r="M159" s="309"/>
      <c r="N159" s="309"/>
      <c r="O159" s="309"/>
      <c r="P159" s="320"/>
    </row>
    <row r="160" spans="2:16" ht="13.5" customHeight="1">
      <c r="B160" s="309"/>
      <c r="C160" s="309"/>
      <c r="D160" s="309"/>
      <c r="E160" s="309"/>
      <c r="F160" s="309"/>
      <c r="G160" s="309"/>
      <c r="H160" s="309"/>
      <c r="I160" s="309"/>
      <c r="J160" s="309"/>
      <c r="K160" s="309"/>
      <c r="L160" s="309"/>
      <c r="M160" s="309"/>
      <c r="N160" s="309"/>
      <c r="O160" s="309"/>
      <c r="P160" s="320"/>
    </row>
    <row r="161" spans="2:16" ht="13.5" customHeight="1">
      <c r="B161" s="309"/>
      <c r="C161" s="309"/>
      <c r="D161" s="309"/>
      <c r="E161" s="309"/>
      <c r="F161" s="309"/>
      <c r="G161" s="309"/>
      <c r="H161" s="309"/>
      <c r="I161" s="309"/>
      <c r="J161" s="309"/>
      <c r="K161" s="309"/>
      <c r="L161" s="309"/>
      <c r="M161" s="309"/>
      <c r="N161" s="309"/>
      <c r="O161" s="309"/>
      <c r="P161" s="320"/>
    </row>
    <row r="162" spans="2:16" ht="13.5" customHeight="1">
      <c r="B162" s="309"/>
      <c r="C162" s="309"/>
      <c r="D162" s="309"/>
      <c r="E162" s="309"/>
      <c r="F162" s="309"/>
      <c r="G162" s="309"/>
      <c r="H162" s="309"/>
      <c r="I162" s="309"/>
      <c r="J162" s="309"/>
      <c r="K162" s="309"/>
      <c r="L162" s="309"/>
      <c r="M162" s="309"/>
      <c r="N162" s="309"/>
      <c r="O162" s="309"/>
      <c r="P162" s="320"/>
    </row>
    <row r="163" spans="2:16" ht="13.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  <c r="L163" s="309"/>
      <c r="M163" s="309"/>
      <c r="N163" s="309"/>
      <c r="O163" s="309"/>
      <c r="P163" s="320"/>
    </row>
    <row r="164" spans="2:16" ht="13.5" customHeight="1">
      <c r="B164" s="309"/>
      <c r="C164" s="309"/>
      <c r="D164" s="309"/>
      <c r="E164" s="309"/>
      <c r="F164" s="309"/>
      <c r="G164" s="309"/>
      <c r="H164" s="309"/>
      <c r="I164" s="309"/>
      <c r="J164" s="309"/>
      <c r="K164" s="309"/>
      <c r="L164" s="309"/>
      <c r="M164" s="309"/>
      <c r="N164" s="309"/>
      <c r="O164" s="309"/>
      <c r="P164" s="320"/>
    </row>
    <row r="165" spans="2:16" ht="13.5" customHeight="1">
      <c r="B165" s="309"/>
      <c r="C165" s="309"/>
      <c r="D165" s="309"/>
      <c r="E165" s="309"/>
      <c r="F165" s="309"/>
      <c r="G165" s="309"/>
      <c r="H165" s="309"/>
      <c r="I165" s="309"/>
      <c r="J165" s="309"/>
      <c r="K165" s="309"/>
      <c r="L165" s="309"/>
      <c r="M165" s="309"/>
      <c r="N165" s="309"/>
      <c r="O165" s="309"/>
      <c r="P165" s="320"/>
    </row>
    <row r="166" spans="2:16" ht="13.5" customHeight="1">
      <c r="B166" s="309"/>
      <c r="C166" s="309"/>
      <c r="D166" s="309"/>
      <c r="E166" s="309"/>
      <c r="F166" s="309"/>
      <c r="G166" s="309"/>
      <c r="H166" s="309"/>
      <c r="I166" s="309"/>
      <c r="J166" s="309"/>
      <c r="K166" s="309"/>
      <c r="L166" s="309"/>
      <c r="M166" s="309"/>
      <c r="N166" s="309"/>
      <c r="O166" s="309"/>
      <c r="P166" s="320"/>
    </row>
    <row r="167" spans="2:16" ht="13.5" customHeight="1">
      <c r="B167" s="309"/>
      <c r="C167" s="309"/>
      <c r="D167" s="309"/>
      <c r="E167" s="309"/>
      <c r="F167" s="309"/>
      <c r="G167" s="309"/>
      <c r="H167" s="309"/>
      <c r="I167" s="309"/>
      <c r="J167" s="309"/>
      <c r="K167" s="309"/>
      <c r="L167" s="309"/>
      <c r="M167" s="309"/>
      <c r="N167" s="309"/>
      <c r="O167" s="309"/>
      <c r="P167" s="320"/>
    </row>
    <row r="168" spans="2:16" ht="13.5" customHeight="1">
      <c r="B168" s="309"/>
      <c r="C168" s="309"/>
      <c r="D168" s="309"/>
      <c r="E168" s="309"/>
      <c r="F168" s="309"/>
      <c r="G168" s="309"/>
      <c r="H168" s="309"/>
      <c r="I168" s="309"/>
      <c r="J168" s="309"/>
      <c r="K168" s="309"/>
      <c r="L168" s="309"/>
      <c r="M168" s="309"/>
      <c r="N168" s="309"/>
      <c r="O168" s="309"/>
      <c r="P168" s="320"/>
    </row>
    <row r="169" spans="2:16" ht="13.5" customHeight="1">
      <c r="B169" s="309"/>
      <c r="C169" s="309"/>
      <c r="D169" s="309"/>
      <c r="E169" s="309"/>
      <c r="F169" s="309"/>
      <c r="G169" s="309"/>
      <c r="H169" s="309"/>
      <c r="I169" s="309"/>
      <c r="J169" s="309"/>
      <c r="K169" s="309"/>
      <c r="L169" s="309"/>
      <c r="M169" s="309"/>
      <c r="N169" s="309"/>
      <c r="O169" s="309"/>
      <c r="P169" s="320"/>
    </row>
    <row r="170" spans="2:16" ht="13.5" customHeight="1">
      <c r="B170" s="309"/>
      <c r="C170" s="309"/>
      <c r="D170" s="309"/>
      <c r="E170" s="309"/>
      <c r="F170" s="309"/>
      <c r="G170" s="309"/>
      <c r="H170" s="309"/>
      <c r="I170" s="309"/>
      <c r="J170" s="309"/>
      <c r="K170" s="309"/>
      <c r="L170" s="309"/>
      <c r="M170" s="309"/>
      <c r="N170" s="309"/>
      <c r="O170" s="309"/>
      <c r="P170" s="320"/>
    </row>
    <row r="171" spans="2:16" ht="13.5" customHeight="1">
      <c r="B171" s="309"/>
      <c r="C171" s="309"/>
      <c r="D171" s="309"/>
      <c r="E171" s="309"/>
      <c r="F171" s="309"/>
      <c r="G171" s="309"/>
      <c r="H171" s="309"/>
      <c r="I171" s="309"/>
      <c r="J171" s="309"/>
      <c r="K171" s="309"/>
      <c r="L171" s="309"/>
      <c r="M171" s="309"/>
      <c r="N171" s="309"/>
      <c r="O171" s="309"/>
      <c r="P171" s="320"/>
    </row>
    <row r="172" spans="2:16" ht="13.5" customHeight="1">
      <c r="B172" s="309"/>
      <c r="C172" s="309"/>
      <c r="D172" s="309"/>
      <c r="E172" s="309"/>
      <c r="F172" s="309"/>
      <c r="G172" s="309"/>
      <c r="H172" s="309"/>
      <c r="I172" s="309"/>
      <c r="J172" s="309"/>
      <c r="K172" s="309"/>
      <c r="L172" s="309"/>
      <c r="M172" s="309"/>
      <c r="N172" s="309"/>
      <c r="O172" s="309"/>
      <c r="P172" s="320"/>
    </row>
    <row r="173" spans="2:16" ht="13.5" customHeight="1">
      <c r="B173" s="309"/>
      <c r="C173" s="309"/>
      <c r="D173" s="309"/>
      <c r="E173" s="309"/>
      <c r="F173" s="309"/>
      <c r="G173" s="309"/>
      <c r="H173" s="309"/>
      <c r="I173" s="309"/>
      <c r="J173" s="309"/>
      <c r="K173" s="309"/>
      <c r="L173" s="309"/>
      <c r="M173" s="309"/>
      <c r="N173" s="309"/>
      <c r="O173" s="309"/>
      <c r="P173" s="320"/>
    </row>
    <row r="174" spans="2:16" ht="13.5" customHeight="1">
      <c r="B174" s="309"/>
      <c r="C174" s="309"/>
      <c r="D174" s="309"/>
      <c r="E174" s="309"/>
      <c r="F174" s="309"/>
      <c r="G174" s="309"/>
      <c r="H174" s="309"/>
      <c r="I174" s="309"/>
      <c r="J174" s="309"/>
      <c r="K174" s="309"/>
      <c r="L174" s="309"/>
      <c r="M174" s="309"/>
      <c r="N174" s="309"/>
      <c r="O174" s="309"/>
      <c r="P174" s="320"/>
    </row>
    <row r="175" spans="2:16" ht="13.5" customHeight="1">
      <c r="B175" s="309"/>
      <c r="C175" s="309"/>
      <c r="D175" s="309"/>
      <c r="E175" s="309"/>
      <c r="F175" s="309"/>
      <c r="G175" s="309"/>
      <c r="H175" s="309"/>
      <c r="I175" s="309"/>
      <c r="J175" s="309"/>
      <c r="K175" s="309"/>
      <c r="L175" s="309"/>
      <c r="M175" s="309"/>
      <c r="N175" s="309"/>
      <c r="O175" s="309"/>
      <c r="P175" s="320"/>
    </row>
    <row r="176" spans="2:16" ht="13.5" customHeight="1">
      <c r="B176" s="309"/>
      <c r="C176" s="309"/>
      <c r="D176" s="309"/>
      <c r="E176" s="309"/>
      <c r="F176" s="309"/>
      <c r="G176" s="309"/>
      <c r="H176" s="309"/>
      <c r="I176" s="309"/>
      <c r="J176" s="309"/>
      <c r="K176" s="309"/>
      <c r="L176" s="309"/>
      <c r="M176" s="309"/>
      <c r="N176" s="309"/>
      <c r="O176" s="309"/>
      <c r="P176" s="320"/>
    </row>
    <row r="177" spans="2:16" ht="13.5" customHeight="1">
      <c r="B177" s="309"/>
      <c r="C177" s="309"/>
      <c r="D177" s="309"/>
      <c r="E177" s="309"/>
      <c r="F177" s="309"/>
      <c r="G177" s="309"/>
      <c r="H177" s="309"/>
      <c r="I177" s="309"/>
      <c r="J177" s="309"/>
      <c r="K177" s="309"/>
      <c r="L177" s="309"/>
      <c r="M177" s="309"/>
      <c r="N177" s="309"/>
      <c r="O177" s="309"/>
      <c r="P177" s="320"/>
    </row>
    <row r="178" spans="2:16" ht="13.5" customHeight="1">
      <c r="B178" s="309"/>
      <c r="C178" s="309"/>
      <c r="D178" s="309"/>
      <c r="E178" s="309"/>
      <c r="F178" s="309"/>
      <c r="G178" s="309"/>
      <c r="H178" s="309"/>
      <c r="I178" s="309"/>
      <c r="J178" s="309"/>
      <c r="K178" s="309"/>
      <c r="L178" s="309"/>
      <c r="M178" s="309"/>
      <c r="N178" s="309"/>
      <c r="O178" s="309"/>
      <c r="P178" s="320"/>
    </row>
    <row r="179" spans="2:16" ht="13.5" customHeight="1">
      <c r="B179" s="309"/>
      <c r="C179" s="309"/>
      <c r="D179" s="309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20"/>
    </row>
    <row r="180" spans="2:16" ht="13.5" customHeight="1">
      <c r="B180" s="309"/>
      <c r="C180" s="309"/>
      <c r="D180" s="309"/>
      <c r="E180" s="309"/>
      <c r="F180" s="309"/>
      <c r="G180" s="309"/>
      <c r="H180" s="309"/>
      <c r="I180" s="309"/>
      <c r="J180" s="309"/>
      <c r="K180" s="309"/>
      <c r="L180" s="309"/>
      <c r="M180" s="309"/>
      <c r="N180" s="309"/>
      <c r="O180" s="309"/>
      <c r="P180" s="320"/>
    </row>
    <row r="181" spans="2:16" ht="13.5" customHeight="1">
      <c r="B181" s="309"/>
      <c r="C181" s="309"/>
      <c r="D181" s="309"/>
      <c r="E181" s="309"/>
      <c r="F181" s="309"/>
      <c r="G181" s="309"/>
      <c r="H181" s="309"/>
      <c r="I181" s="309"/>
      <c r="J181" s="309"/>
      <c r="K181" s="309"/>
      <c r="L181" s="309"/>
      <c r="M181" s="309"/>
      <c r="N181" s="309"/>
      <c r="O181" s="309"/>
      <c r="P181" s="320"/>
    </row>
    <row r="182" spans="2:16" ht="13.5" customHeight="1">
      <c r="B182" s="309"/>
      <c r="C182" s="309"/>
      <c r="D182" s="309"/>
      <c r="E182" s="309"/>
      <c r="F182" s="309"/>
      <c r="G182" s="309"/>
      <c r="H182" s="309"/>
      <c r="I182" s="309"/>
      <c r="J182" s="309"/>
      <c r="K182" s="309"/>
      <c r="L182" s="309"/>
      <c r="M182" s="309"/>
      <c r="N182" s="309"/>
      <c r="O182" s="309"/>
      <c r="P182" s="320"/>
    </row>
    <row r="183" spans="2:16" ht="13.5" customHeight="1">
      <c r="B183" s="309"/>
      <c r="C183" s="309"/>
      <c r="D183" s="309"/>
      <c r="E183" s="309"/>
      <c r="F183" s="309"/>
      <c r="G183" s="309"/>
      <c r="H183" s="309"/>
      <c r="I183" s="309"/>
      <c r="J183" s="309"/>
      <c r="K183" s="309"/>
      <c r="L183" s="309"/>
      <c r="M183" s="309"/>
      <c r="N183" s="309"/>
      <c r="O183" s="309"/>
      <c r="P183" s="320"/>
    </row>
    <row r="184" spans="2:16" ht="13.5" customHeight="1">
      <c r="B184" s="309"/>
      <c r="C184" s="309"/>
      <c r="D184" s="309"/>
      <c r="E184" s="309"/>
      <c r="F184" s="309"/>
      <c r="G184" s="309"/>
      <c r="H184" s="309"/>
      <c r="I184" s="309"/>
      <c r="J184" s="309"/>
      <c r="K184" s="309"/>
      <c r="L184" s="309"/>
      <c r="M184" s="309"/>
      <c r="N184" s="309"/>
      <c r="O184" s="309"/>
      <c r="P184" s="320"/>
    </row>
    <row r="185" spans="2:16" ht="13.5" customHeight="1">
      <c r="B185" s="309"/>
      <c r="C185" s="309"/>
      <c r="D185" s="309"/>
      <c r="E185" s="309"/>
      <c r="F185" s="309"/>
      <c r="G185" s="309"/>
      <c r="H185" s="309"/>
      <c r="I185" s="309"/>
      <c r="J185" s="309"/>
      <c r="K185" s="309"/>
      <c r="L185" s="309"/>
      <c r="M185" s="309"/>
      <c r="N185" s="309"/>
      <c r="O185" s="309"/>
      <c r="P185" s="320"/>
    </row>
    <row r="186" spans="2:16" ht="13.5" customHeight="1">
      <c r="B186" s="309"/>
      <c r="C186" s="309"/>
      <c r="D186" s="309"/>
      <c r="E186" s="309"/>
      <c r="F186" s="309"/>
      <c r="G186" s="309"/>
      <c r="H186" s="309"/>
      <c r="I186" s="309"/>
      <c r="J186" s="309"/>
      <c r="K186" s="309"/>
      <c r="L186" s="309"/>
      <c r="M186" s="309"/>
      <c r="N186" s="309"/>
      <c r="O186" s="309"/>
      <c r="P186" s="320"/>
    </row>
    <row r="187" spans="2:16" ht="13.5" customHeight="1">
      <c r="B187" s="309"/>
      <c r="C187" s="309"/>
      <c r="D187" s="309"/>
      <c r="E187" s="309"/>
      <c r="F187" s="309"/>
      <c r="G187" s="309"/>
      <c r="H187" s="309"/>
      <c r="I187" s="309"/>
      <c r="J187" s="309"/>
      <c r="K187" s="309"/>
      <c r="L187" s="309"/>
      <c r="M187" s="309"/>
      <c r="N187" s="309"/>
      <c r="O187" s="309"/>
      <c r="P187" s="320"/>
    </row>
    <row r="188" spans="2:16" ht="13.5" customHeight="1">
      <c r="B188" s="309"/>
      <c r="C188" s="309"/>
      <c r="D188" s="309"/>
      <c r="E188" s="309"/>
      <c r="F188" s="309"/>
      <c r="G188" s="309"/>
      <c r="H188" s="309"/>
      <c r="I188" s="309"/>
      <c r="J188" s="309"/>
      <c r="K188" s="309"/>
      <c r="L188" s="309"/>
      <c r="M188" s="309"/>
      <c r="N188" s="309"/>
      <c r="O188" s="309"/>
      <c r="P188" s="320"/>
    </row>
    <row r="189" spans="2:16" ht="13.5" customHeight="1">
      <c r="B189" s="309"/>
      <c r="C189" s="309"/>
      <c r="D189" s="309"/>
      <c r="E189" s="309"/>
      <c r="F189" s="309"/>
      <c r="G189" s="309"/>
      <c r="H189" s="309"/>
      <c r="I189" s="309"/>
      <c r="J189" s="309"/>
      <c r="K189" s="309"/>
      <c r="L189" s="309"/>
      <c r="M189" s="309"/>
      <c r="N189" s="309"/>
      <c r="O189" s="309"/>
      <c r="P189" s="320"/>
    </row>
    <row r="190" spans="2:16" ht="13.5" customHeight="1">
      <c r="B190" s="309"/>
      <c r="C190" s="309"/>
      <c r="D190" s="309"/>
      <c r="E190" s="309"/>
      <c r="F190" s="309"/>
      <c r="G190" s="309"/>
      <c r="H190" s="309"/>
      <c r="I190" s="309"/>
      <c r="J190" s="309"/>
      <c r="K190" s="309"/>
      <c r="L190" s="309"/>
      <c r="M190" s="309"/>
      <c r="N190" s="309"/>
      <c r="O190" s="309"/>
      <c r="P190" s="320"/>
    </row>
    <row r="191" spans="2:16" ht="13.5" customHeight="1">
      <c r="B191" s="309"/>
      <c r="C191" s="309"/>
      <c r="D191" s="309"/>
      <c r="E191" s="309"/>
      <c r="F191" s="309"/>
      <c r="G191" s="309"/>
      <c r="H191" s="309"/>
      <c r="I191" s="309"/>
      <c r="J191" s="309"/>
      <c r="K191" s="309"/>
      <c r="L191" s="309"/>
      <c r="M191" s="309"/>
      <c r="N191" s="309"/>
      <c r="O191" s="309"/>
      <c r="P191" s="320"/>
    </row>
    <row r="192" spans="2:16" ht="13.5" customHeight="1">
      <c r="B192" s="309"/>
      <c r="C192" s="309"/>
      <c r="D192" s="309"/>
      <c r="E192" s="309"/>
      <c r="F192" s="309"/>
      <c r="G192" s="309"/>
      <c r="H192" s="309"/>
      <c r="I192" s="309"/>
      <c r="J192" s="309"/>
      <c r="K192" s="309"/>
      <c r="L192" s="309"/>
      <c r="M192" s="309"/>
      <c r="N192" s="309"/>
      <c r="O192" s="309"/>
      <c r="P192" s="320"/>
    </row>
    <row r="193" spans="2:16" ht="13.5" customHeight="1">
      <c r="B193" s="309"/>
      <c r="C193" s="309"/>
      <c r="D193" s="309"/>
      <c r="E193" s="309"/>
      <c r="F193" s="309"/>
      <c r="G193" s="309"/>
      <c r="H193" s="309"/>
      <c r="I193" s="309"/>
      <c r="J193" s="309"/>
      <c r="K193" s="309"/>
      <c r="L193" s="309"/>
      <c r="M193" s="309"/>
      <c r="N193" s="309"/>
      <c r="O193" s="309"/>
      <c r="P193" s="320"/>
    </row>
    <row r="194" spans="2:16" ht="13.5" customHeight="1">
      <c r="B194" s="309"/>
      <c r="C194" s="309"/>
      <c r="D194" s="309"/>
      <c r="E194" s="309"/>
      <c r="F194" s="309"/>
      <c r="G194" s="309"/>
      <c r="H194" s="309"/>
      <c r="I194" s="309"/>
      <c r="J194" s="309"/>
      <c r="K194" s="309"/>
      <c r="L194" s="309"/>
      <c r="M194" s="309"/>
      <c r="N194" s="309"/>
      <c r="O194" s="309"/>
      <c r="P194" s="320"/>
    </row>
    <row r="195" spans="2:16" ht="13.5" customHeight="1">
      <c r="B195" s="309"/>
      <c r="C195" s="309"/>
      <c r="D195" s="309"/>
      <c r="E195" s="309"/>
      <c r="F195" s="309"/>
      <c r="G195" s="309"/>
      <c r="H195" s="309"/>
      <c r="I195" s="309"/>
      <c r="J195" s="309"/>
      <c r="K195" s="309"/>
      <c r="L195" s="309"/>
      <c r="M195" s="309"/>
      <c r="N195" s="309"/>
      <c r="O195" s="309"/>
      <c r="P195" s="320"/>
    </row>
    <row r="196" spans="2:16" ht="13.5" customHeight="1">
      <c r="B196" s="309"/>
      <c r="C196" s="309"/>
      <c r="D196" s="309"/>
      <c r="E196" s="309"/>
      <c r="F196" s="309"/>
      <c r="G196" s="309"/>
      <c r="H196" s="309"/>
      <c r="I196" s="309"/>
      <c r="J196" s="309"/>
      <c r="K196" s="309"/>
      <c r="L196" s="309"/>
      <c r="M196" s="309"/>
      <c r="N196" s="309"/>
      <c r="O196" s="309"/>
      <c r="P196" s="320"/>
    </row>
    <row r="197" spans="2:16" ht="13.5" customHeight="1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  <c r="L197" s="309"/>
      <c r="M197" s="309"/>
      <c r="N197" s="309"/>
      <c r="O197" s="309"/>
      <c r="P197" s="320"/>
    </row>
    <row r="198" spans="2:16" ht="13.5" customHeight="1">
      <c r="B198" s="309"/>
      <c r="C198" s="309"/>
      <c r="D198" s="309"/>
      <c r="E198" s="309"/>
      <c r="F198" s="309"/>
      <c r="G198" s="309"/>
      <c r="H198" s="309"/>
      <c r="I198" s="309"/>
      <c r="J198" s="309"/>
      <c r="K198" s="309"/>
      <c r="L198" s="309"/>
      <c r="M198" s="309"/>
      <c r="N198" s="309"/>
      <c r="O198" s="309"/>
      <c r="P198" s="320"/>
    </row>
    <row r="199" spans="2:16" ht="13.5" customHeight="1">
      <c r="B199" s="309"/>
      <c r="C199" s="309"/>
      <c r="D199" s="309"/>
      <c r="E199" s="309"/>
      <c r="F199" s="309"/>
      <c r="G199" s="309"/>
      <c r="H199" s="309"/>
      <c r="I199" s="309"/>
      <c r="J199" s="309"/>
      <c r="K199" s="309"/>
      <c r="L199" s="309"/>
      <c r="M199" s="309"/>
      <c r="N199" s="309"/>
      <c r="O199" s="309"/>
      <c r="P199" s="320"/>
    </row>
    <row r="200" spans="2:16" ht="13.5" customHeight="1">
      <c r="B200" s="309"/>
      <c r="C200" s="309"/>
      <c r="D200" s="309"/>
      <c r="E200" s="309"/>
      <c r="F200" s="309"/>
      <c r="G200" s="309"/>
      <c r="H200" s="309"/>
      <c r="I200" s="309"/>
      <c r="J200" s="309"/>
      <c r="K200" s="309"/>
      <c r="L200" s="309"/>
      <c r="M200" s="309"/>
      <c r="N200" s="309"/>
      <c r="O200" s="309"/>
      <c r="P200" s="320"/>
    </row>
    <row r="201" spans="2:16" ht="13.5" customHeight="1">
      <c r="B201" s="309"/>
      <c r="C201" s="309"/>
      <c r="D201" s="309"/>
      <c r="E201" s="309"/>
      <c r="F201" s="309"/>
      <c r="G201" s="309"/>
      <c r="H201" s="309"/>
      <c r="I201" s="309"/>
      <c r="J201" s="309"/>
      <c r="K201" s="309"/>
      <c r="L201" s="309"/>
      <c r="M201" s="309"/>
      <c r="N201" s="309"/>
      <c r="O201" s="309"/>
      <c r="P201" s="320"/>
    </row>
    <row r="202" spans="2:16" ht="13.5" customHeight="1">
      <c r="B202" s="309"/>
      <c r="C202" s="309"/>
      <c r="D202" s="309"/>
      <c r="E202" s="309"/>
      <c r="F202" s="309"/>
      <c r="G202" s="309"/>
      <c r="H202" s="309"/>
      <c r="I202" s="309"/>
      <c r="J202" s="309"/>
      <c r="K202" s="309"/>
      <c r="L202" s="309"/>
      <c r="M202" s="309"/>
      <c r="N202" s="309"/>
      <c r="O202" s="309"/>
      <c r="P202" s="320"/>
    </row>
    <row r="203" spans="2:16" ht="13.5" customHeight="1">
      <c r="B203" s="309"/>
      <c r="C203" s="309"/>
      <c r="D203" s="309"/>
      <c r="E203" s="309"/>
      <c r="F203" s="309"/>
      <c r="G203" s="309"/>
      <c r="H203" s="309"/>
      <c r="I203" s="309"/>
      <c r="J203" s="309"/>
      <c r="K203" s="309"/>
      <c r="L203" s="309"/>
      <c r="M203" s="309"/>
      <c r="N203" s="309"/>
      <c r="O203" s="309"/>
      <c r="P203" s="320"/>
    </row>
    <row r="204" spans="2:16" ht="13.5" customHeight="1">
      <c r="B204" s="309"/>
      <c r="C204" s="309"/>
      <c r="D204" s="309"/>
      <c r="E204" s="309"/>
      <c r="F204" s="309"/>
      <c r="G204" s="309"/>
      <c r="H204" s="309"/>
      <c r="I204" s="309"/>
      <c r="J204" s="309"/>
      <c r="K204" s="309"/>
      <c r="L204" s="309"/>
      <c r="M204" s="309"/>
      <c r="N204" s="309"/>
      <c r="O204" s="309"/>
      <c r="P204" s="320"/>
    </row>
    <row r="205" spans="2:16" ht="13.5" customHeight="1">
      <c r="B205" s="309"/>
      <c r="C205" s="309"/>
      <c r="D205" s="309"/>
      <c r="E205" s="309"/>
      <c r="F205" s="309"/>
      <c r="G205" s="309"/>
      <c r="H205" s="309"/>
      <c r="I205" s="309"/>
      <c r="J205" s="309"/>
      <c r="K205" s="309"/>
      <c r="L205" s="309"/>
      <c r="M205" s="309"/>
      <c r="N205" s="309"/>
      <c r="O205" s="309"/>
      <c r="P205" s="320"/>
    </row>
    <row r="206" spans="2:16" ht="13.5" customHeight="1">
      <c r="B206" s="309"/>
      <c r="C206" s="309"/>
      <c r="D206" s="309"/>
      <c r="E206" s="309"/>
      <c r="F206" s="309"/>
      <c r="G206" s="309"/>
      <c r="H206" s="309"/>
      <c r="I206" s="309"/>
      <c r="J206" s="309"/>
      <c r="K206" s="309"/>
      <c r="L206" s="309"/>
      <c r="M206" s="309"/>
      <c r="N206" s="309"/>
      <c r="O206" s="309"/>
      <c r="P206" s="320"/>
    </row>
    <row r="207" spans="2:16" ht="13.5" customHeight="1">
      <c r="B207" s="309"/>
      <c r="C207" s="309"/>
      <c r="D207" s="309"/>
      <c r="E207" s="309"/>
      <c r="F207" s="309"/>
      <c r="G207" s="309"/>
      <c r="H207" s="309"/>
      <c r="I207" s="309"/>
      <c r="J207" s="309"/>
      <c r="K207" s="309"/>
      <c r="L207" s="309"/>
      <c r="M207" s="309"/>
      <c r="N207" s="309"/>
      <c r="O207" s="309"/>
      <c r="P207" s="320"/>
    </row>
    <row r="208" spans="2:16" ht="13.5" customHeight="1">
      <c r="B208" s="309"/>
      <c r="C208" s="309"/>
      <c r="D208" s="309"/>
      <c r="E208" s="309"/>
      <c r="F208" s="309"/>
      <c r="G208" s="309"/>
      <c r="H208" s="309"/>
      <c r="I208" s="309"/>
      <c r="J208" s="309"/>
      <c r="K208" s="309"/>
      <c r="L208" s="309"/>
      <c r="M208" s="309"/>
      <c r="N208" s="309"/>
      <c r="O208" s="309"/>
      <c r="P208" s="320"/>
    </row>
    <row r="209" spans="2:16" ht="13.5" customHeight="1">
      <c r="B209" s="309"/>
      <c r="C209" s="309"/>
      <c r="D209" s="309"/>
      <c r="E209" s="309"/>
      <c r="F209" s="309"/>
      <c r="G209" s="309"/>
      <c r="H209" s="309"/>
      <c r="I209" s="309"/>
      <c r="J209" s="309"/>
      <c r="K209" s="309"/>
      <c r="L209" s="309"/>
      <c r="M209" s="309"/>
      <c r="N209" s="309"/>
      <c r="O209" s="309"/>
      <c r="P209" s="320"/>
    </row>
    <row r="210" spans="2:16" ht="13.5" customHeight="1">
      <c r="B210" s="309"/>
      <c r="C210" s="309"/>
      <c r="D210" s="309"/>
      <c r="E210" s="309"/>
      <c r="F210" s="309"/>
      <c r="G210" s="309"/>
      <c r="H210" s="309"/>
      <c r="I210" s="309"/>
      <c r="J210" s="309"/>
      <c r="K210" s="309"/>
      <c r="L210" s="309"/>
      <c r="M210" s="309"/>
      <c r="N210" s="309"/>
      <c r="O210" s="309"/>
      <c r="P210" s="320"/>
    </row>
    <row r="211" spans="2:16" ht="13.5" customHeight="1">
      <c r="B211" s="309"/>
      <c r="C211" s="309"/>
      <c r="D211" s="309"/>
      <c r="E211" s="309"/>
      <c r="F211" s="309"/>
      <c r="G211" s="309"/>
      <c r="H211" s="309"/>
      <c r="I211" s="309"/>
      <c r="J211" s="309"/>
      <c r="K211" s="309"/>
      <c r="L211" s="309"/>
      <c r="M211" s="309"/>
      <c r="N211" s="309"/>
      <c r="O211" s="309"/>
      <c r="P211" s="320"/>
    </row>
    <row r="212" spans="2:16" ht="13.5" customHeight="1">
      <c r="B212" s="309"/>
      <c r="C212" s="309"/>
      <c r="D212" s="309"/>
      <c r="E212" s="309"/>
      <c r="F212" s="309"/>
      <c r="G212" s="309"/>
      <c r="H212" s="309"/>
      <c r="I212" s="309"/>
      <c r="J212" s="309"/>
      <c r="K212" s="309"/>
      <c r="L212" s="309"/>
      <c r="M212" s="309"/>
      <c r="N212" s="309"/>
      <c r="O212" s="309"/>
      <c r="P212" s="320"/>
    </row>
    <row r="213" spans="2:16" ht="13.5" customHeight="1">
      <c r="B213" s="309"/>
      <c r="C213" s="309"/>
      <c r="D213" s="309"/>
      <c r="E213" s="309"/>
      <c r="F213" s="309"/>
      <c r="G213" s="309"/>
      <c r="H213" s="309"/>
      <c r="I213" s="309"/>
      <c r="J213" s="309"/>
      <c r="K213" s="309"/>
      <c r="L213" s="309"/>
      <c r="M213" s="309"/>
      <c r="N213" s="309"/>
      <c r="O213" s="309"/>
      <c r="P213" s="320"/>
    </row>
    <row r="214" spans="2:16" ht="13.5" customHeight="1">
      <c r="B214" s="309"/>
      <c r="C214" s="309"/>
      <c r="D214" s="309"/>
      <c r="E214" s="309"/>
      <c r="F214" s="309"/>
      <c r="G214" s="309"/>
      <c r="H214" s="309"/>
      <c r="I214" s="309"/>
      <c r="J214" s="309"/>
      <c r="K214" s="309"/>
      <c r="L214" s="309"/>
      <c r="M214" s="309"/>
      <c r="N214" s="309"/>
      <c r="O214" s="309"/>
      <c r="P214" s="320"/>
    </row>
    <row r="215" spans="2:16" ht="13.5" customHeight="1">
      <c r="B215" s="309"/>
      <c r="C215" s="309"/>
      <c r="D215" s="309"/>
      <c r="E215" s="309"/>
      <c r="F215" s="309"/>
      <c r="G215" s="309"/>
      <c r="H215" s="309"/>
      <c r="I215" s="309"/>
      <c r="J215" s="309"/>
      <c r="K215" s="309"/>
      <c r="L215" s="309"/>
      <c r="M215" s="309"/>
      <c r="N215" s="309"/>
      <c r="O215" s="309"/>
      <c r="P215" s="320"/>
    </row>
    <row r="216" spans="2:16" ht="13.5" customHeight="1">
      <c r="B216" s="309"/>
      <c r="C216" s="309"/>
      <c r="D216" s="309"/>
      <c r="E216" s="309"/>
      <c r="F216" s="309"/>
      <c r="G216" s="309"/>
      <c r="H216" s="309"/>
      <c r="I216" s="309"/>
      <c r="J216" s="309"/>
      <c r="K216" s="309"/>
      <c r="L216" s="309"/>
      <c r="M216" s="309"/>
      <c r="N216" s="309"/>
      <c r="O216" s="309"/>
      <c r="P216" s="320"/>
    </row>
    <row r="217" spans="2:16" ht="13.5" customHeight="1">
      <c r="B217" s="309"/>
      <c r="C217" s="309"/>
      <c r="D217" s="309"/>
      <c r="E217" s="309"/>
      <c r="F217" s="309"/>
      <c r="G217" s="309"/>
      <c r="H217" s="309"/>
      <c r="I217" s="309"/>
      <c r="J217" s="309"/>
      <c r="K217" s="309"/>
      <c r="L217" s="309"/>
      <c r="M217" s="309"/>
      <c r="N217" s="309"/>
      <c r="O217" s="309"/>
      <c r="P217" s="320"/>
    </row>
    <row r="218" spans="2:16" ht="13.5" customHeight="1">
      <c r="B218" s="309"/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  <c r="N218" s="309"/>
      <c r="O218" s="309"/>
      <c r="P218" s="320"/>
    </row>
    <row r="219" spans="2:16" ht="13.5" customHeight="1">
      <c r="B219" s="309"/>
      <c r="C219" s="309"/>
      <c r="D219" s="309"/>
      <c r="E219" s="309"/>
      <c r="F219" s="309"/>
      <c r="G219" s="309"/>
      <c r="H219" s="309"/>
      <c r="I219" s="309"/>
      <c r="J219" s="309"/>
      <c r="K219" s="309"/>
      <c r="L219" s="309"/>
      <c r="M219" s="309"/>
      <c r="N219" s="309"/>
      <c r="O219" s="309"/>
      <c r="P219" s="320"/>
    </row>
    <row r="220" spans="2:16" ht="13.5" customHeight="1">
      <c r="B220" s="309"/>
      <c r="C220" s="309"/>
      <c r="D220" s="309"/>
      <c r="E220" s="309"/>
      <c r="F220" s="309"/>
      <c r="G220" s="309"/>
      <c r="H220" s="309"/>
      <c r="I220" s="309"/>
      <c r="J220" s="309"/>
      <c r="K220" s="309"/>
      <c r="L220" s="309"/>
      <c r="M220" s="309"/>
      <c r="N220" s="309"/>
      <c r="O220" s="309"/>
      <c r="P220" s="320"/>
    </row>
    <row r="221" spans="2:16" ht="13.5" customHeight="1">
      <c r="B221" s="309"/>
      <c r="C221" s="309"/>
      <c r="D221" s="309"/>
      <c r="E221" s="309"/>
      <c r="F221" s="309"/>
      <c r="G221" s="309"/>
      <c r="H221" s="309"/>
      <c r="I221" s="309"/>
      <c r="J221" s="309"/>
      <c r="K221" s="309"/>
      <c r="L221" s="309"/>
      <c r="M221" s="309"/>
      <c r="N221" s="309"/>
      <c r="O221" s="309"/>
      <c r="P221" s="320"/>
    </row>
    <row r="222" spans="2:16" ht="13.5" customHeight="1">
      <c r="B222" s="309"/>
      <c r="C222" s="309"/>
      <c r="D222" s="309"/>
      <c r="E222" s="309"/>
      <c r="F222" s="309"/>
      <c r="G222" s="309"/>
      <c r="H222" s="309"/>
      <c r="I222" s="309"/>
      <c r="J222" s="309"/>
      <c r="K222" s="309"/>
      <c r="L222" s="309"/>
      <c r="M222" s="309"/>
      <c r="N222" s="309"/>
      <c r="O222" s="309"/>
      <c r="P222" s="320"/>
    </row>
    <row r="223" spans="2:16" ht="13.5" customHeight="1">
      <c r="B223" s="309"/>
      <c r="C223" s="309"/>
      <c r="D223" s="309"/>
      <c r="E223" s="309"/>
      <c r="F223" s="309"/>
      <c r="G223" s="309"/>
      <c r="H223" s="309"/>
      <c r="I223" s="309"/>
      <c r="J223" s="309"/>
      <c r="K223" s="309"/>
      <c r="L223" s="309"/>
      <c r="M223" s="309"/>
      <c r="N223" s="309"/>
      <c r="O223" s="309"/>
      <c r="P223" s="320"/>
    </row>
    <row r="224" spans="2:16" ht="13.5" customHeight="1">
      <c r="B224" s="309"/>
      <c r="C224" s="309"/>
      <c r="D224" s="309"/>
      <c r="E224" s="309"/>
      <c r="F224" s="309"/>
      <c r="G224" s="309"/>
      <c r="H224" s="309"/>
      <c r="I224" s="309"/>
      <c r="J224" s="309"/>
      <c r="K224" s="309"/>
      <c r="L224" s="309"/>
      <c r="M224" s="309"/>
      <c r="N224" s="309"/>
      <c r="O224" s="309"/>
      <c r="P224" s="320"/>
    </row>
    <row r="225" spans="2:16" ht="13.5" customHeight="1">
      <c r="B225" s="309"/>
      <c r="C225" s="309"/>
      <c r="D225" s="309"/>
      <c r="E225" s="309"/>
      <c r="F225" s="309"/>
      <c r="G225" s="309"/>
      <c r="H225" s="309"/>
      <c r="I225" s="309"/>
      <c r="J225" s="309"/>
      <c r="K225" s="309"/>
      <c r="L225" s="309"/>
      <c r="M225" s="309"/>
      <c r="N225" s="309"/>
      <c r="O225" s="309"/>
      <c r="P225" s="320"/>
    </row>
    <row r="226" spans="2:16" ht="13.5" customHeight="1">
      <c r="B226" s="309"/>
      <c r="C226" s="309"/>
      <c r="D226" s="309"/>
      <c r="E226" s="309"/>
      <c r="F226" s="309"/>
      <c r="G226" s="309"/>
      <c r="H226" s="309"/>
      <c r="I226" s="309"/>
      <c r="J226" s="309"/>
      <c r="K226" s="309"/>
      <c r="L226" s="309"/>
      <c r="M226" s="309"/>
      <c r="N226" s="309"/>
      <c r="O226" s="309"/>
      <c r="P226" s="320"/>
    </row>
    <row r="227" spans="2:16" ht="13.5" customHeight="1">
      <c r="B227" s="309"/>
      <c r="C227" s="309"/>
      <c r="D227" s="309"/>
      <c r="E227" s="309"/>
      <c r="F227" s="309"/>
      <c r="G227" s="309"/>
      <c r="H227" s="309"/>
      <c r="I227" s="309"/>
      <c r="J227" s="309"/>
      <c r="K227" s="309"/>
      <c r="L227" s="309"/>
      <c r="M227" s="309"/>
      <c r="N227" s="309"/>
      <c r="O227" s="309"/>
      <c r="P227" s="320"/>
    </row>
    <row r="228" spans="2:16" ht="13.5" customHeight="1"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  <c r="N228" s="309"/>
      <c r="O228" s="309"/>
      <c r="P228" s="320"/>
    </row>
    <row r="229" spans="2:16" ht="13.5" customHeight="1">
      <c r="B229" s="309"/>
      <c r="C229" s="309"/>
      <c r="D229" s="309"/>
      <c r="E229" s="309"/>
      <c r="F229" s="309"/>
      <c r="G229" s="309"/>
      <c r="H229" s="309"/>
      <c r="I229" s="309"/>
      <c r="J229" s="309"/>
      <c r="K229" s="309"/>
      <c r="L229" s="309"/>
      <c r="M229" s="309"/>
      <c r="N229" s="309"/>
      <c r="O229" s="309"/>
      <c r="P229" s="320"/>
    </row>
    <row r="230" spans="2:16" ht="13.5" customHeight="1">
      <c r="B230" s="309"/>
      <c r="C230" s="309"/>
      <c r="D230" s="309"/>
      <c r="E230" s="309"/>
      <c r="F230" s="309"/>
      <c r="G230" s="309"/>
      <c r="H230" s="309"/>
      <c r="I230" s="309"/>
      <c r="J230" s="309"/>
      <c r="K230" s="309"/>
      <c r="L230" s="309"/>
      <c r="M230" s="309"/>
      <c r="N230" s="309"/>
      <c r="O230" s="309"/>
      <c r="P230" s="320"/>
    </row>
    <row r="231" spans="2:16" ht="13.5" customHeight="1">
      <c r="B231" s="309"/>
      <c r="C231" s="309"/>
      <c r="D231" s="309"/>
      <c r="E231" s="309"/>
      <c r="F231" s="309"/>
      <c r="G231" s="309"/>
      <c r="H231" s="309"/>
      <c r="I231" s="309"/>
      <c r="J231" s="309"/>
      <c r="K231" s="309"/>
      <c r="L231" s="309"/>
      <c r="M231" s="309"/>
      <c r="N231" s="309"/>
      <c r="O231" s="309"/>
      <c r="P231" s="320"/>
    </row>
    <row r="232" spans="2:16" ht="13.5" customHeight="1">
      <c r="B232" s="309"/>
      <c r="C232" s="309"/>
      <c r="D232" s="309"/>
      <c r="E232" s="309"/>
      <c r="F232" s="309"/>
      <c r="G232" s="309"/>
      <c r="H232" s="309"/>
      <c r="I232" s="309"/>
      <c r="J232" s="309"/>
      <c r="K232" s="309"/>
      <c r="L232" s="309"/>
      <c r="M232" s="309"/>
      <c r="N232" s="309"/>
      <c r="O232" s="309"/>
      <c r="P232" s="320"/>
    </row>
    <row r="233" spans="2:16" ht="13.5" customHeight="1">
      <c r="B233" s="309"/>
      <c r="C233" s="309"/>
      <c r="D233" s="309"/>
      <c r="E233" s="309"/>
      <c r="F233" s="309"/>
      <c r="G233" s="309"/>
      <c r="H233" s="309"/>
      <c r="I233" s="309"/>
      <c r="J233" s="309"/>
      <c r="K233" s="309"/>
      <c r="L233" s="309"/>
      <c r="M233" s="309"/>
      <c r="N233" s="309"/>
      <c r="O233" s="309"/>
      <c r="P233" s="320"/>
    </row>
    <row r="234" spans="2:16" ht="13.5" customHeight="1">
      <c r="B234" s="309"/>
      <c r="C234" s="309"/>
      <c r="D234" s="309"/>
      <c r="E234" s="309"/>
      <c r="F234" s="309"/>
      <c r="G234" s="309"/>
      <c r="H234" s="309"/>
      <c r="I234" s="309"/>
      <c r="J234" s="309"/>
      <c r="K234" s="309"/>
      <c r="L234" s="309"/>
      <c r="M234" s="309"/>
      <c r="N234" s="309"/>
      <c r="O234" s="309"/>
      <c r="P234" s="320"/>
    </row>
    <row r="235" spans="2:16" ht="13.5" customHeight="1">
      <c r="B235" s="309"/>
      <c r="C235" s="309"/>
      <c r="D235" s="309"/>
      <c r="E235" s="309"/>
      <c r="F235" s="309"/>
      <c r="G235" s="309"/>
      <c r="H235" s="309"/>
      <c r="I235" s="309"/>
      <c r="J235" s="309"/>
      <c r="K235" s="309"/>
      <c r="L235" s="309"/>
      <c r="M235" s="309"/>
      <c r="N235" s="309"/>
      <c r="O235" s="309"/>
      <c r="P235" s="320"/>
    </row>
    <row r="236" spans="2:16" ht="13.5" customHeight="1">
      <c r="B236" s="309"/>
      <c r="C236" s="309"/>
      <c r="D236" s="309"/>
      <c r="E236" s="309"/>
      <c r="F236" s="309"/>
      <c r="G236" s="309"/>
      <c r="H236" s="309"/>
      <c r="I236" s="309"/>
      <c r="J236" s="309"/>
      <c r="K236" s="309"/>
      <c r="L236" s="309"/>
      <c r="M236" s="309"/>
      <c r="N236" s="309"/>
      <c r="O236" s="309"/>
      <c r="P236" s="320"/>
    </row>
    <row r="237" spans="2:16" ht="13.5" customHeight="1">
      <c r="B237" s="309"/>
      <c r="C237" s="309"/>
      <c r="D237" s="309"/>
      <c r="E237" s="309"/>
      <c r="F237" s="309"/>
      <c r="G237" s="309"/>
      <c r="H237" s="309"/>
      <c r="I237" s="309"/>
      <c r="J237" s="309"/>
      <c r="K237" s="309"/>
      <c r="L237" s="309"/>
      <c r="M237" s="309"/>
      <c r="N237" s="309"/>
      <c r="O237" s="309"/>
      <c r="P237" s="320"/>
    </row>
    <row r="238" spans="2:16" ht="13.5" customHeight="1">
      <c r="B238" s="309"/>
      <c r="C238" s="309"/>
      <c r="D238" s="309"/>
      <c r="E238" s="309"/>
      <c r="F238" s="309"/>
      <c r="G238" s="309"/>
      <c r="H238" s="309"/>
      <c r="I238" s="309"/>
      <c r="J238" s="309"/>
      <c r="K238" s="309"/>
      <c r="L238" s="309"/>
      <c r="M238" s="309"/>
      <c r="N238" s="309"/>
      <c r="O238" s="309"/>
      <c r="P238" s="320"/>
    </row>
    <row r="239" spans="2:16" ht="13.5" customHeight="1">
      <c r="B239" s="309"/>
      <c r="C239" s="309"/>
      <c r="D239" s="309"/>
      <c r="E239" s="309"/>
      <c r="F239" s="309"/>
      <c r="G239" s="309"/>
      <c r="H239" s="309"/>
      <c r="I239" s="309"/>
      <c r="J239" s="309"/>
      <c r="K239" s="309"/>
      <c r="L239" s="309"/>
      <c r="M239" s="309"/>
      <c r="N239" s="309"/>
      <c r="O239" s="309"/>
      <c r="P239" s="320"/>
    </row>
    <row r="240" spans="2:16" ht="13.5" customHeight="1">
      <c r="B240" s="309"/>
      <c r="C240" s="309"/>
      <c r="D240" s="309"/>
      <c r="E240" s="309"/>
      <c r="F240" s="309"/>
      <c r="G240" s="309"/>
      <c r="H240" s="309"/>
      <c r="I240" s="309"/>
      <c r="J240" s="309"/>
      <c r="K240" s="309"/>
      <c r="L240" s="309"/>
      <c r="M240" s="309"/>
      <c r="N240" s="309"/>
      <c r="O240" s="309"/>
      <c r="P240" s="320"/>
    </row>
    <row r="241" spans="2:16" ht="13.5" customHeight="1">
      <c r="B241" s="309"/>
      <c r="C241" s="309"/>
      <c r="D241" s="309"/>
      <c r="E241" s="309"/>
      <c r="F241" s="309"/>
      <c r="G241" s="309"/>
      <c r="H241" s="309"/>
      <c r="I241" s="309"/>
      <c r="J241" s="309"/>
      <c r="K241" s="309"/>
      <c r="L241" s="309"/>
      <c r="M241" s="309"/>
      <c r="N241" s="309"/>
      <c r="O241" s="309"/>
      <c r="P241" s="320"/>
    </row>
    <row r="242" spans="2:16" ht="13.5" customHeight="1">
      <c r="B242" s="309"/>
      <c r="C242" s="309"/>
      <c r="D242" s="309"/>
      <c r="E242" s="309"/>
      <c r="F242" s="309"/>
      <c r="G242" s="309"/>
      <c r="H242" s="309"/>
      <c r="I242" s="309"/>
      <c r="J242" s="309"/>
      <c r="K242" s="309"/>
      <c r="L242" s="309"/>
      <c r="M242" s="309"/>
      <c r="N242" s="309"/>
      <c r="O242" s="309"/>
      <c r="P242" s="320"/>
    </row>
    <row r="243" spans="2:16" ht="13.5" customHeight="1">
      <c r="B243" s="309"/>
      <c r="C243" s="309"/>
      <c r="D243" s="309"/>
      <c r="E243" s="309"/>
      <c r="F243" s="309"/>
      <c r="G243" s="309"/>
      <c r="H243" s="309"/>
      <c r="I243" s="309"/>
      <c r="J243" s="309"/>
      <c r="K243" s="309"/>
      <c r="L243" s="309"/>
      <c r="M243" s="309"/>
      <c r="N243" s="309"/>
      <c r="O243" s="309"/>
      <c r="P243" s="320"/>
    </row>
    <row r="244" spans="2:16" ht="13.5" customHeight="1">
      <c r="B244" s="309"/>
      <c r="C244" s="309"/>
      <c r="D244" s="309"/>
      <c r="E244" s="309"/>
      <c r="F244" s="309"/>
      <c r="G244" s="309"/>
      <c r="H244" s="309"/>
      <c r="I244" s="309"/>
      <c r="J244" s="309"/>
      <c r="K244" s="309"/>
      <c r="L244" s="309"/>
      <c r="M244" s="309"/>
      <c r="N244" s="309"/>
      <c r="O244" s="309"/>
      <c r="P244" s="320"/>
    </row>
    <row r="245" spans="2:16" ht="13.5" customHeight="1">
      <c r="B245" s="309"/>
      <c r="C245" s="309"/>
      <c r="D245" s="309"/>
      <c r="E245" s="309"/>
      <c r="F245" s="309"/>
      <c r="G245" s="309"/>
      <c r="H245" s="309"/>
      <c r="I245" s="309"/>
      <c r="J245" s="309"/>
      <c r="K245" s="309"/>
      <c r="L245" s="309"/>
      <c r="M245" s="309"/>
      <c r="N245" s="309"/>
      <c r="O245" s="309"/>
      <c r="P245" s="320"/>
    </row>
    <row r="246" spans="2:16" ht="13.5" customHeight="1">
      <c r="B246" s="309"/>
      <c r="C246" s="309"/>
      <c r="D246" s="309"/>
      <c r="E246" s="309"/>
      <c r="F246" s="309"/>
      <c r="G246" s="309"/>
      <c r="H246" s="309"/>
      <c r="I246" s="309"/>
      <c r="J246" s="309"/>
      <c r="K246" s="309"/>
      <c r="L246" s="309"/>
      <c r="M246" s="309"/>
      <c r="N246" s="309"/>
      <c r="O246" s="309"/>
      <c r="P246" s="320"/>
    </row>
    <row r="247" spans="2:16" ht="13.5" customHeight="1">
      <c r="B247" s="309"/>
      <c r="C247" s="309"/>
      <c r="D247" s="309"/>
      <c r="E247" s="309"/>
      <c r="F247" s="309"/>
      <c r="G247" s="309"/>
      <c r="H247" s="309"/>
      <c r="I247" s="309"/>
      <c r="J247" s="309"/>
      <c r="K247" s="309"/>
      <c r="L247" s="309"/>
      <c r="M247" s="309"/>
      <c r="N247" s="309"/>
      <c r="O247" s="309"/>
      <c r="P247" s="320"/>
    </row>
    <row r="248" spans="2:16" ht="13.5" customHeight="1">
      <c r="B248" s="309"/>
      <c r="C248" s="309"/>
      <c r="D248" s="309"/>
      <c r="E248" s="309"/>
      <c r="F248" s="309"/>
      <c r="G248" s="309"/>
      <c r="H248" s="309"/>
      <c r="I248" s="309"/>
      <c r="J248" s="309"/>
      <c r="K248" s="309"/>
      <c r="L248" s="309"/>
      <c r="M248" s="309"/>
      <c r="N248" s="309"/>
      <c r="O248" s="309"/>
      <c r="P248" s="320"/>
    </row>
    <row r="249" spans="2:16" ht="13.5" customHeight="1">
      <c r="B249" s="309"/>
      <c r="C249" s="309"/>
      <c r="D249" s="309"/>
      <c r="E249" s="309"/>
      <c r="F249" s="309"/>
      <c r="G249" s="309"/>
      <c r="H249" s="309"/>
      <c r="I249" s="309"/>
      <c r="J249" s="309"/>
      <c r="K249" s="309"/>
      <c r="L249" s="309"/>
      <c r="M249" s="309"/>
      <c r="N249" s="309"/>
      <c r="O249" s="309"/>
      <c r="P249" s="320"/>
    </row>
    <row r="250" spans="2:16" ht="13.5" customHeight="1">
      <c r="B250" s="309"/>
      <c r="C250" s="309"/>
      <c r="D250" s="309"/>
      <c r="E250" s="309"/>
      <c r="F250" s="309"/>
      <c r="G250" s="309"/>
      <c r="H250" s="309"/>
      <c r="I250" s="309"/>
      <c r="J250" s="309"/>
      <c r="K250" s="309"/>
      <c r="L250" s="309"/>
      <c r="M250" s="309"/>
      <c r="N250" s="309"/>
      <c r="O250" s="309"/>
      <c r="P250" s="320"/>
    </row>
    <row r="251" spans="2:16" ht="13.5" customHeight="1">
      <c r="B251" s="309"/>
      <c r="C251" s="309"/>
      <c r="D251" s="309"/>
      <c r="E251" s="309"/>
      <c r="F251" s="309"/>
      <c r="G251" s="309"/>
      <c r="H251" s="309"/>
      <c r="I251" s="309"/>
      <c r="J251" s="309"/>
      <c r="K251" s="309"/>
      <c r="L251" s="309"/>
      <c r="M251" s="309"/>
      <c r="N251" s="309"/>
      <c r="O251" s="309"/>
      <c r="P251" s="320"/>
    </row>
    <row r="252" spans="2:16" ht="13.5" customHeight="1">
      <c r="B252" s="309"/>
      <c r="C252" s="309"/>
      <c r="D252" s="309"/>
      <c r="E252" s="309"/>
      <c r="F252" s="309"/>
      <c r="G252" s="309"/>
      <c r="H252" s="309"/>
      <c r="I252" s="309"/>
      <c r="J252" s="309"/>
      <c r="K252" s="309"/>
      <c r="L252" s="309"/>
      <c r="M252" s="309"/>
      <c r="N252" s="309"/>
      <c r="O252" s="309"/>
      <c r="P252" s="320"/>
    </row>
    <row r="253" spans="2:16" ht="13.5" customHeight="1">
      <c r="B253" s="309"/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09"/>
      <c r="P253" s="320"/>
    </row>
    <row r="254" spans="2:16" ht="13.5" customHeight="1">
      <c r="B254" s="309"/>
      <c r="C254" s="309"/>
      <c r="D254" s="309"/>
      <c r="E254" s="309"/>
      <c r="F254" s="309"/>
      <c r="G254" s="309"/>
      <c r="H254" s="309"/>
      <c r="I254" s="309"/>
      <c r="J254" s="309"/>
      <c r="K254" s="309"/>
      <c r="L254" s="309"/>
      <c r="M254" s="309"/>
      <c r="N254" s="309"/>
      <c r="O254" s="309"/>
      <c r="P254" s="320"/>
    </row>
    <row r="255" spans="2:16" ht="13.5" customHeight="1">
      <c r="B255" s="309"/>
      <c r="C255" s="309"/>
      <c r="D255" s="309"/>
      <c r="E255" s="309"/>
      <c r="F255" s="309"/>
      <c r="G255" s="309"/>
      <c r="H255" s="309"/>
      <c r="I255" s="309"/>
      <c r="J255" s="309"/>
      <c r="K255" s="309"/>
      <c r="L255" s="309"/>
      <c r="M255" s="309"/>
      <c r="N255" s="309"/>
      <c r="O255" s="309"/>
      <c r="P255" s="320"/>
    </row>
    <row r="256" spans="2:16" ht="13.5" customHeight="1">
      <c r="B256" s="309"/>
      <c r="C256" s="309"/>
      <c r="D256" s="309"/>
      <c r="E256" s="309"/>
      <c r="F256" s="309"/>
      <c r="G256" s="309"/>
      <c r="H256" s="309"/>
      <c r="I256" s="309"/>
      <c r="J256" s="309"/>
      <c r="K256" s="309"/>
      <c r="L256" s="309"/>
      <c r="M256" s="309"/>
      <c r="N256" s="309"/>
      <c r="O256" s="309"/>
      <c r="P256" s="320"/>
    </row>
    <row r="257" spans="2:16" ht="13.5" customHeight="1">
      <c r="B257" s="309"/>
      <c r="C257" s="309"/>
      <c r="D257" s="309"/>
      <c r="E257" s="309"/>
      <c r="F257" s="309"/>
      <c r="G257" s="309"/>
      <c r="H257" s="309"/>
      <c r="I257" s="309"/>
      <c r="J257" s="309"/>
      <c r="K257" s="309"/>
      <c r="L257" s="309"/>
      <c r="M257" s="309"/>
      <c r="N257" s="309"/>
      <c r="O257" s="309"/>
      <c r="P257" s="320"/>
    </row>
    <row r="258" spans="2:16" ht="13.5" customHeight="1">
      <c r="B258" s="309"/>
      <c r="C258" s="309"/>
      <c r="D258" s="309"/>
      <c r="E258" s="309"/>
      <c r="F258" s="309"/>
      <c r="G258" s="309"/>
      <c r="H258" s="309"/>
      <c r="I258" s="309"/>
      <c r="J258" s="309"/>
      <c r="K258" s="309"/>
      <c r="L258" s="309"/>
      <c r="M258" s="309"/>
      <c r="N258" s="309"/>
      <c r="O258" s="309"/>
      <c r="P258" s="320"/>
    </row>
    <row r="259" spans="2:16" ht="13.5" customHeight="1">
      <c r="B259" s="309"/>
      <c r="C259" s="309"/>
      <c r="D259" s="309"/>
      <c r="E259" s="309"/>
      <c r="F259" s="309"/>
      <c r="G259" s="309"/>
      <c r="H259" s="309"/>
      <c r="I259" s="309"/>
      <c r="J259" s="309"/>
      <c r="K259" s="309"/>
      <c r="L259" s="309"/>
      <c r="M259" s="309"/>
      <c r="N259" s="309"/>
      <c r="O259" s="309"/>
      <c r="P259" s="320"/>
    </row>
    <row r="260" spans="2:16" ht="13.5" customHeight="1">
      <c r="B260" s="309"/>
      <c r="C260" s="309"/>
      <c r="D260" s="309"/>
      <c r="E260" s="309"/>
      <c r="F260" s="309"/>
      <c r="G260" s="309"/>
      <c r="H260" s="309"/>
      <c r="I260" s="309"/>
      <c r="J260" s="309"/>
      <c r="K260" s="309"/>
      <c r="L260" s="309"/>
      <c r="M260" s="309"/>
      <c r="N260" s="309"/>
      <c r="O260" s="309"/>
      <c r="P260" s="320"/>
    </row>
    <row r="261" spans="2:16" ht="13.5" customHeight="1">
      <c r="B261" s="309"/>
      <c r="C261" s="309"/>
      <c r="D261" s="309"/>
      <c r="E261" s="309"/>
      <c r="F261" s="309"/>
      <c r="G261" s="309"/>
      <c r="H261" s="309"/>
      <c r="I261" s="309"/>
      <c r="J261" s="309"/>
      <c r="K261" s="309"/>
      <c r="L261" s="309"/>
      <c r="M261" s="309"/>
      <c r="N261" s="309"/>
      <c r="O261" s="309"/>
      <c r="P261" s="320"/>
    </row>
    <row r="262" spans="2:16" ht="13.5" customHeight="1">
      <c r="B262" s="309"/>
      <c r="C262" s="309"/>
      <c r="D262" s="309"/>
      <c r="E262" s="309"/>
      <c r="F262" s="309"/>
      <c r="G262" s="309"/>
      <c r="H262" s="309"/>
      <c r="I262" s="309"/>
      <c r="J262" s="309"/>
      <c r="K262" s="309"/>
      <c r="L262" s="309"/>
      <c r="M262" s="309"/>
      <c r="N262" s="309"/>
      <c r="O262" s="309"/>
      <c r="P262" s="320"/>
    </row>
    <row r="263" spans="2:16" ht="13.5" customHeight="1">
      <c r="B263" s="309"/>
      <c r="C263" s="309"/>
      <c r="D263" s="309"/>
      <c r="E263" s="309"/>
      <c r="F263" s="309"/>
      <c r="G263" s="309"/>
      <c r="H263" s="309"/>
      <c r="I263" s="309"/>
      <c r="J263" s="309"/>
      <c r="K263" s="309"/>
      <c r="L263" s="309"/>
      <c r="M263" s="309"/>
      <c r="N263" s="309"/>
      <c r="O263" s="309"/>
      <c r="P263" s="320"/>
    </row>
    <row r="264" spans="2:16" ht="13.5" customHeight="1">
      <c r="B264" s="309"/>
      <c r="C264" s="309"/>
      <c r="D264" s="309"/>
      <c r="E264" s="309"/>
      <c r="F264" s="309"/>
      <c r="G264" s="309"/>
      <c r="H264" s="309"/>
      <c r="I264" s="309"/>
      <c r="J264" s="309"/>
      <c r="K264" s="309"/>
      <c r="L264" s="309"/>
      <c r="M264" s="309"/>
      <c r="N264" s="309"/>
      <c r="O264" s="309"/>
      <c r="P264" s="320"/>
    </row>
    <row r="265" spans="2:16" ht="13.5" customHeight="1">
      <c r="B265" s="309"/>
      <c r="C265" s="309"/>
      <c r="D265" s="309"/>
      <c r="E265" s="309"/>
      <c r="F265" s="309"/>
      <c r="G265" s="309"/>
      <c r="H265" s="309"/>
      <c r="I265" s="309"/>
      <c r="J265" s="309"/>
      <c r="K265" s="309"/>
      <c r="L265" s="309"/>
      <c r="M265" s="309"/>
      <c r="N265" s="309"/>
      <c r="O265" s="309"/>
      <c r="P265" s="320"/>
    </row>
    <row r="266" spans="2:16" ht="13.5" customHeight="1">
      <c r="B266" s="309"/>
      <c r="C266" s="309"/>
      <c r="D266" s="309"/>
      <c r="E266" s="309"/>
      <c r="F266" s="309"/>
      <c r="G266" s="309"/>
      <c r="H266" s="309"/>
      <c r="I266" s="309"/>
      <c r="J266" s="309"/>
      <c r="K266" s="309"/>
      <c r="L266" s="309"/>
      <c r="M266" s="309"/>
      <c r="N266" s="309"/>
      <c r="O266" s="309"/>
      <c r="P266" s="320"/>
    </row>
  </sheetData>
  <sheetProtection/>
  <mergeCells count="1">
    <mergeCell ref="B3:P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2" r:id="rId1"/>
  <headerFooter alignWithMargins="0">
    <oddHeader>&amp;L15. melléklet a 2014. évi 6/2014.(III.28.) Önkormányzati költségvetési rendelethez</oddHeader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AU257"/>
  <sheetViews>
    <sheetView zoomScalePageLayoutView="0" workbookViewId="0" topLeftCell="A1">
      <selection activeCell="P15" sqref="P15"/>
    </sheetView>
  </sheetViews>
  <sheetFormatPr defaultColWidth="9.140625" defaultRowHeight="13.5" customHeight="1"/>
  <cols>
    <col min="1" max="1" width="4.7109375" style="104" customWidth="1"/>
    <col min="2" max="2" width="23.7109375" style="104" customWidth="1"/>
    <col min="3" max="4" width="12.7109375" style="104" bestFit="1" customWidth="1"/>
    <col min="5" max="5" width="10.140625" style="104" bestFit="1" customWidth="1"/>
    <col min="6" max="6" width="8.28125" style="104" bestFit="1" customWidth="1"/>
    <col min="7" max="9" width="10.140625" style="104" bestFit="1" customWidth="1"/>
    <col min="10" max="10" width="9.8515625" style="104" bestFit="1" customWidth="1"/>
    <col min="11" max="11" width="11.00390625" style="104" bestFit="1" customWidth="1"/>
    <col min="12" max="12" width="10.140625" style="104" bestFit="1" customWidth="1"/>
    <col min="13" max="13" width="11.57421875" style="104" bestFit="1" customWidth="1"/>
    <col min="14" max="14" width="11.140625" style="104" bestFit="1" customWidth="1"/>
    <col min="15" max="15" width="11.140625" style="310" bestFit="1" customWidth="1"/>
    <col min="16" max="18" width="11.7109375" style="309" customWidth="1"/>
    <col min="19" max="20" width="9.7109375" style="309" customWidth="1"/>
    <col min="21" max="21" width="10.57421875" style="309" customWidth="1"/>
    <col min="22" max="22" width="13.00390625" style="309" customWidth="1"/>
    <col min="23" max="23" width="9.28125" style="309" customWidth="1"/>
    <col min="24" max="47" width="9.140625" style="309" customWidth="1"/>
    <col min="48" max="16384" width="9.140625" style="104" customWidth="1"/>
  </cols>
  <sheetData>
    <row r="3" spans="1:15" ht="32.25" customHeight="1" thickBot="1">
      <c r="A3" s="709" t="s">
        <v>464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</row>
    <row r="4" spans="1:15" ht="13.5" customHeight="1" thickBot="1">
      <c r="A4" s="277" t="s">
        <v>300</v>
      </c>
      <c r="B4" s="278" t="s">
        <v>67</v>
      </c>
      <c r="C4" s="278" t="s">
        <v>301</v>
      </c>
      <c r="D4" s="278" t="s">
        <v>302</v>
      </c>
      <c r="E4" s="278" t="s">
        <v>303</v>
      </c>
      <c r="F4" s="278" t="s">
        <v>304</v>
      </c>
      <c r="G4" s="278" t="s">
        <v>305</v>
      </c>
      <c r="H4" s="278" t="s">
        <v>306</v>
      </c>
      <c r="I4" s="278" t="s">
        <v>307</v>
      </c>
      <c r="J4" s="278" t="s">
        <v>308</v>
      </c>
      <c r="K4" s="278" t="s">
        <v>309</v>
      </c>
      <c r="L4" s="278" t="s">
        <v>310</v>
      </c>
      <c r="M4" s="278" t="s">
        <v>311</v>
      </c>
      <c r="N4" s="278" t="s">
        <v>312</v>
      </c>
      <c r="O4" s="279" t="s">
        <v>313</v>
      </c>
    </row>
    <row r="5" spans="1:15" ht="13.5" customHeight="1" thickBot="1">
      <c r="A5" s="280" t="s">
        <v>20</v>
      </c>
      <c r="B5" s="281" t="s">
        <v>97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97"/>
    </row>
    <row r="6" spans="1:15" ht="13.5" customHeight="1">
      <c r="A6" s="283" t="s">
        <v>21</v>
      </c>
      <c r="B6" s="284" t="s">
        <v>334</v>
      </c>
      <c r="C6" s="312">
        <v>77957</v>
      </c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4" t="s">
        <v>335</v>
      </c>
    </row>
    <row r="7" spans="1:15" ht="13.5" customHeight="1">
      <c r="A7" s="287" t="s">
        <v>22</v>
      </c>
      <c r="B7" s="288" t="s">
        <v>315</v>
      </c>
      <c r="C7" s="315">
        <f>+'15_mell'!D8+'20_mell'!D9+'19_mell'!D9+'18_mell'!D9+'17_mell'!D11</f>
        <v>8289</v>
      </c>
      <c r="D7" s="315">
        <f>+'15_mell'!E8+'20_mell'!E9+'19_mell'!E9+'18_mell'!E9+'17_mell'!E11</f>
        <v>8289</v>
      </c>
      <c r="E7" s="315">
        <f>+'15_mell'!F8+'20_mell'!F9+'19_mell'!F9+'18_mell'!F9+'17_mell'!F11</f>
        <v>8289</v>
      </c>
      <c r="F7" s="315">
        <f>+'15_mell'!G8+'20_mell'!G9+'19_mell'!G9+'18_mell'!G9+'17_mell'!G11</f>
        <v>8289</v>
      </c>
      <c r="G7" s="315">
        <f>+'15_mell'!H8+'20_mell'!H9+'19_mell'!H9+'18_mell'!H9+'17_mell'!H11</f>
        <v>8289</v>
      </c>
      <c r="H7" s="315">
        <f>+'15_mell'!I8+'20_mell'!I9+'19_mell'!I9+'18_mell'!I9+'17_mell'!I11</f>
        <v>8289</v>
      </c>
      <c r="I7" s="315">
        <f>+'15_mell'!J8+'20_mell'!J9+'19_mell'!J9+'18_mell'!J9+'17_mell'!J11</f>
        <v>8289</v>
      </c>
      <c r="J7" s="315">
        <f>+'15_mell'!K8+'20_mell'!K9+'19_mell'!K9+'18_mell'!K9+'17_mell'!K11</f>
        <v>8289</v>
      </c>
      <c r="K7" s="315">
        <f>+'15_mell'!L8+'20_mell'!L9+'19_mell'!L9+'18_mell'!L9+'17_mell'!L11</f>
        <v>8289</v>
      </c>
      <c r="L7" s="315">
        <f>+'15_mell'!M8+'20_mell'!M9+'19_mell'!M9+'18_mell'!M9+'17_mell'!M11</f>
        <v>8289</v>
      </c>
      <c r="M7" s="315">
        <f>+'15_mell'!N8+'20_mell'!N9+'19_mell'!N9+'18_mell'!N9+'17_mell'!N11</f>
        <v>8289</v>
      </c>
      <c r="N7" s="315">
        <f>+'15_mell'!O8+'20_mell'!O9+'19_mell'!O9+'18_mell'!O9+'17_mell'!O11</f>
        <v>8292</v>
      </c>
      <c r="O7" s="316">
        <f>SUM(C7:N7)</f>
        <v>99471</v>
      </c>
    </row>
    <row r="8" spans="1:15" ht="22.5" customHeight="1">
      <c r="A8" s="287" t="s">
        <v>23</v>
      </c>
      <c r="B8" s="291" t="s">
        <v>361</v>
      </c>
      <c r="C8" s="315">
        <f>+'15_mell'!D9+'20_mell'!D10+'19_mell'!D10+'18_mell'!D10+'17_mell'!D12</f>
        <v>28893</v>
      </c>
      <c r="D8" s="317">
        <f>+'15_mell'!E9</f>
        <v>28467</v>
      </c>
      <c r="E8" s="317">
        <f>+'15_mell'!F9</f>
        <v>28467</v>
      </c>
      <c r="F8" s="317">
        <f>+'15_mell'!G9</f>
        <v>20064</v>
      </c>
      <c r="G8" s="317">
        <f>+'15_mell'!H9</f>
        <v>20064</v>
      </c>
      <c r="H8" s="317">
        <f>+'15_mell'!I9</f>
        <v>20064</v>
      </c>
      <c r="I8" s="317">
        <f>+'15_mell'!J9</f>
        <v>20064</v>
      </c>
      <c r="J8" s="317">
        <f>+'15_mell'!K9</f>
        <v>20064</v>
      </c>
      <c r="K8" s="317">
        <f>+'15_mell'!L9</f>
        <v>20064</v>
      </c>
      <c r="L8" s="317">
        <f>+'15_mell'!M9</f>
        <v>20064</v>
      </c>
      <c r="M8" s="317">
        <f>+'15_mell'!N9</f>
        <v>20064</v>
      </c>
      <c r="N8" s="317">
        <f>+'15_mell'!O9</f>
        <v>20249</v>
      </c>
      <c r="O8" s="318">
        <f>SUM(C8:N8)</f>
        <v>266588</v>
      </c>
    </row>
    <row r="9" spans="1:15" ht="13.5" customHeight="1">
      <c r="A9" s="287" t="s">
        <v>24</v>
      </c>
      <c r="B9" s="288" t="s">
        <v>317</v>
      </c>
      <c r="C9" s="315">
        <f>+'15_mell'!D10+'20_mell'!D11+'19_mell'!D11+'18_mell'!D11+'17_mell'!D13</f>
        <v>12937</v>
      </c>
      <c r="D9" s="315">
        <f>+'15_mell'!E10+'20_mell'!E11+'19_mell'!E11+'18_mell'!E11+'17_mell'!E13</f>
        <v>12937</v>
      </c>
      <c r="E9" s="315">
        <f>+'15_mell'!F10+'20_mell'!F11+'19_mell'!F11+'18_mell'!F11+'17_mell'!F13</f>
        <v>12937</v>
      </c>
      <c r="F9" s="315">
        <f>+'15_mell'!G10+'20_mell'!G11+'19_mell'!G11+'18_mell'!G11+'17_mell'!G13</f>
        <v>12937</v>
      </c>
      <c r="G9" s="315">
        <f>+'15_mell'!H10+'20_mell'!H11+'19_mell'!H11+'18_mell'!H11+'17_mell'!H13</f>
        <v>12937</v>
      </c>
      <c r="H9" s="315">
        <f>+'15_mell'!I10+'20_mell'!I11+'19_mell'!I11+'18_mell'!I11+'17_mell'!I13</f>
        <v>12937</v>
      </c>
      <c r="I9" s="315">
        <f>+'15_mell'!J10+'20_mell'!J11+'19_mell'!J11+'18_mell'!J11+'17_mell'!J13</f>
        <v>12937</v>
      </c>
      <c r="J9" s="315">
        <f>+'15_mell'!K10+'20_mell'!K11+'19_mell'!K11+'18_mell'!K11+'17_mell'!K13</f>
        <v>12937</v>
      </c>
      <c r="K9" s="315">
        <f>+'15_mell'!L10+'20_mell'!L11+'19_mell'!L11+'18_mell'!L11+'17_mell'!L13</f>
        <v>12937</v>
      </c>
      <c r="L9" s="315">
        <f>+'15_mell'!M10+'20_mell'!M11+'19_mell'!M11+'18_mell'!M11+'17_mell'!M13</f>
        <v>12937</v>
      </c>
      <c r="M9" s="315">
        <f>+'15_mell'!N10+'20_mell'!N11+'19_mell'!N11+'18_mell'!N11+'17_mell'!N13</f>
        <v>12937</v>
      </c>
      <c r="N9" s="315">
        <f>+'15_mell'!O10+'20_mell'!O11+'19_mell'!O11+'18_mell'!O11+'17_mell'!O13</f>
        <v>12935</v>
      </c>
      <c r="O9" s="316">
        <f aca="true" t="shared" si="0" ref="O9:O27">SUM(C9:N9)</f>
        <v>155242</v>
      </c>
    </row>
    <row r="10" spans="1:15" ht="13.5" customHeight="1">
      <c r="A10" s="287" t="s">
        <v>25</v>
      </c>
      <c r="B10" s="288" t="s">
        <v>318</v>
      </c>
      <c r="C10" s="315">
        <f>+'15_mell'!D11+'20_mell'!D12+'19_mell'!D12+'18_mell'!D12+'17_mell'!D14</f>
        <v>5000</v>
      </c>
      <c r="D10" s="315">
        <f>+'15_mell'!E11+'20_mell'!E12+'19_mell'!E12+'18_mell'!E12+'17_mell'!E14</f>
        <v>10000</v>
      </c>
      <c r="E10" s="315">
        <f>+'15_mell'!F11+'20_mell'!F12+'19_mell'!F12+'18_mell'!F12+'17_mell'!F14</f>
        <v>6094</v>
      </c>
      <c r="F10" s="315">
        <f>+'15_mell'!G11+'20_mell'!G12+'19_mell'!G12+'18_mell'!G12+'17_mell'!G14</f>
        <v>0</v>
      </c>
      <c r="G10" s="315">
        <f>+'15_mell'!H11+'20_mell'!H12+'19_mell'!H12+'18_mell'!H12+'17_mell'!H14</f>
        <v>0</v>
      </c>
      <c r="H10" s="315">
        <f>+'15_mell'!I11+'20_mell'!I12+'19_mell'!I12+'18_mell'!I12+'17_mell'!I14</f>
        <v>0</v>
      </c>
      <c r="I10" s="315">
        <f>+'15_mell'!J11+'20_mell'!J12+'19_mell'!J12+'18_mell'!J12+'17_mell'!J14</f>
        <v>0</v>
      </c>
      <c r="J10" s="315">
        <f>+'15_mell'!K11+'20_mell'!K12+'19_mell'!K12+'18_mell'!K12+'17_mell'!K14</f>
        <v>0</v>
      </c>
      <c r="K10" s="315">
        <f>+'15_mell'!L11+'20_mell'!L12+'19_mell'!L12+'18_mell'!L12+'17_mell'!L14</f>
        <v>14137</v>
      </c>
      <c r="L10" s="315">
        <f>+'15_mell'!M11+'20_mell'!M12+'19_mell'!M12+'18_mell'!M12+'17_mell'!M14</f>
        <v>0</v>
      </c>
      <c r="M10" s="315">
        <f>+'15_mell'!N11+'20_mell'!N12+'19_mell'!N12+'18_mell'!N12+'17_mell'!N14</f>
        <v>48525</v>
      </c>
      <c r="N10" s="315">
        <f>+'15_mell'!O11+'20_mell'!O12+'19_mell'!O12+'18_mell'!O12+'17_mell'!O14</f>
        <v>0</v>
      </c>
      <c r="O10" s="316">
        <f t="shared" si="0"/>
        <v>83756</v>
      </c>
    </row>
    <row r="11" spans="1:17" ht="13.5" customHeight="1">
      <c r="A11" s="287" t="s">
        <v>26</v>
      </c>
      <c r="B11" s="288" t="s">
        <v>319</v>
      </c>
      <c r="C11" s="315">
        <f>+'15_mell'!D12+'20_mell'!D13+'19_mell'!D13+'18_mell'!D13+'17_mell'!D15</f>
        <v>3461</v>
      </c>
      <c r="D11" s="315">
        <f>+'15_mell'!E12+'20_mell'!E13+'19_mell'!E13+'18_mell'!E13+'17_mell'!E15</f>
        <v>3461</v>
      </c>
      <c r="E11" s="315">
        <f>+'15_mell'!F12+'20_mell'!F13+'19_mell'!F13+'18_mell'!F13+'17_mell'!F15</f>
        <v>16863</v>
      </c>
      <c r="F11" s="315">
        <f>+'15_mell'!G12+'20_mell'!G13+'19_mell'!G13+'18_mell'!G13+'17_mell'!G15</f>
        <v>15890</v>
      </c>
      <c r="G11" s="315">
        <f>+'15_mell'!H12+'20_mell'!H13+'19_mell'!H13+'18_mell'!H13+'17_mell'!H15</f>
        <v>15890</v>
      </c>
      <c r="H11" s="315">
        <f>+'15_mell'!I12+'20_mell'!I13+'19_mell'!I13+'18_mell'!I13+'17_mell'!I15</f>
        <v>15890</v>
      </c>
      <c r="I11" s="315">
        <f>+'15_mell'!J12+'20_mell'!J13+'19_mell'!J13+'18_mell'!J13+'17_mell'!J15</f>
        <v>15890</v>
      </c>
      <c r="J11" s="315">
        <f>+'15_mell'!K12+'20_mell'!K13+'19_mell'!K13+'18_mell'!K13+'17_mell'!K15</f>
        <v>15890</v>
      </c>
      <c r="K11" s="315">
        <f>+'15_mell'!L12+'20_mell'!L13+'19_mell'!L13+'18_mell'!L13+'17_mell'!L15</f>
        <v>15890</v>
      </c>
      <c r="L11" s="315">
        <f>+'15_mell'!M12+'20_mell'!M13+'19_mell'!M13+'18_mell'!M13+'17_mell'!M15</f>
        <v>15890</v>
      </c>
      <c r="M11" s="315">
        <f>+'15_mell'!N12+'20_mell'!N13+'19_mell'!N13+'18_mell'!N13+'17_mell'!N15</f>
        <v>15890</v>
      </c>
      <c r="N11" s="315">
        <f>+'15_mell'!O12+'20_mell'!O13+'19_mell'!O13+'18_mell'!O13+'17_mell'!O15</f>
        <v>15599</v>
      </c>
      <c r="O11" s="316">
        <f t="shared" si="0"/>
        <v>166504</v>
      </c>
      <c r="Q11" s="135"/>
    </row>
    <row r="12" spans="1:15" ht="13.5" customHeight="1">
      <c r="A12" s="287" t="s">
        <v>27</v>
      </c>
      <c r="B12" s="288" t="s">
        <v>320</v>
      </c>
      <c r="C12" s="315">
        <f>+'15_mell'!D13+'20_mell'!D14+'19_mell'!D14+'18_mell'!D14+'17_mell'!D16</f>
        <v>13</v>
      </c>
      <c r="D12" s="315">
        <f>+'15_mell'!E13+'20_mell'!E14+'19_mell'!E14+'18_mell'!E14+'17_mell'!E16</f>
        <v>13</v>
      </c>
      <c r="E12" s="315">
        <f>+'15_mell'!F13+'20_mell'!F14+'19_mell'!F14+'18_mell'!F14+'17_mell'!F16</f>
        <v>13</v>
      </c>
      <c r="F12" s="315">
        <f>+'15_mell'!G13+'20_mell'!G14+'19_mell'!G14+'18_mell'!G14+'17_mell'!G16</f>
        <v>13</v>
      </c>
      <c r="G12" s="315">
        <f>+'15_mell'!H13+'20_mell'!H14+'19_mell'!H14+'18_mell'!H14+'17_mell'!H16</f>
        <v>13</v>
      </c>
      <c r="H12" s="315">
        <f>+'15_mell'!I13+'20_mell'!I14+'19_mell'!I14+'18_mell'!I14+'17_mell'!I16</f>
        <v>13</v>
      </c>
      <c r="I12" s="315">
        <f>+'15_mell'!J13+'20_mell'!J14+'19_mell'!J14+'18_mell'!J14+'17_mell'!J16</f>
        <v>13</v>
      </c>
      <c r="J12" s="315">
        <f>+'15_mell'!K13+'20_mell'!K14+'19_mell'!K14+'18_mell'!K14+'17_mell'!K16</f>
        <v>13</v>
      </c>
      <c r="K12" s="315">
        <f>+'15_mell'!L13+'20_mell'!L14+'19_mell'!L14+'18_mell'!L14+'17_mell'!L16</f>
        <v>13</v>
      </c>
      <c r="L12" s="315">
        <f>+'15_mell'!M13+'20_mell'!M14+'19_mell'!M14+'18_mell'!M14+'17_mell'!M16</f>
        <v>13</v>
      </c>
      <c r="M12" s="315">
        <f>+'15_mell'!N13+'20_mell'!N14+'19_mell'!N14+'18_mell'!N14+'17_mell'!N16</f>
        <v>13</v>
      </c>
      <c r="N12" s="315">
        <f>+'15_mell'!O13+'20_mell'!O14+'19_mell'!O14+'18_mell'!O14+'17_mell'!O16</f>
        <v>7</v>
      </c>
      <c r="O12" s="316">
        <f t="shared" si="0"/>
        <v>150</v>
      </c>
    </row>
    <row r="13" spans="1:15" ht="21" customHeight="1">
      <c r="A13" s="287" t="s">
        <v>28</v>
      </c>
      <c r="B13" s="293" t="s">
        <v>321</v>
      </c>
      <c r="C13" s="315">
        <f>+'15_mell'!D14+'20_mell'!D15+'19_mell'!D15+'18_mell'!D15+'17_mell'!D17</f>
        <v>0</v>
      </c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6">
        <f t="shared" si="0"/>
        <v>0</v>
      </c>
    </row>
    <row r="14" spans="1:15" ht="13.5" customHeight="1" thickBot="1">
      <c r="A14" s="287" t="s">
        <v>29</v>
      </c>
      <c r="B14" s="288" t="s">
        <v>336</v>
      </c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6">
        <f t="shared" si="0"/>
        <v>0</v>
      </c>
    </row>
    <row r="15" spans="1:47" s="310" customFormat="1" ht="13.5" customHeight="1" thickBot="1">
      <c r="A15" s="280" t="s">
        <v>30</v>
      </c>
      <c r="B15" s="295" t="s">
        <v>322</v>
      </c>
      <c r="C15" s="319">
        <f>SUM(C7:C14)</f>
        <v>58593</v>
      </c>
      <c r="D15" s="319">
        <f aca="true" t="shared" si="1" ref="D15:N15">SUM(D7:D14)</f>
        <v>63167</v>
      </c>
      <c r="E15" s="319">
        <f t="shared" si="1"/>
        <v>72663</v>
      </c>
      <c r="F15" s="319">
        <f t="shared" si="1"/>
        <v>57193</v>
      </c>
      <c r="G15" s="319">
        <f t="shared" si="1"/>
        <v>57193</v>
      </c>
      <c r="H15" s="319">
        <f t="shared" si="1"/>
        <v>57193</v>
      </c>
      <c r="I15" s="319">
        <f t="shared" si="1"/>
        <v>57193</v>
      </c>
      <c r="J15" s="319">
        <f t="shared" si="1"/>
        <v>57193</v>
      </c>
      <c r="K15" s="319">
        <f t="shared" si="1"/>
        <v>71330</v>
      </c>
      <c r="L15" s="319">
        <f t="shared" si="1"/>
        <v>57193</v>
      </c>
      <c r="M15" s="319">
        <f t="shared" si="1"/>
        <v>105718</v>
      </c>
      <c r="N15" s="319">
        <f t="shared" si="1"/>
        <v>57082</v>
      </c>
      <c r="O15" s="319">
        <f>SUM(O7:O14)</f>
        <v>771711</v>
      </c>
      <c r="P15" s="309"/>
      <c r="Q15" s="320"/>
      <c r="R15" s="309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</row>
    <row r="16" spans="1:47" s="310" customFormat="1" ht="13.5" customHeight="1" thickBot="1">
      <c r="A16" s="280" t="s">
        <v>31</v>
      </c>
      <c r="B16" s="281" t="s">
        <v>125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97"/>
      <c r="P16" s="309"/>
      <c r="Q16" s="320"/>
      <c r="R16" s="309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</row>
    <row r="17" spans="1:15" ht="13.5" customHeight="1">
      <c r="A17" s="298" t="s">
        <v>32</v>
      </c>
      <c r="B17" s="299" t="s">
        <v>215</v>
      </c>
      <c r="C17" s="317">
        <f>+'15_mell'!D18+'20_mell'!D19+'19_mell'!D19+'18_mell'!D19+'17_mell'!D21</f>
        <v>19048</v>
      </c>
      <c r="D17" s="317">
        <f>+'15_mell'!E18+'20_mell'!E19+'19_mell'!E19+'18_mell'!E19+'17_mell'!E21</f>
        <v>19963</v>
      </c>
      <c r="E17" s="317">
        <f>+'15_mell'!F18+'20_mell'!F19+'19_mell'!F19+'18_mell'!F19+'17_mell'!F21</f>
        <v>22904</v>
      </c>
      <c r="F17" s="317">
        <f>+'15_mell'!G18+'20_mell'!G19+'19_mell'!G19+'18_mell'!G19+'17_mell'!G21</f>
        <v>21710</v>
      </c>
      <c r="G17" s="317">
        <f>+'15_mell'!H18+'20_mell'!H19+'19_mell'!H19+'18_mell'!H19+'17_mell'!H21</f>
        <v>21847</v>
      </c>
      <c r="H17" s="317">
        <f>+'15_mell'!I18+'20_mell'!I19+'19_mell'!I19+'18_mell'!I19+'17_mell'!I21</f>
        <v>21847</v>
      </c>
      <c r="I17" s="317">
        <f>+'15_mell'!J18+'20_mell'!J19+'19_mell'!J19+'18_mell'!J19+'17_mell'!J21</f>
        <v>23210</v>
      </c>
      <c r="J17" s="317">
        <f>+'15_mell'!K18+'20_mell'!K19+'19_mell'!K19+'18_mell'!K19+'17_mell'!K21</f>
        <v>23210</v>
      </c>
      <c r="K17" s="317">
        <f>+'15_mell'!L18+'20_mell'!L19+'19_mell'!L19+'18_mell'!L19+'17_mell'!L21</f>
        <v>21710</v>
      </c>
      <c r="L17" s="317">
        <f>+'15_mell'!M18+'20_mell'!M19+'19_mell'!M19+'18_mell'!M19+'17_mell'!M21</f>
        <v>21402</v>
      </c>
      <c r="M17" s="317">
        <f>+'15_mell'!N18+'20_mell'!N19+'19_mell'!N19+'18_mell'!N19+'17_mell'!N21</f>
        <v>21847</v>
      </c>
      <c r="N17" s="317">
        <f>+'15_mell'!O18+'20_mell'!O19+'19_mell'!O19+'18_mell'!O19+'17_mell'!O21</f>
        <v>21844</v>
      </c>
      <c r="O17" s="318">
        <f>SUM(C17:N17)</f>
        <v>260542</v>
      </c>
    </row>
    <row r="18" spans="1:15" ht="24.75" customHeight="1">
      <c r="A18" s="287" t="s">
        <v>33</v>
      </c>
      <c r="B18" s="293" t="s">
        <v>323</v>
      </c>
      <c r="C18" s="317">
        <f>+'15_mell'!D19+'20_mell'!D20+'19_mell'!D20+'18_mell'!D20+'17_mell'!D22</f>
        <v>5104</v>
      </c>
      <c r="D18" s="317">
        <f>+'15_mell'!E19+'20_mell'!E20+'19_mell'!E20+'18_mell'!E20+'17_mell'!E22</f>
        <v>5204</v>
      </c>
      <c r="E18" s="317">
        <f>+'15_mell'!F19+'20_mell'!F20+'19_mell'!F20+'18_mell'!F20+'17_mell'!F22</f>
        <v>5429</v>
      </c>
      <c r="F18" s="317">
        <f>+'15_mell'!G19+'20_mell'!G20+'19_mell'!G20+'18_mell'!G20+'17_mell'!G22</f>
        <v>5615</v>
      </c>
      <c r="G18" s="317">
        <f>+'15_mell'!H19+'20_mell'!H20+'19_mell'!H20+'18_mell'!H20+'17_mell'!H22</f>
        <v>5429</v>
      </c>
      <c r="H18" s="317">
        <f>+'15_mell'!I19+'20_mell'!I20+'19_mell'!I20+'18_mell'!I20+'17_mell'!I22</f>
        <v>5429</v>
      </c>
      <c r="I18" s="317">
        <f>+'15_mell'!J19+'20_mell'!J20+'19_mell'!J20+'18_mell'!J20+'17_mell'!J22</f>
        <v>5429</v>
      </c>
      <c r="J18" s="317">
        <f>+'15_mell'!K19+'20_mell'!K20+'19_mell'!K20+'18_mell'!K20+'17_mell'!K22</f>
        <v>5429</v>
      </c>
      <c r="K18" s="317">
        <f>+'15_mell'!L19+'20_mell'!L20+'19_mell'!L20+'18_mell'!L20+'17_mell'!L22</f>
        <v>5429</v>
      </c>
      <c r="L18" s="317">
        <f>+'15_mell'!M19+'20_mell'!M20+'19_mell'!M20+'18_mell'!M20+'17_mell'!M22</f>
        <v>6220</v>
      </c>
      <c r="M18" s="317">
        <f>+'15_mell'!N19+'20_mell'!N20+'19_mell'!N20+'18_mell'!N20+'17_mell'!N22</f>
        <v>5429</v>
      </c>
      <c r="N18" s="317">
        <f>+'15_mell'!O19+'20_mell'!O20+'19_mell'!O20+'18_mell'!O20+'17_mell'!O22</f>
        <v>5246</v>
      </c>
      <c r="O18" s="316">
        <f t="shared" si="0"/>
        <v>65392</v>
      </c>
    </row>
    <row r="19" spans="1:15" ht="13.5" customHeight="1">
      <c r="A19" s="287" t="s">
        <v>34</v>
      </c>
      <c r="B19" s="288" t="s">
        <v>251</v>
      </c>
      <c r="C19" s="317">
        <f>+'15_mell'!D20+'20_mell'!D21+'19_mell'!D21+'18_mell'!D21+'17_mell'!D23</f>
        <v>18192</v>
      </c>
      <c r="D19" s="317">
        <f>+'15_mell'!E20+'20_mell'!E21+'19_mell'!E21+'18_mell'!E21+'17_mell'!E23</f>
        <v>18192</v>
      </c>
      <c r="E19" s="317">
        <f>+'15_mell'!F20+'20_mell'!F21+'19_mell'!F21+'18_mell'!F21+'17_mell'!F23</f>
        <v>18192</v>
      </c>
      <c r="F19" s="317">
        <f>+'15_mell'!G20+'20_mell'!G21+'19_mell'!G21+'18_mell'!G21+'17_mell'!G23</f>
        <v>19819</v>
      </c>
      <c r="G19" s="317">
        <f>+'15_mell'!H20+'20_mell'!H21+'19_mell'!H21+'18_mell'!H21+'17_mell'!H23</f>
        <v>19092</v>
      </c>
      <c r="H19" s="317">
        <f>+'15_mell'!I20+'20_mell'!I21+'19_mell'!I21+'18_mell'!I21+'17_mell'!I23</f>
        <v>18192</v>
      </c>
      <c r="I19" s="317">
        <f>+'15_mell'!J20+'20_mell'!J21+'19_mell'!J21+'18_mell'!J21+'17_mell'!J23</f>
        <v>18192</v>
      </c>
      <c r="J19" s="317">
        <f>+'15_mell'!K20+'20_mell'!K21+'19_mell'!K21+'18_mell'!K21+'17_mell'!K23</f>
        <v>18192</v>
      </c>
      <c r="K19" s="317">
        <f>+'15_mell'!L20+'20_mell'!L21+'19_mell'!L21+'18_mell'!L21+'17_mell'!L23</f>
        <v>18892</v>
      </c>
      <c r="L19" s="317">
        <f>+'15_mell'!M20+'20_mell'!M21+'19_mell'!M21+'18_mell'!M21+'17_mell'!M23</f>
        <v>18192</v>
      </c>
      <c r="M19" s="317">
        <f>+'15_mell'!N20+'20_mell'!N21+'19_mell'!N21+'18_mell'!N21+'17_mell'!N23</f>
        <v>18192</v>
      </c>
      <c r="N19" s="317">
        <f>+'15_mell'!O20+'20_mell'!O21+'19_mell'!O21+'18_mell'!O21+'17_mell'!O23</f>
        <v>27646</v>
      </c>
      <c r="O19" s="316">
        <f t="shared" si="0"/>
        <v>230985</v>
      </c>
    </row>
    <row r="20" spans="1:15" ht="13.5" customHeight="1">
      <c r="A20" s="287" t="s">
        <v>35</v>
      </c>
      <c r="B20" s="288" t="s">
        <v>324</v>
      </c>
      <c r="C20" s="317">
        <f>+'15_mell'!D21+'20_mell'!D22+'19_mell'!D22+'18_mell'!D22+'17_mell'!D24</f>
        <v>0</v>
      </c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6">
        <f t="shared" si="0"/>
        <v>0</v>
      </c>
    </row>
    <row r="21" spans="1:15" ht="13.5" customHeight="1">
      <c r="A21" s="287" t="s">
        <v>36</v>
      </c>
      <c r="B21" s="288" t="s">
        <v>325</v>
      </c>
      <c r="C21" s="317">
        <f>+'15_mell'!D22+'20_mell'!D23+'19_mell'!D23+'18_mell'!D23+'17_mell'!D25</f>
        <v>0</v>
      </c>
      <c r="D21" s="317">
        <f>+'15_mell'!E22+'20_mell'!E23+'19_mell'!E23+'18_mell'!E23+'17_mell'!E25</f>
        <v>0</v>
      </c>
      <c r="E21" s="317">
        <f>+'15_mell'!F22+'20_mell'!F23+'19_mell'!F23+'18_mell'!F23+'17_mell'!F25</f>
        <v>0</v>
      </c>
      <c r="F21" s="317">
        <f>+'15_mell'!G22+'20_mell'!G23+'19_mell'!G23+'18_mell'!G23+'17_mell'!G25</f>
        <v>0</v>
      </c>
      <c r="G21" s="317">
        <f>+'15_mell'!H22+'20_mell'!H23+'19_mell'!H23+'18_mell'!H23+'17_mell'!H25</f>
        <v>0</v>
      </c>
      <c r="H21" s="317">
        <f>+'15_mell'!I22+'20_mell'!I23+'19_mell'!I23+'18_mell'!I23+'17_mell'!I25</f>
        <v>0</v>
      </c>
      <c r="I21" s="317">
        <f>+'15_mell'!J22+'20_mell'!J23+'19_mell'!J23+'18_mell'!J23+'17_mell'!J25</f>
        <v>0</v>
      </c>
      <c r="J21" s="317">
        <f>+'15_mell'!K22+'20_mell'!K23+'19_mell'!K23+'18_mell'!K23+'17_mell'!K25</f>
        <v>0</v>
      </c>
      <c r="K21" s="317">
        <f>+'15_mell'!L22+'20_mell'!L23+'19_mell'!L23+'18_mell'!L23+'17_mell'!L25</f>
        <v>0</v>
      </c>
      <c r="L21" s="317">
        <f>+'15_mell'!M22+'20_mell'!M23+'19_mell'!M23+'18_mell'!M23+'17_mell'!M25</f>
        <v>0</v>
      </c>
      <c r="M21" s="317">
        <f>+'15_mell'!N22+'20_mell'!N23+'19_mell'!N23+'18_mell'!N23+'17_mell'!N25</f>
        <v>0</v>
      </c>
      <c r="N21" s="317">
        <f>+'15_mell'!O22+'20_mell'!O23+'19_mell'!O23+'18_mell'!O23+'17_mell'!O25</f>
        <v>0</v>
      </c>
      <c r="O21" s="316">
        <f t="shared" si="0"/>
        <v>0</v>
      </c>
    </row>
    <row r="22" spans="1:15" ht="13.5" customHeight="1">
      <c r="A22" s="287" t="s">
        <v>37</v>
      </c>
      <c r="B22" s="288" t="s">
        <v>326</v>
      </c>
      <c r="C22" s="317">
        <f>+'15_mell'!D23+'20_mell'!D24+'19_mell'!D24+'18_mell'!D24+'17_mell'!D26</f>
        <v>2239</v>
      </c>
      <c r="D22" s="317">
        <f>+'15_mell'!E23+'20_mell'!E24+'19_mell'!E24+'18_mell'!E24+'17_mell'!E26</f>
        <v>2239</v>
      </c>
      <c r="E22" s="317">
        <f>+'15_mell'!F23+'20_mell'!F24+'19_mell'!F24+'18_mell'!F24+'17_mell'!F26</f>
        <v>2239</v>
      </c>
      <c r="F22" s="317">
        <f>+'15_mell'!G23+'20_mell'!G24+'19_mell'!G24+'18_mell'!G24+'17_mell'!G26</f>
        <v>2239</v>
      </c>
      <c r="G22" s="317">
        <f>+'15_mell'!H23+'20_mell'!H24+'19_mell'!H24+'18_mell'!H24+'17_mell'!H26</f>
        <v>2239</v>
      </c>
      <c r="H22" s="317">
        <f>+'15_mell'!I23+'20_mell'!I24+'19_mell'!I24+'18_mell'!I24+'17_mell'!I26</f>
        <v>2239</v>
      </c>
      <c r="I22" s="317">
        <f>+'15_mell'!J23+'20_mell'!J24+'19_mell'!J24+'18_mell'!J24+'17_mell'!J26</f>
        <v>2239</v>
      </c>
      <c r="J22" s="317">
        <f>+'15_mell'!K23+'20_mell'!K24+'19_mell'!K24+'18_mell'!K24+'17_mell'!K26</f>
        <v>2239</v>
      </c>
      <c r="K22" s="317">
        <f>+'15_mell'!L23+'20_mell'!L24+'19_mell'!L24+'18_mell'!L24+'17_mell'!L26</f>
        <v>2239</v>
      </c>
      <c r="L22" s="317">
        <f>+'15_mell'!M23+'20_mell'!M24+'19_mell'!M24+'18_mell'!M24+'17_mell'!M26</f>
        <v>2239</v>
      </c>
      <c r="M22" s="317">
        <f>+'15_mell'!N23+'20_mell'!N24+'19_mell'!N24+'18_mell'!N24+'17_mell'!N26</f>
        <v>2239</v>
      </c>
      <c r="N22" s="317">
        <f>+'15_mell'!O23+'20_mell'!O24+'19_mell'!O24+'18_mell'!O24+'17_mell'!O26</f>
        <v>1540</v>
      </c>
      <c r="O22" s="316">
        <f t="shared" si="0"/>
        <v>26169</v>
      </c>
    </row>
    <row r="23" spans="1:15" ht="21" customHeight="1">
      <c r="A23" s="287" t="s">
        <v>40</v>
      </c>
      <c r="B23" s="293" t="s">
        <v>327</v>
      </c>
      <c r="C23" s="317">
        <f>+'15_mell'!D24+'20_mell'!D25+'19_mell'!D25+'18_mell'!D25+'17_mell'!D27</f>
        <v>9861</v>
      </c>
      <c r="D23" s="317">
        <f>+'15_mell'!E24+'20_mell'!E25+'19_mell'!E25+'18_mell'!E25+'17_mell'!E27</f>
        <v>9861</v>
      </c>
      <c r="E23" s="317">
        <f>+'15_mell'!F24+'20_mell'!F25+'19_mell'!F25+'18_mell'!F25+'17_mell'!F27</f>
        <v>9861</v>
      </c>
      <c r="F23" s="317">
        <f>+'15_mell'!G24+'20_mell'!G25+'19_mell'!G25+'18_mell'!G25+'17_mell'!G27</f>
        <v>9861</v>
      </c>
      <c r="G23" s="317">
        <f>+'15_mell'!H24+'20_mell'!H25+'19_mell'!H25+'18_mell'!H25+'17_mell'!H27</f>
        <v>9861</v>
      </c>
      <c r="H23" s="317">
        <f>+'15_mell'!I24+'20_mell'!I25+'19_mell'!I25+'18_mell'!I25+'17_mell'!I27</f>
        <v>9861</v>
      </c>
      <c r="I23" s="317">
        <f>+'15_mell'!J24+'20_mell'!J25+'19_mell'!J25+'18_mell'!J25+'17_mell'!J27</f>
        <v>9861</v>
      </c>
      <c r="J23" s="317">
        <f>+'15_mell'!K24+'20_mell'!K25+'19_mell'!K25+'18_mell'!K25+'17_mell'!K27</f>
        <v>9861</v>
      </c>
      <c r="K23" s="317">
        <f>+'15_mell'!L24+'20_mell'!L25+'19_mell'!L25+'18_mell'!L25+'17_mell'!L27</f>
        <v>9861</v>
      </c>
      <c r="L23" s="317">
        <f>+'15_mell'!M24+'20_mell'!M25+'19_mell'!M25+'18_mell'!M25+'17_mell'!M27</f>
        <v>9861</v>
      </c>
      <c r="M23" s="317">
        <f>+'15_mell'!N24+'20_mell'!N25+'19_mell'!N25+'18_mell'!N25+'17_mell'!N27</f>
        <v>9861</v>
      </c>
      <c r="N23" s="317">
        <f>+'15_mell'!O24+'20_mell'!O25+'19_mell'!O25+'18_mell'!O25+'17_mell'!O27</f>
        <v>9868</v>
      </c>
      <c r="O23" s="316">
        <f t="shared" si="0"/>
        <v>118339</v>
      </c>
    </row>
    <row r="24" spans="1:15" ht="13.5" customHeight="1">
      <c r="A24" s="287" t="s">
        <v>42</v>
      </c>
      <c r="B24" s="288" t="s">
        <v>452</v>
      </c>
      <c r="C24" s="317">
        <f>+'15_mell'!D25+'20_mell'!D26+'19_mell'!D26+'18_mell'!D26+'17_mell'!D28</f>
        <v>0</v>
      </c>
      <c r="D24" s="317">
        <f>+'15_mell'!E25+'20_mell'!E26+'19_mell'!E26+'18_mell'!E26+'17_mell'!E28</f>
        <v>1000</v>
      </c>
      <c r="E24" s="317">
        <f>+'15_mell'!F25+'20_mell'!F26+'19_mell'!F26+'18_mell'!F26+'17_mell'!F28</f>
        <v>2000</v>
      </c>
      <c r="F24" s="317">
        <f>+'15_mell'!G25+'20_mell'!G26+'19_mell'!G26+'18_mell'!G26+'17_mell'!G28</f>
        <v>0</v>
      </c>
      <c r="G24" s="317">
        <f>+'15_mell'!H25+'20_mell'!H26+'19_mell'!H26+'18_mell'!H26+'17_mell'!H28</f>
        <v>0</v>
      </c>
      <c r="H24" s="317">
        <f>+'15_mell'!I25+'20_mell'!I26+'19_mell'!I26+'18_mell'!I26+'17_mell'!I28</f>
        <v>0</v>
      </c>
      <c r="I24" s="317">
        <f>+'15_mell'!J25+'20_mell'!J26+'19_mell'!J26+'18_mell'!J26+'17_mell'!J28</f>
        <v>0</v>
      </c>
      <c r="J24" s="317">
        <f>+'15_mell'!K25+'20_mell'!K26+'19_mell'!K26+'18_mell'!K26+'17_mell'!K28</f>
        <v>0</v>
      </c>
      <c r="K24" s="317">
        <f>+'15_mell'!L25+'20_mell'!L26+'19_mell'!L26+'18_mell'!L26+'17_mell'!L28</f>
        <v>0</v>
      </c>
      <c r="L24" s="317">
        <f>+'15_mell'!M25+'20_mell'!M26+'19_mell'!M26+'18_mell'!M26+'17_mell'!M28</f>
        <v>0</v>
      </c>
      <c r="M24" s="317">
        <f>+'15_mell'!N25+'20_mell'!N26+'19_mell'!N26+'18_mell'!N26+'17_mell'!N28</f>
        <v>0</v>
      </c>
      <c r="N24" s="317">
        <f>+'15_mell'!O25+'20_mell'!O26+'19_mell'!O26+'18_mell'!O26+'17_mell'!O28</f>
        <v>0</v>
      </c>
      <c r="O24" s="316">
        <f t="shared" si="0"/>
        <v>3000</v>
      </c>
    </row>
    <row r="25" spans="1:15" ht="13.5" customHeight="1">
      <c r="A25" s="287" t="s">
        <v>43</v>
      </c>
      <c r="B25" s="288" t="s">
        <v>329</v>
      </c>
      <c r="C25" s="317">
        <f>+'15_mell'!D26+'20_mell'!D27+'19_mell'!D27+'18_mell'!D27+'17_mell'!D29</f>
        <v>0</v>
      </c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6">
        <f t="shared" si="0"/>
        <v>0</v>
      </c>
    </row>
    <row r="26" spans="1:15" ht="13.5" customHeight="1">
      <c r="A26" s="287" t="s">
        <v>44</v>
      </c>
      <c r="B26" s="288" t="s">
        <v>330</v>
      </c>
      <c r="C26" s="317">
        <f>+'15_mell'!D27+'20_mell'!D28+'19_mell'!D28+'18_mell'!D28+'17_mell'!D30</f>
        <v>0</v>
      </c>
      <c r="D26" s="317">
        <f>+'15_mell'!E27+'20_mell'!E28+'19_mell'!E28+'18_mell'!E28+'17_mell'!E30</f>
        <v>0</v>
      </c>
      <c r="E26" s="317">
        <f>+'15_mell'!F27+'20_mell'!F28+'19_mell'!F28+'18_mell'!F28+'17_mell'!F30</f>
        <v>0</v>
      </c>
      <c r="F26" s="317">
        <f>+'15_mell'!G27+'20_mell'!G28+'19_mell'!G28+'18_mell'!G28+'17_mell'!G30</f>
        <v>6094</v>
      </c>
      <c r="G26" s="317">
        <f>+'15_mell'!H27+'20_mell'!H28+'19_mell'!H28+'18_mell'!H28+'17_mell'!H30</f>
        <v>0</v>
      </c>
      <c r="H26" s="317">
        <f>+'15_mell'!I27+'20_mell'!I28+'19_mell'!I28+'18_mell'!I28+'17_mell'!I30</f>
        <v>8101</v>
      </c>
      <c r="I26" s="317">
        <f>+'15_mell'!J27+'20_mell'!J28+'19_mell'!J28+'18_mell'!J28+'17_mell'!J30</f>
        <v>0</v>
      </c>
      <c r="J26" s="317">
        <f>+'15_mell'!K27+'20_mell'!K28+'19_mell'!K28+'18_mell'!K28+'17_mell'!K30</f>
        <v>0</v>
      </c>
      <c r="K26" s="317">
        <f>+'15_mell'!L27+'20_mell'!L28+'19_mell'!L28+'18_mell'!L28+'17_mell'!L30</f>
        <v>0</v>
      </c>
      <c r="L26" s="317">
        <f>+'15_mell'!M27+'20_mell'!M28+'19_mell'!M28+'18_mell'!M28+'17_mell'!M30</f>
        <v>0</v>
      </c>
      <c r="M26" s="317">
        <f>+'15_mell'!N27+'20_mell'!N28+'19_mell'!N28+'18_mell'!N28+'17_mell'!N30</f>
        <v>26212</v>
      </c>
      <c r="N26" s="317">
        <f>+'15_mell'!O27+'20_mell'!O28+'19_mell'!O28+'18_mell'!O28+'17_mell'!O30</f>
        <v>26877</v>
      </c>
      <c r="O26" s="316">
        <f t="shared" si="0"/>
        <v>67284</v>
      </c>
    </row>
    <row r="27" spans="1:47" s="310" customFormat="1" ht="13.5" customHeight="1" thickBot="1">
      <c r="A27" s="287" t="s">
        <v>45</v>
      </c>
      <c r="B27" s="288" t="s">
        <v>331</v>
      </c>
      <c r="C27" s="317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6">
        <f t="shared" si="0"/>
        <v>0</v>
      </c>
      <c r="P27" s="309"/>
      <c r="Q27" s="320"/>
      <c r="R27" s="309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</row>
    <row r="28" spans="1:47" s="310" customFormat="1" ht="13.5" customHeight="1" thickBot="1">
      <c r="A28" s="301" t="s">
        <v>46</v>
      </c>
      <c r="B28" s="295" t="s">
        <v>332</v>
      </c>
      <c r="C28" s="319">
        <f>SUM(C17:C27)</f>
        <v>54444</v>
      </c>
      <c r="D28" s="319">
        <f aca="true" t="shared" si="2" ref="D28:N28">SUM(D17:D27)</f>
        <v>56459</v>
      </c>
      <c r="E28" s="319">
        <f t="shared" si="2"/>
        <v>60625</v>
      </c>
      <c r="F28" s="319">
        <f t="shared" si="2"/>
        <v>65338</v>
      </c>
      <c r="G28" s="319">
        <f t="shared" si="2"/>
        <v>58468</v>
      </c>
      <c r="H28" s="319">
        <f t="shared" si="2"/>
        <v>65669</v>
      </c>
      <c r="I28" s="319">
        <f t="shared" si="2"/>
        <v>58931</v>
      </c>
      <c r="J28" s="319">
        <f t="shared" si="2"/>
        <v>58931</v>
      </c>
      <c r="K28" s="319">
        <f t="shared" si="2"/>
        <v>58131</v>
      </c>
      <c r="L28" s="319">
        <f t="shared" si="2"/>
        <v>57914</v>
      </c>
      <c r="M28" s="319">
        <f t="shared" si="2"/>
        <v>83780</v>
      </c>
      <c r="N28" s="319">
        <f t="shared" si="2"/>
        <v>93021</v>
      </c>
      <c r="O28" s="321">
        <f>SUM(C28:N28)</f>
        <v>771711</v>
      </c>
      <c r="P28" s="320"/>
      <c r="Q28" s="320"/>
      <c r="R28" s="309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</row>
    <row r="29" spans="1:47" s="325" customFormat="1" ht="28.5" customHeight="1" thickBot="1">
      <c r="A29" s="301" t="s">
        <v>47</v>
      </c>
      <c r="B29" s="303" t="s">
        <v>337</v>
      </c>
      <c r="C29" s="322">
        <f>+C6+C15-C28</f>
        <v>82106</v>
      </c>
      <c r="D29" s="322">
        <f>+C29+D15-D28</f>
        <v>88814</v>
      </c>
      <c r="E29" s="322">
        <f aca="true" t="shared" si="3" ref="E29:N29">+D29+E15-E28</f>
        <v>100852</v>
      </c>
      <c r="F29" s="322">
        <f t="shared" si="3"/>
        <v>92707</v>
      </c>
      <c r="G29" s="322">
        <f t="shared" si="3"/>
        <v>91432</v>
      </c>
      <c r="H29" s="322">
        <f t="shared" si="3"/>
        <v>82956</v>
      </c>
      <c r="I29" s="322">
        <f t="shared" si="3"/>
        <v>81218</v>
      </c>
      <c r="J29" s="322">
        <f t="shared" si="3"/>
        <v>79480</v>
      </c>
      <c r="K29" s="322">
        <f t="shared" si="3"/>
        <v>92679</v>
      </c>
      <c r="L29" s="322">
        <f t="shared" si="3"/>
        <v>91958</v>
      </c>
      <c r="M29" s="322">
        <f t="shared" si="3"/>
        <v>113896</v>
      </c>
      <c r="N29" s="322">
        <f t="shared" si="3"/>
        <v>77957</v>
      </c>
      <c r="O29" s="323" t="s">
        <v>335</v>
      </c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</row>
    <row r="30" spans="1:15" ht="13.5" customHeight="1">
      <c r="A30" s="309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20"/>
    </row>
    <row r="31" spans="1:15" ht="13.5" customHeight="1">
      <c r="A31" s="309"/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20"/>
    </row>
    <row r="32" spans="1:15" ht="13.5" customHeight="1">
      <c r="A32" s="309"/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20"/>
    </row>
    <row r="33" spans="1:15" ht="13.5" customHeight="1">
      <c r="A33" s="309"/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20"/>
    </row>
    <row r="34" spans="1:15" ht="13.5" customHeight="1">
      <c r="A34" s="309"/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20"/>
    </row>
    <row r="35" spans="1:15" ht="13.5" customHeight="1">
      <c r="A35" s="309"/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20"/>
    </row>
    <row r="36" spans="1:15" ht="13.5" customHeight="1">
      <c r="A36" s="309"/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20"/>
    </row>
    <row r="37" spans="1:15" ht="13.5" customHeight="1">
      <c r="A37" s="309"/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20"/>
    </row>
    <row r="38" spans="1:15" ht="13.5" customHeight="1">
      <c r="A38" s="309"/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20"/>
    </row>
    <row r="39" spans="1:15" ht="13.5" customHeight="1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20"/>
    </row>
    <row r="40" spans="1:15" ht="13.5" customHeight="1">
      <c r="A40" s="309"/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20"/>
    </row>
    <row r="41" spans="1:15" ht="13.5" customHeight="1">
      <c r="A41" s="309"/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20"/>
    </row>
    <row r="42" spans="1:15" ht="13.5" customHeight="1">
      <c r="A42" s="309"/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20"/>
    </row>
    <row r="43" spans="1:15" ht="13.5" customHeight="1">
      <c r="A43" s="309"/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20"/>
    </row>
    <row r="44" spans="1:15" ht="13.5" customHeight="1">
      <c r="A44" s="309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20"/>
    </row>
    <row r="45" spans="1:15" ht="13.5" customHeight="1">
      <c r="A45" s="309"/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20"/>
    </row>
    <row r="46" spans="1:15" ht="13.5" customHeight="1">
      <c r="A46" s="309"/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20"/>
    </row>
    <row r="47" spans="1:15" ht="13.5" customHeight="1">
      <c r="A47" s="309"/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20"/>
    </row>
    <row r="48" spans="1:15" ht="13.5" customHeight="1">
      <c r="A48" s="309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20"/>
    </row>
    <row r="49" spans="1:15" ht="13.5" customHeight="1">
      <c r="A49" s="309"/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20"/>
    </row>
    <row r="50" spans="1:15" ht="13.5" customHeight="1">
      <c r="A50" s="309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20"/>
    </row>
    <row r="51" spans="1:15" ht="13.5" customHeight="1">
      <c r="A51" s="309"/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20"/>
    </row>
    <row r="52" spans="1:15" ht="13.5" customHeight="1">
      <c r="A52" s="309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20"/>
    </row>
    <row r="53" spans="1:15" ht="13.5" customHeight="1">
      <c r="A53" s="309"/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20"/>
    </row>
    <row r="54" spans="1:15" ht="13.5" customHeight="1">
      <c r="A54" s="309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20"/>
    </row>
    <row r="55" spans="1:15" ht="13.5" customHeight="1">
      <c r="A55" s="309"/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20"/>
    </row>
    <row r="56" spans="1:15" ht="13.5" customHeight="1">
      <c r="A56" s="309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20"/>
    </row>
    <row r="57" spans="1:15" ht="13.5" customHeight="1">
      <c r="A57" s="309"/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20"/>
    </row>
    <row r="58" spans="1:15" ht="13.5" customHeight="1">
      <c r="A58" s="309"/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20"/>
    </row>
    <row r="59" spans="1:15" ht="13.5" customHeight="1">
      <c r="A59" s="309"/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20"/>
    </row>
    <row r="60" spans="1:15" ht="13.5" customHeight="1">
      <c r="A60" s="309"/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20"/>
    </row>
    <row r="61" spans="1:15" ht="13.5" customHeight="1">
      <c r="A61" s="309"/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20"/>
    </row>
    <row r="62" spans="1:15" ht="13.5" customHeight="1">
      <c r="A62" s="309"/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20"/>
    </row>
    <row r="63" spans="1:15" ht="13.5" customHeight="1">
      <c r="A63" s="309"/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20"/>
    </row>
    <row r="64" spans="1:15" ht="13.5" customHeight="1">
      <c r="A64" s="309"/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20"/>
    </row>
    <row r="65" spans="1:15" ht="13.5" customHeight="1">
      <c r="A65" s="309"/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20"/>
    </row>
    <row r="66" spans="1:15" ht="13.5" customHeight="1">
      <c r="A66" s="309"/>
      <c r="B66" s="309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20"/>
    </row>
    <row r="67" spans="1:15" ht="13.5" customHeight="1">
      <c r="A67" s="309"/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20"/>
    </row>
    <row r="68" spans="1:15" ht="13.5" customHeight="1">
      <c r="A68" s="309"/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20"/>
    </row>
    <row r="69" spans="1:15" ht="13.5" customHeight="1">
      <c r="A69" s="309"/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20"/>
    </row>
    <row r="70" spans="1:15" ht="13.5" customHeight="1">
      <c r="A70" s="309"/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20"/>
    </row>
    <row r="71" spans="1:15" ht="13.5" customHeight="1">
      <c r="A71" s="309"/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20"/>
    </row>
    <row r="72" spans="1:15" ht="13.5" customHeight="1">
      <c r="A72" s="309"/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20"/>
    </row>
    <row r="73" spans="1:15" ht="13.5" customHeight="1">
      <c r="A73" s="309"/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20"/>
    </row>
    <row r="74" spans="1:15" ht="13.5" customHeight="1">
      <c r="A74" s="309"/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20"/>
    </row>
    <row r="75" spans="1:15" ht="13.5" customHeight="1">
      <c r="A75" s="309"/>
      <c r="B75" s="309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20"/>
    </row>
    <row r="76" spans="1:15" ht="13.5" customHeight="1">
      <c r="A76" s="309"/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20"/>
    </row>
    <row r="77" spans="1:15" ht="13.5" customHeight="1">
      <c r="A77" s="309"/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20"/>
    </row>
    <row r="78" spans="1:15" ht="13.5" customHeight="1">
      <c r="A78" s="309"/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20"/>
    </row>
    <row r="79" spans="1:15" ht="13.5" customHeight="1">
      <c r="A79" s="309"/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20"/>
    </row>
    <row r="80" spans="1:15" ht="13.5" customHeight="1">
      <c r="A80" s="309"/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20"/>
    </row>
    <row r="81" spans="1:15" ht="13.5" customHeight="1">
      <c r="A81" s="309"/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20"/>
    </row>
    <row r="82" spans="1:15" ht="13.5" customHeight="1">
      <c r="A82" s="309"/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20"/>
    </row>
    <row r="83" spans="1:15" ht="13.5" customHeight="1">
      <c r="A83" s="309"/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20"/>
    </row>
    <row r="84" spans="1:15" ht="13.5" customHeight="1">
      <c r="A84" s="309"/>
      <c r="B84" s="309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20"/>
    </row>
    <row r="85" spans="1:15" ht="13.5" customHeight="1">
      <c r="A85" s="309"/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20"/>
    </row>
    <row r="86" spans="1:15" ht="13.5" customHeight="1">
      <c r="A86" s="309"/>
      <c r="B86" s="309"/>
      <c r="C86" s="309"/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20"/>
    </row>
    <row r="87" spans="1:15" ht="13.5" customHeight="1">
      <c r="A87" s="309"/>
      <c r="B87" s="309"/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20"/>
    </row>
    <row r="88" spans="1:15" ht="13.5" customHeight="1">
      <c r="A88" s="309"/>
      <c r="B88" s="309"/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20"/>
    </row>
    <row r="89" spans="1:15" ht="13.5" customHeight="1">
      <c r="A89" s="309"/>
      <c r="B89" s="309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20"/>
    </row>
    <row r="90" spans="1:15" ht="13.5" customHeight="1">
      <c r="A90" s="309"/>
      <c r="B90" s="309"/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20"/>
    </row>
    <row r="91" spans="1:15" ht="13.5" customHeight="1">
      <c r="A91" s="309"/>
      <c r="B91" s="309"/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20"/>
    </row>
    <row r="92" spans="1:15" ht="13.5" customHeight="1">
      <c r="A92" s="309"/>
      <c r="B92" s="309"/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20"/>
    </row>
    <row r="93" spans="1:15" ht="13.5" customHeight="1">
      <c r="A93" s="309"/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20"/>
    </row>
    <row r="94" spans="1:15" ht="13.5" customHeight="1">
      <c r="A94" s="309"/>
      <c r="B94" s="309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20"/>
    </row>
    <row r="95" spans="1:15" ht="13.5" customHeight="1">
      <c r="A95" s="309"/>
      <c r="B95" s="309"/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20"/>
    </row>
    <row r="96" spans="1:15" ht="13.5" customHeight="1">
      <c r="A96" s="309"/>
      <c r="B96" s="309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20"/>
    </row>
    <row r="97" spans="1:15" ht="13.5" customHeight="1">
      <c r="A97" s="309"/>
      <c r="B97" s="309"/>
      <c r="C97" s="309"/>
      <c r="D97" s="309"/>
      <c r="E97" s="309"/>
      <c r="F97" s="309"/>
      <c r="G97" s="309"/>
      <c r="H97" s="309"/>
      <c r="I97" s="309"/>
      <c r="J97" s="309"/>
      <c r="K97" s="309"/>
      <c r="L97" s="309"/>
      <c r="M97" s="309"/>
      <c r="N97" s="309"/>
      <c r="O97" s="320"/>
    </row>
    <row r="98" spans="1:15" ht="13.5" customHeight="1">
      <c r="A98" s="309"/>
      <c r="B98" s="309"/>
      <c r="C98" s="309"/>
      <c r="D98" s="3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20"/>
    </row>
    <row r="99" spans="1:15" ht="13.5" customHeight="1">
      <c r="A99" s="309"/>
      <c r="B99" s="309"/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20"/>
    </row>
    <row r="100" spans="1:15" ht="13.5" customHeight="1">
      <c r="A100" s="309"/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20"/>
    </row>
    <row r="101" spans="1:15" ht="13.5" customHeight="1">
      <c r="A101" s="309"/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20"/>
    </row>
    <row r="102" spans="1:15" ht="13.5" customHeight="1">
      <c r="A102" s="309"/>
      <c r="B102" s="309"/>
      <c r="C102" s="309"/>
      <c r="D102" s="309"/>
      <c r="E102" s="309"/>
      <c r="F102" s="309"/>
      <c r="G102" s="309"/>
      <c r="H102" s="309"/>
      <c r="I102" s="309"/>
      <c r="J102" s="309"/>
      <c r="K102" s="309"/>
      <c r="L102" s="309"/>
      <c r="M102" s="309"/>
      <c r="N102" s="309"/>
      <c r="O102" s="320"/>
    </row>
    <row r="103" spans="1:15" ht="13.5" customHeight="1">
      <c r="A103" s="309"/>
      <c r="B103" s="309"/>
      <c r="C103" s="309"/>
      <c r="D103" s="309"/>
      <c r="E103" s="309"/>
      <c r="F103" s="309"/>
      <c r="G103" s="309"/>
      <c r="H103" s="309"/>
      <c r="I103" s="309"/>
      <c r="J103" s="309"/>
      <c r="K103" s="309"/>
      <c r="L103" s="309"/>
      <c r="M103" s="309"/>
      <c r="N103" s="309"/>
      <c r="O103" s="320"/>
    </row>
    <row r="104" spans="1:15" ht="13.5" customHeight="1">
      <c r="A104" s="309"/>
      <c r="B104" s="309"/>
      <c r="C104" s="309"/>
      <c r="D104" s="309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320"/>
    </row>
    <row r="105" spans="1:15" ht="13.5" customHeight="1">
      <c r="A105" s="309"/>
      <c r="B105" s="309"/>
      <c r="C105" s="309"/>
      <c r="D105" s="309"/>
      <c r="E105" s="309"/>
      <c r="F105" s="309"/>
      <c r="G105" s="309"/>
      <c r="H105" s="309"/>
      <c r="I105" s="309"/>
      <c r="J105" s="309"/>
      <c r="K105" s="309"/>
      <c r="L105" s="309"/>
      <c r="M105" s="309"/>
      <c r="N105" s="309"/>
      <c r="O105" s="320"/>
    </row>
    <row r="106" spans="1:15" ht="13.5" customHeight="1">
      <c r="A106" s="309"/>
      <c r="B106" s="309"/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20"/>
    </row>
    <row r="107" spans="1:15" ht="13.5" customHeight="1">
      <c r="A107" s="309"/>
      <c r="B107" s="309"/>
      <c r="C107" s="309"/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20"/>
    </row>
    <row r="108" spans="1:15" ht="13.5" customHeight="1">
      <c r="A108" s="309"/>
      <c r="B108" s="309"/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20"/>
    </row>
    <row r="109" spans="1:15" ht="13.5" customHeight="1">
      <c r="A109" s="309"/>
      <c r="B109" s="309"/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20"/>
    </row>
    <row r="110" spans="1:15" ht="13.5" customHeight="1">
      <c r="A110" s="309"/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20"/>
    </row>
    <row r="111" spans="1:15" ht="13.5" customHeight="1">
      <c r="A111" s="309"/>
      <c r="B111" s="309"/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20"/>
    </row>
    <row r="112" spans="1:15" ht="13.5" customHeight="1">
      <c r="A112" s="309"/>
      <c r="B112" s="309"/>
      <c r="C112" s="309"/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20"/>
    </row>
    <row r="113" spans="1:15" ht="13.5" customHeight="1">
      <c r="A113" s="309"/>
      <c r="B113" s="309"/>
      <c r="C113" s="309"/>
      <c r="D113" s="309"/>
      <c r="E113" s="309"/>
      <c r="F113" s="309"/>
      <c r="G113" s="309"/>
      <c r="H113" s="309"/>
      <c r="I113" s="309"/>
      <c r="J113" s="309"/>
      <c r="K113" s="309"/>
      <c r="L113" s="309"/>
      <c r="M113" s="309"/>
      <c r="N113" s="309"/>
      <c r="O113" s="320"/>
    </row>
    <row r="114" spans="1:15" ht="13.5" customHeight="1">
      <c r="A114" s="309"/>
      <c r="B114" s="309"/>
      <c r="C114" s="309"/>
      <c r="D114" s="309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  <c r="O114" s="320"/>
    </row>
    <row r="115" spans="1:15" ht="13.5" customHeight="1">
      <c r="A115" s="309"/>
      <c r="B115" s="309"/>
      <c r="C115" s="309"/>
      <c r="D115" s="309"/>
      <c r="E115" s="309"/>
      <c r="F115" s="309"/>
      <c r="G115" s="309"/>
      <c r="H115" s="309"/>
      <c r="I115" s="309"/>
      <c r="J115" s="309"/>
      <c r="K115" s="309"/>
      <c r="L115" s="309"/>
      <c r="M115" s="309"/>
      <c r="N115" s="309"/>
      <c r="O115" s="320"/>
    </row>
    <row r="116" spans="1:15" ht="13.5" customHeight="1">
      <c r="A116" s="309"/>
      <c r="B116" s="309"/>
      <c r="C116" s="309"/>
      <c r="D116" s="309"/>
      <c r="E116" s="309"/>
      <c r="F116" s="309"/>
      <c r="G116" s="309"/>
      <c r="H116" s="309"/>
      <c r="I116" s="309"/>
      <c r="J116" s="309"/>
      <c r="K116" s="309"/>
      <c r="L116" s="309"/>
      <c r="M116" s="309"/>
      <c r="N116" s="309"/>
      <c r="O116" s="320"/>
    </row>
    <row r="117" spans="1:15" ht="13.5" customHeight="1">
      <c r="A117" s="309"/>
      <c r="B117" s="309"/>
      <c r="C117" s="309"/>
      <c r="D117" s="309"/>
      <c r="E117" s="309"/>
      <c r="F117" s="309"/>
      <c r="G117" s="309"/>
      <c r="H117" s="309"/>
      <c r="I117" s="309"/>
      <c r="J117" s="309"/>
      <c r="K117" s="309"/>
      <c r="L117" s="309"/>
      <c r="M117" s="309"/>
      <c r="N117" s="309"/>
      <c r="O117" s="320"/>
    </row>
    <row r="118" spans="1:15" ht="13.5" customHeight="1">
      <c r="A118" s="309"/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20"/>
    </row>
    <row r="119" spans="1:15" ht="13.5" customHeight="1">
      <c r="A119" s="309"/>
      <c r="B119" s="309"/>
      <c r="C119" s="309"/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20"/>
    </row>
    <row r="120" spans="1:15" ht="13.5" customHeight="1">
      <c r="A120" s="309"/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20"/>
    </row>
    <row r="121" spans="1:15" ht="13.5" customHeight="1">
      <c r="A121" s="309"/>
      <c r="B121" s="309"/>
      <c r="C121" s="309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320"/>
    </row>
    <row r="122" spans="1:15" ht="13.5" customHeight="1">
      <c r="A122" s="309"/>
      <c r="B122" s="309"/>
      <c r="C122" s="309"/>
      <c r="D122" s="309"/>
      <c r="E122" s="309"/>
      <c r="F122" s="309"/>
      <c r="G122" s="309"/>
      <c r="H122" s="309"/>
      <c r="I122" s="309"/>
      <c r="J122" s="309"/>
      <c r="K122" s="309"/>
      <c r="L122" s="309"/>
      <c r="M122" s="309"/>
      <c r="N122" s="309"/>
      <c r="O122" s="320"/>
    </row>
    <row r="123" spans="1:15" ht="13.5" customHeight="1">
      <c r="A123" s="309"/>
      <c r="B123" s="309"/>
      <c r="C123" s="309"/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  <c r="N123" s="309"/>
      <c r="O123" s="320"/>
    </row>
    <row r="124" spans="1:15" ht="13.5" customHeight="1">
      <c r="A124" s="309"/>
      <c r="B124" s="309"/>
      <c r="C124" s="309"/>
      <c r="D124" s="309"/>
      <c r="E124" s="309"/>
      <c r="F124" s="309"/>
      <c r="G124" s="309"/>
      <c r="H124" s="309"/>
      <c r="I124" s="309"/>
      <c r="J124" s="309"/>
      <c r="K124" s="309"/>
      <c r="L124" s="309"/>
      <c r="M124" s="309"/>
      <c r="N124" s="309"/>
      <c r="O124" s="320"/>
    </row>
    <row r="125" spans="1:15" ht="13.5" customHeight="1">
      <c r="A125" s="309"/>
      <c r="B125" s="309"/>
      <c r="C125" s="309"/>
      <c r="D125" s="309"/>
      <c r="E125" s="309"/>
      <c r="F125" s="309"/>
      <c r="G125" s="309"/>
      <c r="H125" s="309"/>
      <c r="I125" s="309"/>
      <c r="J125" s="309"/>
      <c r="K125" s="309"/>
      <c r="L125" s="309"/>
      <c r="M125" s="309"/>
      <c r="N125" s="309"/>
      <c r="O125" s="320"/>
    </row>
    <row r="126" spans="1:15" ht="13.5" customHeight="1">
      <c r="A126" s="309"/>
      <c r="B126" s="309"/>
      <c r="C126" s="309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20"/>
    </row>
    <row r="127" spans="1:15" ht="13.5" customHeight="1">
      <c r="A127" s="309"/>
      <c r="B127" s="309"/>
      <c r="C127" s="309"/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  <c r="O127" s="320"/>
    </row>
    <row r="128" spans="1:15" ht="13.5" customHeight="1">
      <c r="A128" s="309"/>
      <c r="B128" s="309"/>
      <c r="C128" s="309"/>
      <c r="D128" s="309"/>
      <c r="E128" s="309"/>
      <c r="F128" s="309"/>
      <c r="G128" s="309"/>
      <c r="H128" s="309"/>
      <c r="I128" s="309"/>
      <c r="J128" s="309"/>
      <c r="K128" s="309"/>
      <c r="L128" s="309"/>
      <c r="M128" s="309"/>
      <c r="N128" s="309"/>
      <c r="O128" s="320"/>
    </row>
    <row r="129" spans="1:15" ht="13.5" customHeight="1">
      <c r="A129" s="309"/>
      <c r="B129" s="309"/>
      <c r="C129" s="309"/>
      <c r="D129" s="309"/>
      <c r="E129" s="309"/>
      <c r="F129" s="309"/>
      <c r="G129" s="309"/>
      <c r="H129" s="309"/>
      <c r="I129" s="309"/>
      <c r="J129" s="309"/>
      <c r="K129" s="309"/>
      <c r="L129" s="309"/>
      <c r="M129" s="309"/>
      <c r="N129" s="309"/>
      <c r="O129" s="320"/>
    </row>
    <row r="130" spans="1:15" ht="13.5" customHeight="1">
      <c r="A130" s="309"/>
      <c r="B130" s="309"/>
      <c r="C130" s="309"/>
      <c r="D130" s="309"/>
      <c r="E130" s="309"/>
      <c r="F130" s="309"/>
      <c r="G130" s="309"/>
      <c r="H130" s="309"/>
      <c r="I130" s="309"/>
      <c r="J130" s="309"/>
      <c r="K130" s="309"/>
      <c r="L130" s="309"/>
      <c r="M130" s="309"/>
      <c r="N130" s="309"/>
      <c r="O130" s="320"/>
    </row>
    <row r="131" spans="1:15" ht="13.5" customHeight="1">
      <c r="A131" s="309"/>
      <c r="B131" s="309"/>
      <c r="C131" s="309"/>
      <c r="D131" s="309"/>
      <c r="E131" s="309"/>
      <c r="F131" s="309"/>
      <c r="G131" s="309"/>
      <c r="H131" s="309"/>
      <c r="I131" s="309"/>
      <c r="J131" s="309"/>
      <c r="K131" s="309"/>
      <c r="L131" s="309"/>
      <c r="M131" s="309"/>
      <c r="N131" s="309"/>
      <c r="O131" s="320"/>
    </row>
    <row r="132" spans="1:15" ht="13.5" customHeight="1">
      <c r="A132" s="309"/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  <c r="O132" s="320"/>
    </row>
    <row r="133" spans="1:15" ht="13.5" customHeight="1">
      <c r="A133" s="309"/>
      <c r="B133" s="309"/>
      <c r="C133" s="309"/>
      <c r="D133" s="309"/>
      <c r="E133" s="309"/>
      <c r="F133" s="309"/>
      <c r="G133" s="309"/>
      <c r="H133" s="309"/>
      <c r="I133" s="309"/>
      <c r="J133" s="309"/>
      <c r="K133" s="309"/>
      <c r="L133" s="309"/>
      <c r="M133" s="309"/>
      <c r="N133" s="309"/>
      <c r="O133" s="320"/>
    </row>
    <row r="134" spans="1:15" ht="13.5" customHeight="1">
      <c r="A134" s="309"/>
      <c r="B134" s="309"/>
      <c r="C134" s="309"/>
      <c r="D134" s="309"/>
      <c r="E134" s="309"/>
      <c r="F134" s="309"/>
      <c r="G134" s="309"/>
      <c r="H134" s="309"/>
      <c r="I134" s="309"/>
      <c r="J134" s="309"/>
      <c r="K134" s="309"/>
      <c r="L134" s="309"/>
      <c r="M134" s="309"/>
      <c r="N134" s="309"/>
      <c r="O134" s="320"/>
    </row>
    <row r="135" spans="1:15" ht="13.5" customHeight="1">
      <c r="A135" s="309"/>
      <c r="B135" s="309"/>
      <c r="C135" s="309"/>
      <c r="D135" s="309"/>
      <c r="E135" s="309"/>
      <c r="F135" s="309"/>
      <c r="G135" s="309"/>
      <c r="H135" s="309"/>
      <c r="I135" s="309"/>
      <c r="J135" s="309"/>
      <c r="K135" s="309"/>
      <c r="L135" s="309"/>
      <c r="M135" s="309"/>
      <c r="N135" s="309"/>
      <c r="O135" s="320"/>
    </row>
    <row r="136" spans="1:15" ht="13.5" customHeight="1">
      <c r="A136" s="309"/>
      <c r="B136" s="309"/>
      <c r="C136" s="309"/>
      <c r="D136" s="309"/>
      <c r="E136" s="309"/>
      <c r="F136" s="309"/>
      <c r="G136" s="309"/>
      <c r="H136" s="309"/>
      <c r="I136" s="309"/>
      <c r="J136" s="309"/>
      <c r="K136" s="309"/>
      <c r="L136" s="309"/>
      <c r="M136" s="309"/>
      <c r="N136" s="309"/>
      <c r="O136" s="320"/>
    </row>
    <row r="137" spans="1:15" ht="13.5" customHeight="1">
      <c r="A137" s="309"/>
      <c r="B137" s="309"/>
      <c r="C137" s="309"/>
      <c r="D137" s="309"/>
      <c r="E137" s="309"/>
      <c r="F137" s="309"/>
      <c r="G137" s="309"/>
      <c r="H137" s="309"/>
      <c r="I137" s="309"/>
      <c r="J137" s="309"/>
      <c r="K137" s="309"/>
      <c r="L137" s="309"/>
      <c r="M137" s="309"/>
      <c r="N137" s="309"/>
      <c r="O137" s="320"/>
    </row>
    <row r="138" spans="1:15" ht="13.5" customHeight="1">
      <c r="A138" s="309"/>
      <c r="B138" s="309"/>
      <c r="C138" s="309"/>
      <c r="D138" s="309"/>
      <c r="E138" s="309"/>
      <c r="F138" s="309"/>
      <c r="G138" s="309"/>
      <c r="H138" s="309"/>
      <c r="I138" s="309"/>
      <c r="J138" s="309"/>
      <c r="K138" s="309"/>
      <c r="L138" s="309"/>
      <c r="M138" s="309"/>
      <c r="N138" s="309"/>
      <c r="O138" s="320"/>
    </row>
    <row r="139" spans="1:15" ht="13.5" customHeight="1">
      <c r="A139" s="309"/>
      <c r="B139" s="309"/>
      <c r="C139" s="309"/>
      <c r="D139" s="309"/>
      <c r="E139" s="309"/>
      <c r="F139" s="309"/>
      <c r="G139" s="309"/>
      <c r="H139" s="309"/>
      <c r="I139" s="309"/>
      <c r="J139" s="309"/>
      <c r="K139" s="309"/>
      <c r="L139" s="309"/>
      <c r="M139" s="309"/>
      <c r="N139" s="309"/>
      <c r="O139" s="320"/>
    </row>
    <row r="140" spans="1:15" ht="13.5" customHeight="1">
      <c r="A140" s="309"/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20"/>
    </row>
    <row r="141" spans="1:15" ht="13.5" customHeight="1">
      <c r="A141" s="309"/>
      <c r="B141" s="309"/>
      <c r="C141" s="309"/>
      <c r="D141" s="309"/>
      <c r="E141" s="309"/>
      <c r="F141" s="309"/>
      <c r="G141" s="309"/>
      <c r="H141" s="309"/>
      <c r="I141" s="309"/>
      <c r="J141" s="309"/>
      <c r="K141" s="309"/>
      <c r="L141" s="309"/>
      <c r="M141" s="309"/>
      <c r="N141" s="309"/>
      <c r="O141" s="320"/>
    </row>
    <row r="142" spans="1:15" ht="13.5" customHeight="1">
      <c r="A142" s="309"/>
      <c r="B142" s="309"/>
      <c r="C142" s="309"/>
      <c r="D142" s="309"/>
      <c r="E142" s="309"/>
      <c r="F142" s="309"/>
      <c r="G142" s="309"/>
      <c r="H142" s="309"/>
      <c r="I142" s="309"/>
      <c r="J142" s="309"/>
      <c r="K142" s="309"/>
      <c r="L142" s="309"/>
      <c r="M142" s="309"/>
      <c r="N142" s="309"/>
      <c r="O142" s="320"/>
    </row>
    <row r="143" spans="1:15" ht="13.5" customHeight="1">
      <c r="A143" s="309"/>
      <c r="B143" s="309"/>
      <c r="C143" s="309"/>
      <c r="D143" s="309"/>
      <c r="E143" s="309"/>
      <c r="F143" s="309"/>
      <c r="G143" s="309"/>
      <c r="H143" s="309"/>
      <c r="I143" s="309"/>
      <c r="J143" s="309"/>
      <c r="K143" s="309"/>
      <c r="L143" s="309"/>
      <c r="M143" s="309"/>
      <c r="N143" s="309"/>
      <c r="O143" s="320"/>
    </row>
    <row r="144" spans="1:15" ht="13.5" customHeight="1">
      <c r="A144" s="309"/>
      <c r="B144" s="309"/>
      <c r="C144" s="309"/>
      <c r="D144" s="309"/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20"/>
    </row>
    <row r="145" spans="1:15" ht="13.5" customHeight="1">
      <c r="A145" s="309"/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  <c r="L145" s="309"/>
      <c r="M145" s="309"/>
      <c r="N145" s="309"/>
      <c r="O145" s="320"/>
    </row>
    <row r="146" spans="1:15" ht="13.5" customHeight="1">
      <c r="A146" s="309"/>
      <c r="B146" s="309"/>
      <c r="C146" s="309"/>
      <c r="D146" s="309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20"/>
    </row>
    <row r="147" spans="1:15" ht="13.5" customHeight="1">
      <c r="A147" s="309"/>
      <c r="B147" s="309"/>
      <c r="C147" s="309"/>
      <c r="D147" s="309"/>
      <c r="E147" s="309"/>
      <c r="F147" s="309"/>
      <c r="G147" s="309"/>
      <c r="H147" s="309"/>
      <c r="I147" s="309"/>
      <c r="J147" s="309"/>
      <c r="K147" s="309"/>
      <c r="L147" s="309"/>
      <c r="M147" s="309"/>
      <c r="N147" s="309"/>
      <c r="O147" s="320"/>
    </row>
    <row r="148" spans="1:15" ht="13.5" customHeight="1">
      <c r="A148" s="309"/>
      <c r="B148" s="309"/>
      <c r="C148" s="309"/>
      <c r="D148" s="309"/>
      <c r="E148" s="309"/>
      <c r="F148" s="309"/>
      <c r="G148" s="309"/>
      <c r="H148" s="309"/>
      <c r="I148" s="309"/>
      <c r="J148" s="309"/>
      <c r="K148" s="309"/>
      <c r="L148" s="309"/>
      <c r="M148" s="309"/>
      <c r="N148" s="309"/>
      <c r="O148" s="320"/>
    </row>
    <row r="149" spans="1:15" ht="13.5" customHeight="1">
      <c r="A149" s="309"/>
      <c r="B149" s="309"/>
      <c r="C149" s="309"/>
      <c r="D149" s="309"/>
      <c r="E149" s="309"/>
      <c r="F149" s="309"/>
      <c r="G149" s="309"/>
      <c r="H149" s="309"/>
      <c r="I149" s="309"/>
      <c r="J149" s="309"/>
      <c r="K149" s="309"/>
      <c r="L149" s="309"/>
      <c r="M149" s="309"/>
      <c r="N149" s="309"/>
      <c r="O149" s="320"/>
    </row>
    <row r="150" spans="1:15" ht="13.5" customHeight="1">
      <c r="A150" s="309"/>
      <c r="B150" s="309"/>
      <c r="C150" s="309"/>
      <c r="D150" s="309"/>
      <c r="E150" s="309"/>
      <c r="F150" s="309"/>
      <c r="G150" s="309"/>
      <c r="H150" s="309"/>
      <c r="I150" s="309"/>
      <c r="J150" s="309"/>
      <c r="K150" s="309"/>
      <c r="L150" s="309"/>
      <c r="M150" s="309"/>
      <c r="N150" s="309"/>
      <c r="O150" s="320"/>
    </row>
    <row r="151" spans="1:15" ht="13.5" customHeight="1">
      <c r="A151" s="309"/>
      <c r="B151" s="309"/>
      <c r="C151" s="309"/>
      <c r="D151" s="309"/>
      <c r="E151" s="309"/>
      <c r="F151" s="309"/>
      <c r="G151" s="309"/>
      <c r="H151" s="309"/>
      <c r="I151" s="309"/>
      <c r="J151" s="309"/>
      <c r="K151" s="309"/>
      <c r="L151" s="309"/>
      <c r="M151" s="309"/>
      <c r="N151" s="309"/>
      <c r="O151" s="320"/>
    </row>
    <row r="152" spans="1:15" ht="13.5" customHeight="1">
      <c r="A152" s="309"/>
      <c r="B152" s="309"/>
      <c r="C152" s="309"/>
      <c r="D152" s="309"/>
      <c r="E152" s="309"/>
      <c r="F152" s="309"/>
      <c r="G152" s="309"/>
      <c r="H152" s="309"/>
      <c r="I152" s="309"/>
      <c r="J152" s="309"/>
      <c r="K152" s="309"/>
      <c r="L152" s="309"/>
      <c r="M152" s="309"/>
      <c r="N152" s="309"/>
      <c r="O152" s="320"/>
    </row>
    <row r="153" spans="1:15" ht="13.5" customHeight="1">
      <c r="A153" s="309"/>
      <c r="B153" s="309"/>
      <c r="C153" s="309"/>
      <c r="D153" s="309"/>
      <c r="E153" s="309"/>
      <c r="F153" s="309"/>
      <c r="G153" s="309"/>
      <c r="H153" s="309"/>
      <c r="I153" s="309"/>
      <c r="J153" s="309"/>
      <c r="K153" s="309"/>
      <c r="L153" s="309"/>
      <c r="M153" s="309"/>
      <c r="N153" s="309"/>
      <c r="O153" s="320"/>
    </row>
    <row r="154" spans="1:15" ht="13.5" customHeight="1">
      <c r="A154" s="309"/>
      <c r="B154" s="309"/>
      <c r="C154" s="309"/>
      <c r="D154" s="309"/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20"/>
    </row>
    <row r="155" spans="1:15" ht="13.5" customHeight="1">
      <c r="A155" s="309"/>
      <c r="B155" s="309"/>
      <c r="C155" s="309"/>
      <c r="D155" s="309"/>
      <c r="E155" s="309"/>
      <c r="F155" s="309"/>
      <c r="G155" s="309"/>
      <c r="H155" s="309"/>
      <c r="I155" s="309"/>
      <c r="J155" s="309"/>
      <c r="K155" s="309"/>
      <c r="L155" s="309"/>
      <c r="M155" s="309"/>
      <c r="N155" s="309"/>
      <c r="O155" s="320"/>
    </row>
    <row r="156" spans="1:15" ht="13.5" customHeight="1">
      <c r="A156" s="309"/>
      <c r="B156" s="309"/>
      <c r="C156" s="309"/>
      <c r="D156" s="309"/>
      <c r="E156" s="309"/>
      <c r="F156" s="309"/>
      <c r="G156" s="309"/>
      <c r="H156" s="309"/>
      <c r="I156" s="309"/>
      <c r="J156" s="309"/>
      <c r="K156" s="309"/>
      <c r="L156" s="309"/>
      <c r="M156" s="309"/>
      <c r="N156" s="309"/>
      <c r="O156" s="320"/>
    </row>
    <row r="157" spans="1:15" ht="13.5" customHeight="1">
      <c r="A157" s="309"/>
      <c r="B157" s="309"/>
      <c r="C157" s="309"/>
      <c r="D157" s="309"/>
      <c r="E157" s="309"/>
      <c r="F157" s="309"/>
      <c r="G157" s="309"/>
      <c r="H157" s="309"/>
      <c r="I157" s="309"/>
      <c r="J157" s="309"/>
      <c r="K157" s="309"/>
      <c r="L157" s="309"/>
      <c r="M157" s="309"/>
      <c r="N157" s="309"/>
      <c r="O157" s="320"/>
    </row>
    <row r="158" spans="1:15" ht="13.5" customHeight="1">
      <c r="A158" s="309"/>
      <c r="B158" s="309"/>
      <c r="C158" s="309"/>
      <c r="D158" s="309"/>
      <c r="E158" s="309"/>
      <c r="F158" s="309"/>
      <c r="G158" s="309"/>
      <c r="H158" s="309"/>
      <c r="I158" s="309"/>
      <c r="J158" s="309"/>
      <c r="K158" s="309"/>
      <c r="L158" s="309"/>
      <c r="M158" s="309"/>
      <c r="N158" s="309"/>
      <c r="O158" s="320"/>
    </row>
    <row r="159" spans="1:15" ht="13.5" customHeight="1">
      <c r="A159" s="309"/>
      <c r="B159" s="309"/>
      <c r="C159" s="309"/>
      <c r="D159" s="309"/>
      <c r="E159" s="309"/>
      <c r="F159" s="309"/>
      <c r="G159" s="309"/>
      <c r="H159" s="309"/>
      <c r="I159" s="309"/>
      <c r="J159" s="309"/>
      <c r="K159" s="309"/>
      <c r="L159" s="309"/>
      <c r="M159" s="309"/>
      <c r="N159" s="309"/>
      <c r="O159" s="320"/>
    </row>
    <row r="160" spans="1:15" ht="13.5" customHeight="1">
      <c r="A160" s="309"/>
      <c r="B160" s="309"/>
      <c r="C160" s="309"/>
      <c r="D160" s="309"/>
      <c r="E160" s="309"/>
      <c r="F160" s="309"/>
      <c r="G160" s="309"/>
      <c r="H160" s="309"/>
      <c r="I160" s="309"/>
      <c r="J160" s="309"/>
      <c r="K160" s="309"/>
      <c r="L160" s="309"/>
      <c r="M160" s="309"/>
      <c r="N160" s="309"/>
      <c r="O160" s="320"/>
    </row>
    <row r="161" spans="1:15" ht="13.5" customHeight="1">
      <c r="A161" s="309"/>
      <c r="B161" s="309"/>
      <c r="C161" s="309"/>
      <c r="D161" s="309"/>
      <c r="E161" s="309"/>
      <c r="F161" s="309"/>
      <c r="G161" s="309"/>
      <c r="H161" s="309"/>
      <c r="I161" s="309"/>
      <c r="J161" s="309"/>
      <c r="K161" s="309"/>
      <c r="L161" s="309"/>
      <c r="M161" s="309"/>
      <c r="N161" s="309"/>
      <c r="O161" s="320"/>
    </row>
    <row r="162" spans="1:15" ht="13.5" customHeight="1">
      <c r="A162" s="309"/>
      <c r="B162" s="309"/>
      <c r="C162" s="309"/>
      <c r="D162" s="309"/>
      <c r="E162" s="309"/>
      <c r="F162" s="309"/>
      <c r="G162" s="309"/>
      <c r="H162" s="309"/>
      <c r="I162" s="309"/>
      <c r="J162" s="309"/>
      <c r="K162" s="309"/>
      <c r="L162" s="309"/>
      <c r="M162" s="309"/>
      <c r="N162" s="309"/>
      <c r="O162" s="320"/>
    </row>
    <row r="163" spans="1:15" ht="13.5" customHeight="1">
      <c r="A163" s="309"/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  <c r="L163" s="309"/>
      <c r="M163" s="309"/>
      <c r="N163" s="309"/>
      <c r="O163" s="320"/>
    </row>
    <row r="164" spans="1:15" ht="13.5" customHeight="1">
      <c r="A164" s="309"/>
      <c r="B164" s="309"/>
      <c r="C164" s="309"/>
      <c r="D164" s="309"/>
      <c r="E164" s="309"/>
      <c r="F164" s="309"/>
      <c r="G164" s="309"/>
      <c r="H164" s="309"/>
      <c r="I164" s="309"/>
      <c r="J164" s="309"/>
      <c r="K164" s="309"/>
      <c r="L164" s="309"/>
      <c r="M164" s="309"/>
      <c r="N164" s="309"/>
      <c r="O164" s="320"/>
    </row>
    <row r="165" spans="1:15" ht="13.5" customHeight="1">
      <c r="A165" s="309"/>
      <c r="B165" s="309"/>
      <c r="C165" s="309"/>
      <c r="D165" s="309"/>
      <c r="E165" s="309"/>
      <c r="F165" s="309"/>
      <c r="G165" s="309"/>
      <c r="H165" s="309"/>
      <c r="I165" s="309"/>
      <c r="J165" s="309"/>
      <c r="K165" s="309"/>
      <c r="L165" s="309"/>
      <c r="M165" s="309"/>
      <c r="N165" s="309"/>
      <c r="O165" s="320"/>
    </row>
    <row r="166" spans="1:15" ht="13.5" customHeight="1">
      <c r="A166" s="309"/>
      <c r="B166" s="309"/>
      <c r="C166" s="309"/>
      <c r="D166" s="309"/>
      <c r="E166" s="309"/>
      <c r="F166" s="309"/>
      <c r="G166" s="309"/>
      <c r="H166" s="309"/>
      <c r="I166" s="309"/>
      <c r="J166" s="309"/>
      <c r="K166" s="309"/>
      <c r="L166" s="309"/>
      <c r="M166" s="309"/>
      <c r="N166" s="309"/>
      <c r="O166" s="320"/>
    </row>
    <row r="167" spans="1:15" ht="13.5" customHeight="1">
      <c r="A167" s="309"/>
      <c r="B167" s="309"/>
      <c r="C167" s="309"/>
      <c r="D167" s="309"/>
      <c r="E167" s="309"/>
      <c r="F167" s="309"/>
      <c r="G167" s="309"/>
      <c r="H167" s="309"/>
      <c r="I167" s="309"/>
      <c r="J167" s="309"/>
      <c r="K167" s="309"/>
      <c r="L167" s="309"/>
      <c r="M167" s="309"/>
      <c r="N167" s="309"/>
      <c r="O167" s="320"/>
    </row>
    <row r="168" spans="1:15" ht="13.5" customHeight="1">
      <c r="A168" s="309"/>
      <c r="B168" s="309"/>
      <c r="C168" s="309"/>
      <c r="D168" s="309"/>
      <c r="E168" s="309"/>
      <c r="F168" s="309"/>
      <c r="G168" s="309"/>
      <c r="H168" s="309"/>
      <c r="I168" s="309"/>
      <c r="J168" s="309"/>
      <c r="K168" s="309"/>
      <c r="L168" s="309"/>
      <c r="M168" s="309"/>
      <c r="N168" s="309"/>
      <c r="O168" s="320"/>
    </row>
    <row r="169" spans="1:15" ht="13.5" customHeight="1">
      <c r="A169" s="309"/>
      <c r="B169" s="309"/>
      <c r="C169" s="309"/>
      <c r="D169" s="309"/>
      <c r="E169" s="309"/>
      <c r="F169" s="309"/>
      <c r="G169" s="309"/>
      <c r="H169" s="309"/>
      <c r="I169" s="309"/>
      <c r="J169" s="309"/>
      <c r="K169" s="309"/>
      <c r="L169" s="309"/>
      <c r="M169" s="309"/>
      <c r="N169" s="309"/>
      <c r="O169" s="320"/>
    </row>
    <row r="170" spans="1:15" ht="13.5" customHeight="1">
      <c r="A170" s="309"/>
      <c r="B170" s="309"/>
      <c r="C170" s="309"/>
      <c r="D170" s="309"/>
      <c r="E170" s="309"/>
      <c r="F170" s="309"/>
      <c r="G170" s="309"/>
      <c r="H170" s="309"/>
      <c r="I170" s="309"/>
      <c r="J170" s="309"/>
      <c r="K170" s="309"/>
      <c r="L170" s="309"/>
      <c r="M170" s="309"/>
      <c r="N170" s="309"/>
      <c r="O170" s="320"/>
    </row>
    <row r="171" spans="1:15" ht="13.5" customHeight="1">
      <c r="A171" s="309"/>
      <c r="B171" s="309"/>
      <c r="C171" s="309"/>
      <c r="D171" s="309"/>
      <c r="E171" s="309"/>
      <c r="F171" s="309"/>
      <c r="G171" s="309"/>
      <c r="H171" s="309"/>
      <c r="I171" s="309"/>
      <c r="J171" s="309"/>
      <c r="K171" s="309"/>
      <c r="L171" s="309"/>
      <c r="M171" s="309"/>
      <c r="N171" s="309"/>
      <c r="O171" s="320"/>
    </row>
    <row r="172" spans="1:15" ht="13.5" customHeight="1">
      <c r="A172" s="309"/>
      <c r="B172" s="309"/>
      <c r="C172" s="309"/>
      <c r="D172" s="309"/>
      <c r="E172" s="309"/>
      <c r="F172" s="309"/>
      <c r="G172" s="309"/>
      <c r="H172" s="309"/>
      <c r="I172" s="309"/>
      <c r="J172" s="309"/>
      <c r="K172" s="309"/>
      <c r="L172" s="309"/>
      <c r="M172" s="309"/>
      <c r="N172" s="309"/>
      <c r="O172" s="320"/>
    </row>
    <row r="173" spans="1:15" ht="13.5" customHeight="1">
      <c r="A173" s="309"/>
      <c r="B173" s="309"/>
      <c r="C173" s="309"/>
      <c r="D173" s="309"/>
      <c r="E173" s="309"/>
      <c r="F173" s="309"/>
      <c r="G173" s="309"/>
      <c r="H173" s="309"/>
      <c r="I173" s="309"/>
      <c r="J173" s="309"/>
      <c r="K173" s="309"/>
      <c r="L173" s="309"/>
      <c r="M173" s="309"/>
      <c r="N173" s="309"/>
      <c r="O173" s="320"/>
    </row>
    <row r="174" spans="1:15" ht="13.5" customHeight="1">
      <c r="A174" s="309"/>
      <c r="B174" s="309"/>
      <c r="C174" s="309"/>
      <c r="D174" s="309"/>
      <c r="E174" s="309"/>
      <c r="F174" s="309"/>
      <c r="G174" s="309"/>
      <c r="H174" s="309"/>
      <c r="I174" s="309"/>
      <c r="J174" s="309"/>
      <c r="K174" s="309"/>
      <c r="L174" s="309"/>
      <c r="M174" s="309"/>
      <c r="N174" s="309"/>
      <c r="O174" s="320"/>
    </row>
    <row r="175" spans="1:15" ht="13.5" customHeight="1">
      <c r="A175" s="309"/>
      <c r="B175" s="309"/>
      <c r="C175" s="309"/>
      <c r="D175" s="309"/>
      <c r="E175" s="309"/>
      <c r="F175" s="309"/>
      <c r="G175" s="309"/>
      <c r="H175" s="309"/>
      <c r="I175" s="309"/>
      <c r="J175" s="309"/>
      <c r="K175" s="309"/>
      <c r="L175" s="309"/>
      <c r="M175" s="309"/>
      <c r="N175" s="309"/>
      <c r="O175" s="320"/>
    </row>
    <row r="176" spans="1:15" ht="13.5" customHeight="1">
      <c r="A176" s="309"/>
      <c r="B176" s="309"/>
      <c r="C176" s="309"/>
      <c r="D176" s="309"/>
      <c r="E176" s="309"/>
      <c r="F176" s="309"/>
      <c r="G176" s="309"/>
      <c r="H176" s="309"/>
      <c r="I176" s="309"/>
      <c r="J176" s="309"/>
      <c r="K176" s="309"/>
      <c r="L176" s="309"/>
      <c r="M176" s="309"/>
      <c r="N176" s="309"/>
      <c r="O176" s="320"/>
    </row>
    <row r="177" spans="1:15" ht="13.5" customHeight="1">
      <c r="A177" s="309"/>
      <c r="B177" s="309"/>
      <c r="C177" s="309"/>
      <c r="D177" s="309"/>
      <c r="E177" s="309"/>
      <c r="F177" s="309"/>
      <c r="G177" s="309"/>
      <c r="H177" s="309"/>
      <c r="I177" s="309"/>
      <c r="J177" s="309"/>
      <c r="K177" s="309"/>
      <c r="L177" s="309"/>
      <c r="M177" s="309"/>
      <c r="N177" s="309"/>
      <c r="O177" s="320"/>
    </row>
    <row r="178" spans="1:15" ht="13.5" customHeight="1">
      <c r="A178" s="309"/>
      <c r="B178" s="309"/>
      <c r="C178" s="309"/>
      <c r="D178" s="309"/>
      <c r="E178" s="309"/>
      <c r="F178" s="309"/>
      <c r="G178" s="309"/>
      <c r="H178" s="309"/>
      <c r="I178" s="309"/>
      <c r="J178" s="309"/>
      <c r="K178" s="309"/>
      <c r="L178" s="309"/>
      <c r="M178" s="309"/>
      <c r="N178" s="309"/>
      <c r="O178" s="320"/>
    </row>
    <row r="179" spans="1:15" ht="13.5" customHeight="1">
      <c r="A179" s="309"/>
      <c r="B179" s="309"/>
      <c r="C179" s="309"/>
      <c r="D179" s="309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20"/>
    </row>
    <row r="180" spans="1:15" ht="13.5" customHeight="1">
      <c r="A180" s="309"/>
      <c r="B180" s="309"/>
      <c r="C180" s="309"/>
      <c r="D180" s="309"/>
      <c r="E180" s="309"/>
      <c r="F180" s="309"/>
      <c r="G180" s="309"/>
      <c r="H180" s="309"/>
      <c r="I180" s="309"/>
      <c r="J180" s="309"/>
      <c r="K180" s="309"/>
      <c r="L180" s="309"/>
      <c r="M180" s="309"/>
      <c r="N180" s="309"/>
      <c r="O180" s="320"/>
    </row>
    <row r="181" spans="1:15" ht="13.5" customHeight="1">
      <c r="A181" s="309"/>
      <c r="B181" s="309"/>
      <c r="C181" s="309"/>
      <c r="D181" s="309"/>
      <c r="E181" s="309"/>
      <c r="F181" s="309"/>
      <c r="G181" s="309"/>
      <c r="H181" s="309"/>
      <c r="I181" s="309"/>
      <c r="J181" s="309"/>
      <c r="K181" s="309"/>
      <c r="L181" s="309"/>
      <c r="M181" s="309"/>
      <c r="N181" s="309"/>
      <c r="O181" s="320"/>
    </row>
    <row r="182" spans="1:15" ht="13.5" customHeight="1">
      <c r="A182" s="309"/>
      <c r="B182" s="309"/>
      <c r="C182" s="309"/>
      <c r="D182" s="309"/>
      <c r="E182" s="309"/>
      <c r="F182" s="309"/>
      <c r="G182" s="309"/>
      <c r="H182" s="309"/>
      <c r="I182" s="309"/>
      <c r="J182" s="309"/>
      <c r="K182" s="309"/>
      <c r="L182" s="309"/>
      <c r="M182" s="309"/>
      <c r="N182" s="309"/>
      <c r="O182" s="320"/>
    </row>
    <row r="183" spans="1:15" ht="13.5" customHeight="1">
      <c r="A183" s="309"/>
      <c r="B183" s="309"/>
      <c r="C183" s="309"/>
      <c r="D183" s="309"/>
      <c r="E183" s="309"/>
      <c r="F183" s="309"/>
      <c r="G183" s="309"/>
      <c r="H183" s="309"/>
      <c r="I183" s="309"/>
      <c r="J183" s="309"/>
      <c r="K183" s="309"/>
      <c r="L183" s="309"/>
      <c r="M183" s="309"/>
      <c r="N183" s="309"/>
      <c r="O183" s="320"/>
    </row>
    <row r="184" spans="1:15" ht="13.5" customHeight="1">
      <c r="A184" s="309"/>
      <c r="B184" s="309"/>
      <c r="C184" s="309"/>
      <c r="D184" s="309"/>
      <c r="E184" s="309"/>
      <c r="F184" s="309"/>
      <c r="G184" s="309"/>
      <c r="H184" s="309"/>
      <c r="I184" s="309"/>
      <c r="J184" s="309"/>
      <c r="K184" s="309"/>
      <c r="L184" s="309"/>
      <c r="M184" s="309"/>
      <c r="N184" s="309"/>
      <c r="O184" s="320"/>
    </row>
    <row r="185" spans="1:15" ht="13.5" customHeight="1">
      <c r="A185" s="309"/>
      <c r="B185" s="309"/>
      <c r="C185" s="309"/>
      <c r="D185" s="309"/>
      <c r="E185" s="309"/>
      <c r="F185" s="309"/>
      <c r="G185" s="309"/>
      <c r="H185" s="309"/>
      <c r="I185" s="309"/>
      <c r="J185" s="309"/>
      <c r="K185" s="309"/>
      <c r="L185" s="309"/>
      <c r="M185" s="309"/>
      <c r="N185" s="309"/>
      <c r="O185" s="320"/>
    </row>
    <row r="186" spans="1:15" ht="13.5" customHeight="1">
      <c r="A186" s="309"/>
      <c r="B186" s="309"/>
      <c r="C186" s="309"/>
      <c r="D186" s="309"/>
      <c r="E186" s="309"/>
      <c r="F186" s="309"/>
      <c r="G186" s="309"/>
      <c r="H186" s="309"/>
      <c r="I186" s="309"/>
      <c r="J186" s="309"/>
      <c r="K186" s="309"/>
      <c r="L186" s="309"/>
      <c r="M186" s="309"/>
      <c r="N186" s="309"/>
      <c r="O186" s="320"/>
    </row>
    <row r="187" spans="1:15" ht="13.5" customHeight="1">
      <c r="A187" s="309"/>
      <c r="B187" s="309"/>
      <c r="C187" s="309"/>
      <c r="D187" s="309"/>
      <c r="E187" s="309"/>
      <c r="F187" s="309"/>
      <c r="G187" s="309"/>
      <c r="H187" s="309"/>
      <c r="I187" s="309"/>
      <c r="J187" s="309"/>
      <c r="K187" s="309"/>
      <c r="L187" s="309"/>
      <c r="M187" s="309"/>
      <c r="N187" s="309"/>
      <c r="O187" s="320"/>
    </row>
    <row r="188" spans="1:15" ht="13.5" customHeight="1">
      <c r="A188" s="309"/>
      <c r="B188" s="309"/>
      <c r="C188" s="309"/>
      <c r="D188" s="309"/>
      <c r="E188" s="309"/>
      <c r="F188" s="309"/>
      <c r="G188" s="309"/>
      <c r="H188" s="309"/>
      <c r="I188" s="309"/>
      <c r="J188" s="309"/>
      <c r="K188" s="309"/>
      <c r="L188" s="309"/>
      <c r="M188" s="309"/>
      <c r="N188" s="309"/>
      <c r="O188" s="320"/>
    </row>
    <row r="189" spans="1:15" ht="13.5" customHeight="1">
      <c r="A189" s="309"/>
      <c r="B189" s="309"/>
      <c r="C189" s="309"/>
      <c r="D189" s="309"/>
      <c r="E189" s="309"/>
      <c r="F189" s="309"/>
      <c r="G189" s="309"/>
      <c r="H189" s="309"/>
      <c r="I189" s="309"/>
      <c r="J189" s="309"/>
      <c r="K189" s="309"/>
      <c r="L189" s="309"/>
      <c r="M189" s="309"/>
      <c r="N189" s="309"/>
      <c r="O189" s="320"/>
    </row>
    <row r="190" spans="1:15" ht="13.5" customHeight="1">
      <c r="A190" s="309"/>
      <c r="B190" s="309"/>
      <c r="C190" s="309"/>
      <c r="D190" s="309"/>
      <c r="E190" s="309"/>
      <c r="F190" s="309"/>
      <c r="G190" s="309"/>
      <c r="H190" s="309"/>
      <c r="I190" s="309"/>
      <c r="J190" s="309"/>
      <c r="K190" s="309"/>
      <c r="L190" s="309"/>
      <c r="M190" s="309"/>
      <c r="N190" s="309"/>
      <c r="O190" s="320"/>
    </row>
    <row r="191" spans="1:15" ht="13.5" customHeight="1">
      <c r="A191" s="309"/>
      <c r="B191" s="309"/>
      <c r="C191" s="309"/>
      <c r="D191" s="309"/>
      <c r="E191" s="309"/>
      <c r="F191" s="309"/>
      <c r="G191" s="309"/>
      <c r="H191" s="309"/>
      <c r="I191" s="309"/>
      <c r="J191" s="309"/>
      <c r="K191" s="309"/>
      <c r="L191" s="309"/>
      <c r="M191" s="309"/>
      <c r="N191" s="309"/>
      <c r="O191" s="320"/>
    </row>
    <row r="192" spans="1:15" ht="13.5" customHeight="1">
      <c r="A192" s="309"/>
      <c r="B192" s="309"/>
      <c r="C192" s="309"/>
      <c r="D192" s="309"/>
      <c r="E192" s="309"/>
      <c r="F192" s="309"/>
      <c r="G192" s="309"/>
      <c r="H192" s="309"/>
      <c r="I192" s="309"/>
      <c r="J192" s="309"/>
      <c r="K192" s="309"/>
      <c r="L192" s="309"/>
      <c r="M192" s="309"/>
      <c r="N192" s="309"/>
      <c r="O192" s="320"/>
    </row>
    <row r="193" spans="1:15" ht="13.5" customHeight="1">
      <c r="A193" s="309"/>
      <c r="B193" s="309"/>
      <c r="C193" s="309"/>
      <c r="D193" s="309"/>
      <c r="E193" s="309"/>
      <c r="F193" s="309"/>
      <c r="G193" s="309"/>
      <c r="H193" s="309"/>
      <c r="I193" s="309"/>
      <c r="J193" s="309"/>
      <c r="K193" s="309"/>
      <c r="L193" s="309"/>
      <c r="M193" s="309"/>
      <c r="N193" s="309"/>
      <c r="O193" s="320"/>
    </row>
    <row r="194" spans="1:15" ht="13.5" customHeight="1">
      <c r="A194" s="309"/>
      <c r="B194" s="309"/>
      <c r="C194" s="309"/>
      <c r="D194" s="309"/>
      <c r="E194" s="309"/>
      <c r="F194" s="309"/>
      <c r="G194" s="309"/>
      <c r="H194" s="309"/>
      <c r="I194" s="309"/>
      <c r="J194" s="309"/>
      <c r="K194" s="309"/>
      <c r="L194" s="309"/>
      <c r="M194" s="309"/>
      <c r="N194" s="309"/>
      <c r="O194" s="320"/>
    </row>
    <row r="195" spans="1:15" ht="13.5" customHeight="1">
      <c r="A195" s="309"/>
      <c r="B195" s="309"/>
      <c r="C195" s="309"/>
      <c r="D195" s="309"/>
      <c r="E195" s="309"/>
      <c r="F195" s="309"/>
      <c r="G195" s="309"/>
      <c r="H195" s="309"/>
      <c r="I195" s="309"/>
      <c r="J195" s="309"/>
      <c r="K195" s="309"/>
      <c r="L195" s="309"/>
      <c r="M195" s="309"/>
      <c r="N195" s="309"/>
      <c r="O195" s="320"/>
    </row>
    <row r="196" spans="1:15" ht="13.5" customHeight="1">
      <c r="A196" s="309"/>
      <c r="B196" s="309"/>
      <c r="C196" s="309"/>
      <c r="D196" s="309"/>
      <c r="E196" s="309"/>
      <c r="F196" s="309"/>
      <c r="G196" s="309"/>
      <c r="H196" s="309"/>
      <c r="I196" s="309"/>
      <c r="J196" s="309"/>
      <c r="K196" s="309"/>
      <c r="L196" s="309"/>
      <c r="M196" s="309"/>
      <c r="N196" s="309"/>
      <c r="O196" s="320"/>
    </row>
    <row r="197" spans="1:15" ht="13.5" customHeight="1">
      <c r="A197" s="309"/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  <c r="L197" s="309"/>
      <c r="M197" s="309"/>
      <c r="N197" s="309"/>
      <c r="O197" s="320"/>
    </row>
    <row r="198" spans="1:15" ht="13.5" customHeight="1">
      <c r="A198" s="309"/>
      <c r="B198" s="309"/>
      <c r="C198" s="309"/>
      <c r="D198" s="309"/>
      <c r="E198" s="309"/>
      <c r="F198" s="309"/>
      <c r="G198" s="309"/>
      <c r="H198" s="309"/>
      <c r="I198" s="309"/>
      <c r="J198" s="309"/>
      <c r="K198" s="309"/>
      <c r="L198" s="309"/>
      <c r="M198" s="309"/>
      <c r="N198" s="309"/>
      <c r="O198" s="320"/>
    </row>
    <row r="199" spans="1:15" ht="13.5" customHeight="1">
      <c r="A199" s="309"/>
      <c r="B199" s="309"/>
      <c r="C199" s="309"/>
      <c r="D199" s="309"/>
      <c r="E199" s="309"/>
      <c r="F199" s="309"/>
      <c r="G199" s="309"/>
      <c r="H199" s="309"/>
      <c r="I199" s="309"/>
      <c r="J199" s="309"/>
      <c r="K199" s="309"/>
      <c r="L199" s="309"/>
      <c r="M199" s="309"/>
      <c r="N199" s="309"/>
      <c r="O199" s="320"/>
    </row>
    <row r="200" spans="1:15" ht="13.5" customHeight="1">
      <c r="A200" s="309"/>
      <c r="B200" s="309"/>
      <c r="C200" s="309"/>
      <c r="D200" s="309"/>
      <c r="E200" s="309"/>
      <c r="F200" s="309"/>
      <c r="G200" s="309"/>
      <c r="H200" s="309"/>
      <c r="I200" s="309"/>
      <c r="J200" s="309"/>
      <c r="K200" s="309"/>
      <c r="L200" s="309"/>
      <c r="M200" s="309"/>
      <c r="N200" s="309"/>
      <c r="O200" s="320"/>
    </row>
    <row r="201" spans="1:15" ht="13.5" customHeight="1">
      <c r="A201" s="309"/>
      <c r="B201" s="309"/>
      <c r="C201" s="309"/>
      <c r="D201" s="309"/>
      <c r="E201" s="309"/>
      <c r="F201" s="309"/>
      <c r="G201" s="309"/>
      <c r="H201" s="309"/>
      <c r="I201" s="309"/>
      <c r="J201" s="309"/>
      <c r="K201" s="309"/>
      <c r="L201" s="309"/>
      <c r="M201" s="309"/>
      <c r="N201" s="309"/>
      <c r="O201" s="320"/>
    </row>
    <row r="202" spans="1:15" ht="13.5" customHeight="1">
      <c r="A202" s="309"/>
      <c r="B202" s="309"/>
      <c r="C202" s="309"/>
      <c r="D202" s="309"/>
      <c r="E202" s="309"/>
      <c r="F202" s="309"/>
      <c r="G202" s="309"/>
      <c r="H202" s="309"/>
      <c r="I202" s="309"/>
      <c r="J202" s="309"/>
      <c r="K202" s="309"/>
      <c r="L202" s="309"/>
      <c r="M202" s="309"/>
      <c r="N202" s="309"/>
      <c r="O202" s="320"/>
    </row>
    <row r="203" spans="1:15" ht="13.5" customHeight="1">
      <c r="A203" s="309"/>
      <c r="B203" s="309"/>
      <c r="C203" s="309"/>
      <c r="D203" s="309"/>
      <c r="E203" s="309"/>
      <c r="F203" s="309"/>
      <c r="G203" s="309"/>
      <c r="H203" s="309"/>
      <c r="I203" s="309"/>
      <c r="J203" s="309"/>
      <c r="K203" s="309"/>
      <c r="L203" s="309"/>
      <c r="M203" s="309"/>
      <c r="N203" s="309"/>
      <c r="O203" s="320"/>
    </row>
    <row r="204" spans="1:15" ht="13.5" customHeight="1">
      <c r="A204" s="309"/>
      <c r="B204" s="309"/>
      <c r="C204" s="309"/>
      <c r="D204" s="309"/>
      <c r="E204" s="309"/>
      <c r="F204" s="309"/>
      <c r="G204" s="309"/>
      <c r="H204" s="309"/>
      <c r="I204" s="309"/>
      <c r="J204" s="309"/>
      <c r="K204" s="309"/>
      <c r="L204" s="309"/>
      <c r="M204" s="309"/>
      <c r="N204" s="309"/>
      <c r="O204" s="320"/>
    </row>
    <row r="205" spans="1:15" ht="13.5" customHeight="1">
      <c r="A205" s="309"/>
      <c r="B205" s="309"/>
      <c r="C205" s="309"/>
      <c r="D205" s="309"/>
      <c r="E205" s="309"/>
      <c r="F205" s="309"/>
      <c r="G205" s="309"/>
      <c r="H205" s="309"/>
      <c r="I205" s="309"/>
      <c r="J205" s="309"/>
      <c r="K205" s="309"/>
      <c r="L205" s="309"/>
      <c r="M205" s="309"/>
      <c r="N205" s="309"/>
      <c r="O205" s="320"/>
    </row>
    <row r="206" spans="1:15" ht="13.5" customHeight="1">
      <c r="A206" s="309"/>
      <c r="B206" s="309"/>
      <c r="C206" s="309"/>
      <c r="D206" s="309"/>
      <c r="E206" s="309"/>
      <c r="F206" s="309"/>
      <c r="G206" s="309"/>
      <c r="H206" s="309"/>
      <c r="I206" s="309"/>
      <c r="J206" s="309"/>
      <c r="K206" s="309"/>
      <c r="L206" s="309"/>
      <c r="M206" s="309"/>
      <c r="N206" s="309"/>
      <c r="O206" s="320"/>
    </row>
    <row r="207" spans="1:15" ht="13.5" customHeight="1">
      <c r="A207" s="309"/>
      <c r="B207" s="309"/>
      <c r="C207" s="309"/>
      <c r="D207" s="309"/>
      <c r="E207" s="309"/>
      <c r="F207" s="309"/>
      <c r="G207" s="309"/>
      <c r="H207" s="309"/>
      <c r="I207" s="309"/>
      <c r="J207" s="309"/>
      <c r="K207" s="309"/>
      <c r="L207" s="309"/>
      <c r="M207" s="309"/>
      <c r="N207" s="309"/>
      <c r="O207" s="320"/>
    </row>
    <row r="208" spans="1:15" ht="13.5" customHeight="1">
      <c r="A208" s="309"/>
      <c r="B208" s="309"/>
      <c r="C208" s="309"/>
      <c r="D208" s="309"/>
      <c r="E208" s="309"/>
      <c r="F208" s="309"/>
      <c r="G208" s="309"/>
      <c r="H208" s="309"/>
      <c r="I208" s="309"/>
      <c r="J208" s="309"/>
      <c r="K208" s="309"/>
      <c r="L208" s="309"/>
      <c r="M208" s="309"/>
      <c r="N208" s="309"/>
      <c r="O208" s="320"/>
    </row>
    <row r="209" spans="1:15" ht="13.5" customHeight="1">
      <c r="A209" s="309"/>
      <c r="B209" s="309"/>
      <c r="C209" s="309"/>
      <c r="D209" s="309"/>
      <c r="E209" s="309"/>
      <c r="F209" s="309"/>
      <c r="G209" s="309"/>
      <c r="H209" s="309"/>
      <c r="I209" s="309"/>
      <c r="J209" s="309"/>
      <c r="K209" s="309"/>
      <c r="L209" s="309"/>
      <c r="M209" s="309"/>
      <c r="N209" s="309"/>
      <c r="O209" s="320"/>
    </row>
    <row r="210" spans="1:15" ht="13.5" customHeight="1">
      <c r="A210" s="309"/>
      <c r="B210" s="309"/>
      <c r="C210" s="309"/>
      <c r="D210" s="309"/>
      <c r="E210" s="309"/>
      <c r="F210" s="309"/>
      <c r="G210" s="309"/>
      <c r="H210" s="309"/>
      <c r="I210" s="309"/>
      <c r="J210" s="309"/>
      <c r="K210" s="309"/>
      <c r="L210" s="309"/>
      <c r="M210" s="309"/>
      <c r="N210" s="309"/>
      <c r="O210" s="320"/>
    </row>
    <row r="211" spans="1:15" ht="13.5" customHeight="1">
      <c r="A211" s="309"/>
      <c r="B211" s="309"/>
      <c r="C211" s="309"/>
      <c r="D211" s="309"/>
      <c r="E211" s="309"/>
      <c r="F211" s="309"/>
      <c r="G211" s="309"/>
      <c r="H211" s="309"/>
      <c r="I211" s="309"/>
      <c r="J211" s="309"/>
      <c r="K211" s="309"/>
      <c r="L211" s="309"/>
      <c r="M211" s="309"/>
      <c r="N211" s="309"/>
      <c r="O211" s="320"/>
    </row>
    <row r="212" spans="1:15" ht="13.5" customHeight="1">
      <c r="A212" s="309"/>
      <c r="B212" s="309"/>
      <c r="C212" s="309"/>
      <c r="D212" s="309"/>
      <c r="E212" s="309"/>
      <c r="F212" s="309"/>
      <c r="G212" s="309"/>
      <c r="H212" s="309"/>
      <c r="I212" s="309"/>
      <c r="J212" s="309"/>
      <c r="K212" s="309"/>
      <c r="L212" s="309"/>
      <c r="M212" s="309"/>
      <c r="N212" s="309"/>
      <c r="O212" s="320"/>
    </row>
    <row r="213" spans="1:15" ht="13.5" customHeight="1">
      <c r="A213" s="309"/>
      <c r="B213" s="309"/>
      <c r="C213" s="309"/>
      <c r="D213" s="309"/>
      <c r="E213" s="309"/>
      <c r="F213" s="309"/>
      <c r="G213" s="309"/>
      <c r="H213" s="309"/>
      <c r="I213" s="309"/>
      <c r="J213" s="309"/>
      <c r="K213" s="309"/>
      <c r="L213" s="309"/>
      <c r="M213" s="309"/>
      <c r="N213" s="309"/>
      <c r="O213" s="320"/>
    </row>
    <row r="214" spans="1:15" ht="13.5" customHeight="1">
      <c r="A214" s="309"/>
      <c r="B214" s="309"/>
      <c r="C214" s="309"/>
      <c r="D214" s="309"/>
      <c r="E214" s="309"/>
      <c r="F214" s="309"/>
      <c r="G214" s="309"/>
      <c r="H214" s="309"/>
      <c r="I214" s="309"/>
      <c r="J214" s="309"/>
      <c r="K214" s="309"/>
      <c r="L214" s="309"/>
      <c r="M214" s="309"/>
      <c r="N214" s="309"/>
      <c r="O214" s="320"/>
    </row>
    <row r="215" spans="1:15" ht="13.5" customHeight="1">
      <c r="A215" s="309"/>
      <c r="B215" s="309"/>
      <c r="C215" s="309"/>
      <c r="D215" s="309"/>
      <c r="E215" s="309"/>
      <c r="F215" s="309"/>
      <c r="G215" s="309"/>
      <c r="H215" s="309"/>
      <c r="I215" s="309"/>
      <c r="J215" s="309"/>
      <c r="K215" s="309"/>
      <c r="L215" s="309"/>
      <c r="M215" s="309"/>
      <c r="N215" s="309"/>
      <c r="O215" s="320"/>
    </row>
    <row r="216" spans="1:15" ht="13.5" customHeight="1">
      <c r="A216" s="309"/>
      <c r="B216" s="309"/>
      <c r="C216" s="309"/>
      <c r="D216" s="309"/>
      <c r="E216" s="309"/>
      <c r="F216" s="309"/>
      <c r="G216" s="309"/>
      <c r="H216" s="309"/>
      <c r="I216" s="309"/>
      <c r="J216" s="309"/>
      <c r="K216" s="309"/>
      <c r="L216" s="309"/>
      <c r="M216" s="309"/>
      <c r="N216" s="309"/>
      <c r="O216" s="320"/>
    </row>
    <row r="217" spans="1:15" ht="13.5" customHeight="1">
      <c r="A217" s="309"/>
      <c r="B217" s="309"/>
      <c r="C217" s="309"/>
      <c r="D217" s="309"/>
      <c r="E217" s="309"/>
      <c r="F217" s="309"/>
      <c r="G217" s="309"/>
      <c r="H217" s="309"/>
      <c r="I217" s="309"/>
      <c r="J217" s="309"/>
      <c r="K217" s="309"/>
      <c r="L217" s="309"/>
      <c r="M217" s="309"/>
      <c r="N217" s="309"/>
      <c r="O217" s="320"/>
    </row>
    <row r="218" spans="1:15" ht="13.5" customHeight="1">
      <c r="A218" s="309"/>
      <c r="B218" s="309"/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  <c r="N218" s="309"/>
      <c r="O218" s="320"/>
    </row>
    <row r="219" spans="1:15" ht="13.5" customHeight="1">
      <c r="A219" s="309"/>
      <c r="B219" s="309"/>
      <c r="C219" s="309"/>
      <c r="D219" s="309"/>
      <c r="E219" s="309"/>
      <c r="F219" s="309"/>
      <c r="G219" s="309"/>
      <c r="H219" s="309"/>
      <c r="I219" s="309"/>
      <c r="J219" s="309"/>
      <c r="K219" s="309"/>
      <c r="L219" s="309"/>
      <c r="M219" s="309"/>
      <c r="N219" s="309"/>
      <c r="O219" s="320"/>
    </row>
    <row r="220" spans="1:15" ht="13.5" customHeight="1">
      <c r="A220" s="309"/>
      <c r="B220" s="309"/>
      <c r="C220" s="309"/>
      <c r="D220" s="309"/>
      <c r="E220" s="309"/>
      <c r="F220" s="309"/>
      <c r="G220" s="309"/>
      <c r="H220" s="309"/>
      <c r="I220" s="309"/>
      <c r="J220" s="309"/>
      <c r="K220" s="309"/>
      <c r="L220" s="309"/>
      <c r="M220" s="309"/>
      <c r="N220" s="309"/>
      <c r="O220" s="320"/>
    </row>
    <row r="221" spans="1:15" ht="13.5" customHeight="1">
      <c r="A221" s="309"/>
      <c r="B221" s="309"/>
      <c r="C221" s="309"/>
      <c r="D221" s="309"/>
      <c r="E221" s="309"/>
      <c r="F221" s="309"/>
      <c r="G221" s="309"/>
      <c r="H221" s="309"/>
      <c r="I221" s="309"/>
      <c r="J221" s="309"/>
      <c r="K221" s="309"/>
      <c r="L221" s="309"/>
      <c r="M221" s="309"/>
      <c r="N221" s="309"/>
      <c r="O221" s="320"/>
    </row>
    <row r="222" spans="1:15" ht="13.5" customHeight="1">
      <c r="A222" s="309"/>
      <c r="B222" s="309"/>
      <c r="C222" s="309"/>
      <c r="D222" s="309"/>
      <c r="E222" s="309"/>
      <c r="F222" s="309"/>
      <c r="G222" s="309"/>
      <c r="H222" s="309"/>
      <c r="I222" s="309"/>
      <c r="J222" s="309"/>
      <c r="K222" s="309"/>
      <c r="L222" s="309"/>
      <c r="M222" s="309"/>
      <c r="N222" s="309"/>
      <c r="O222" s="320"/>
    </row>
    <row r="223" spans="1:15" ht="13.5" customHeight="1">
      <c r="A223" s="309"/>
      <c r="B223" s="309"/>
      <c r="C223" s="309"/>
      <c r="D223" s="309"/>
      <c r="E223" s="309"/>
      <c r="F223" s="309"/>
      <c r="G223" s="309"/>
      <c r="H223" s="309"/>
      <c r="I223" s="309"/>
      <c r="J223" s="309"/>
      <c r="K223" s="309"/>
      <c r="L223" s="309"/>
      <c r="M223" s="309"/>
      <c r="N223" s="309"/>
      <c r="O223" s="320"/>
    </row>
    <row r="224" spans="1:15" ht="13.5" customHeight="1">
      <c r="A224" s="309"/>
      <c r="B224" s="309"/>
      <c r="C224" s="309"/>
      <c r="D224" s="309"/>
      <c r="E224" s="309"/>
      <c r="F224" s="309"/>
      <c r="G224" s="309"/>
      <c r="H224" s="309"/>
      <c r="I224" s="309"/>
      <c r="J224" s="309"/>
      <c r="K224" s="309"/>
      <c r="L224" s="309"/>
      <c r="M224" s="309"/>
      <c r="N224" s="309"/>
      <c r="O224" s="320"/>
    </row>
    <row r="225" spans="1:15" ht="13.5" customHeight="1">
      <c r="A225" s="309"/>
      <c r="B225" s="309"/>
      <c r="C225" s="309"/>
      <c r="D225" s="309"/>
      <c r="E225" s="309"/>
      <c r="F225" s="309"/>
      <c r="G225" s="309"/>
      <c r="H225" s="309"/>
      <c r="I225" s="309"/>
      <c r="J225" s="309"/>
      <c r="K225" s="309"/>
      <c r="L225" s="309"/>
      <c r="M225" s="309"/>
      <c r="N225" s="309"/>
      <c r="O225" s="320"/>
    </row>
    <row r="226" spans="1:15" ht="13.5" customHeight="1">
      <c r="A226" s="309"/>
      <c r="B226" s="309"/>
      <c r="C226" s="309"/>
      <c r="D226" s="309"/>
      <c r="E226" s="309"/>
      <c r="F226" s="309"/>
      <c r="G226" s="309"/>
      <c r="H226" s="309"/>
      <c r="I226" s="309"/>
      <c r="J226" s="309"/>
      <c r="K226" s="309"/>
      <c r="L226" s="309"/>
      <c r="M226" s="309"/>
      <c r="N226" s="309"/>
      <c r="O226" s="320"/>
    </row>
    <row r="227" spans="1:15" ht="13.5" customHeight="1">
      <c r="A227" s="309"/>
      <c r="B227" s="309"/>
      <c r="C227" s="309"/>
      <c r="D227" s="309"/>
      <c r="E227" s="309"/>
      <c r="F227" s="309"/>
      <c r="G227" s="309"/>
      <c r="H227" s="309"/>
      <c r="I227" s="309"/>
      <c r="J227" s="309"/>
      <c r="K227" s="309"/>
      <c r="L227" s="309"/>
      <c r="M227" s="309"/>
      <c r="N227" s="309"/>
      <c r="O227" s="320"/>
    </row>
    <row r="228" spans="1:15" ht="13.5" customHeight="1">
      <c r="A228" s="309"/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  <c r="N228" s="309"/>
      <c r="O228" s="320"/>
    </row>
    <row r="229" spans="1:15" ht="13.5" customHeight="1">
      <c r="A229" s="309"/>
      <c r="B229" s="309"/>
      <c r="C229" s="309"/>
      <c r="D229" s="309"/>
      <c r="E229" s="309"/>
      <c r="F229" s="309"/>
      <c r="G229" s="309"/>
      <c r="H229" s="309"/>
      <c r="I229" s="309"/>
      <c r="J229" s="309"/>
      <c r="K229" s="309"/>
      <c r="L229" s="309"/>
      <c r="M229" s="309"/>
      <c r="N229" s="309"/>
      <c r="O229" s="320"/>
    </row>
    <row r="230" spans="1:15" ht="13.5" customHeight="1">
      <c r="A230" s="309"/>
      <c r="B230" s="309"/>
      <c r="C230" s="309"/>
      <c r="D230" s="309"/>
      <c r="E230" s="309"/>
      <c r="F230" s="309"/>
      <c r="G230" s="309"/>
      <c r="H230" s="309"/>
      <c r="I230" s="309"/>
      <c r="J230" s="309"/>
      <c r="K230" s="309"/>
      <c r="L230" s="309"/>
      <c r="M230" s="309"/>
      <c r="N230" s="309"/>
      <c r="O230" s="320"/>
    </row>
    <row r="231" spans="1:15" ht="13.5" customHeight="1">
      <c r="A231" s="309"/>
      <c r="B231" s="309"/>
      <c r="C231" s="309"/>
      <c r="D231" s="309"/>
      <c r="E231" s="309"/>
      <c r="F231" s="309"/>
      <c r="G231" s="309"/>
      <c r="H231" s="309"/>
      <c r="I231" s="309"/>
      <c r="J231" s="309"/>
      <c r="K231" s="309"/>
      <c r="L231" s="309"/>
      <c r="M231" s="309"/>
      <c r="N231" s="309"/>
      <c r="O231" s="320"/>
    </row>
    <row r="232" spans="1:15" ht="13.5" customHeight="1">
      <c r="A232" s="309"/>
      <c r="B232" s="309"/>
      <c r="C232" s="309"/>
      <c r="D232" s="309"/>
      <c r="E232" s="309"/>
      <c r="F232" s="309"/>
      <c r="G232" s="309"/>
      <c r="H232" s="309"/>
      <c r="I232" s="309"/>
      <c r="J232" s="309"/>
      <c r="K232" s="309"/>
      <c r="L232" s="309"/>
      <c r="M232" s="309"/>
      <c r="N232" s="309"/>
      <c r="O232" s="320"/>
    </row>
    <row r="233" spans="1:15" ht="13.5" customHeight="1">
      <c r="A233" s="309"/>
      <c r="B233" s="309"/>
      <c r="C233" s="309"/>
      <c r="D233" s="309"/>
      <c r="E233" s="309"/>
      <c r="F233" s="309"/>
      <c r="G233" s="309"/>
      <c r="H233" s="309"/>
      <c r="I233" s="309"/>
      <c r="J233" s="309"/>
      <c r="K233" s="309"/>
      <c r="L233" s="309"/>
      <c r="M233" s="309"/>
      <c r="N233" s="309"/>
      <c r="O233" s="320"/>
    </row>
    <row r="234" spans="1:15" ht="13.5" customHeight="1">
      <c r="A234" s="309"/>
      <c r="B234" s="309"/>
      <c r="C234" s="309"/>
      <c r="D234" s="309"/>
      <c r="E234" s="309"/>
      <c r="F234" s="309"/>
      <c r="G234" s="309"/>
      <c r="H234" s="309"/>
      <c r="I234" s="309"/>
      <c r="J234" s="309"/>
      <c r="K234" s="309"/>
      <c r="L234" s="309"/>
      <c r="M234" s="309"/>
      <c r="N234" s="309"/>
      <c r="O234" s="320"/>
    </row>
    <row r="235" spans="1:15" ht="13.5" customHeight="1">
      <c r="A235" s="309"/>
      <c r="B235" s="309"/>
      <c r="C235" s="309"/>
      <c r="D235" s="309"/>
      <c r="E235" s="309"/>
      <c r="F235" s="309"/>
      <c r="G235" s="309"/>
      <c r="H235" s="309"/>
      <c r="I235" s="309"/>
      <c r="J235" s="309"/>
      <c r="K235" s="309"/>
      <c r="L235" s="309"/>
      <c r="M235" s="309"/>
      <c r="N235" s="309"/>
      <c r="O235" s="320"/>
    </row>
    <row r="236" spans="1:15" ht="13.5" customHeight="1">
      <c r="A236" s="309"/>
      <c r="B236" s="309"/>
      <c r="C236" s="309"/>
      <c r="D236" s="309"/>
      <c r="E236" s="309"/>
      <c r="F236" s="309"/>
      <c r="G236" s="309"/>
      <c r="H236" s="309"/>
      <c r="I236" s="309"/>
      <c r="J236" s="309"/>
      <c r="K236" s="309"/>
      <c r="L236" s="309"/>
      <c r="M236" s="309"/>
      <c r="N236" s="309"/>
      <c r="O236" s="320"/>
    </row>
    <row r="237" spans="1:15" ht="13.5" customHeight="1">
      <c r="A237" s="309"/>
      <c r="B237" s="309"/>
      <c r="C237" s="309"/>
      <c r="D237" s="309"/>
      <c r="E237" s="309"/>
      <c r="F237" s="309"/>
      <c r="G237" s="309"/>
      <c r="H237" s="309"/>
      <c r="I237" s="309"/>
      <c r="J237" s="309"/>
      <c r="K237" s="309"/>
      <c r="L237" s="309"/>
      <c r="M237" s="309"/>
      <c r="N237" s="309"/>
      <c r="O237" s="320"/>
    </row>
    <row r="238" spans="1:15" ht="13.5" customHeight="1">
      <c r="A238" s="309"/>
      <c r="B238" s="309"/>
      <c r="C238" s="309"/>
      <c r="D238" s="309"/>
      <c r="E238" s="309"/>
      <c r="F238" s="309"/>
      <c r="G238" s="309"/>
      <c r="H238" s="309"/>
      <c r="I238" s="309"/>
      <c r="J238" s="309"/>
      <c r="K238" s="309"/>
      <c r="L238" s="309"/>
      <c r="M238" s="309"/>
      <c r="N238" s="309"/>
      <c r="O238" s="320"/>
    </row>
    <row r="239" spans="1:15" ht="13.5" customHeight="1">
      <c r="A239" s="309"/>
      <c r="B239" s="309"/>
      <c r="C239" s="309"/>
      <c r="D239" s="309"/>
      <c r="E239" s="309"/>
      <c r="F239" s="309"/>
      <c r="G239" s="309"/>
      <c r="H239" s="309"/>
      <c r="I239" s="309"/>
      <c r="J239" s="309"/>
      <c r="K239" s="309"/>
      <c r="L239" s="309"/>
      <c r="M239" s="309"/>
      <c r="N239" s="309"/>
      <c r="O239" s="320"/>
    </row>
    <row r="240" spans="1:15" ht="13.5" customHeight="1">
      <c r="A240" s="309"/>
      <c r="B240" s="309"/>
      <c r="C240" s="309"/>
      <c r="D240" s="309"/>
      <c r="E240" s="309"/>
      <c r="F240" s="309"/>
      <c r="G240" s="309"/>
      <c r="H240" s="309"/>
      <c r="I240" s="309"/>
      <c r="J240" s="309"/>
      <c r="K240" s="309"/>
      <c r="L240" s="309"/>
      <c r="M240" s="309"/>
      <c r="N240" s="309"/>
      <c r="O240" s="320"/>
    </row>
    <row r="241" spans="1:15" ht="13.5" customHeight="1">
      <c r="A241" s="309"/>
      <c r="B241" s="309"/>
      <c r="C241" s="309"/>
      <c r="D241" s="309"/>
      <c r="E241" s="309"/>
      <c r="F241" s="309"/>
      <c r="G241" s="309"/>
      <c r="H241" s="309"/>
      <c r="I241" s="309"/>
      <c r="J241" s="309"/>
      <c r="K241" s="309"/>
      <c r="L241" s="309"/>
      <c r="M241" s="309"/>
      <c r="N241" s="309"/>
      <c r="O241" s="320"/>
    </row>
    <row r="242" spans="1:15" ht="13.5" customHeight="1">
      <c r="A242" s="309"/>
      <c r="B242" s="309"/>
      <c r="C242" s="309"/>
      <c r="D242" s="309"/>
      <c r="E242" s="309"/>
      <c r="F242" s="309"/>
      <c r="G242" s="309"/>
      <c r="H242" s="309"/>
      <c r="I242" s="309"/>
      <c r="J242" s="309"/>
      <c r="K242" s="309"/>
      <c r="L242" s="309"/>
      <c r="M242" s="309"/>
      <c r="N242" s="309"/>
      <c r="O242" s="320"/>
    </row>
    <row r="243" spans="1:15" ht="13.5" customHeight="1">
      <c r="A243" s="309"/>
      <c r="B243" s="309"/>
      <c r="C243" s="309"/>
      <c r="D243" s="309"/>
      <c r="E243" s="309"/>
      <c r="F243" s="309"/>
      <c r="G243" s="309"/>
      <c r="H243" s="309"/>
      <c r="I243" s="309"/>
      <c r="J243" s="309"/>
      <c r="K243" s="309"/>
      <c r="L243" s="309"/>
      <c r="M243" s="309"/>
      <c r="N243" s="309"/>
      <c r="O243" s="320"/>
    </row>
    <row r="244" spans="1:15" ht="13.5" customHeight="1">
      <c r="A244" s="309"/>
      <c r="B244" s="309"/>
      <c r="C244" s="309"/>
      <c r="D244" s="309"/>
      <c r="E244" s="309"/>
      <c r="F244" s="309"/>
      <c r="G244" s="309"/>
      <c r="H244" s="309"/>
      <c r="I244" s="309"/>
      <c r="J244" s="309"/>
      <c r="K244" s="309"/>
      <c r="L244" s="309"/>
      <c r="M244" s="309"/>
      <c r="N244" s="309"/>
      <c r="O244" s="320"/>
    </row>
    <row r="245" spans="1:15" ht="13.5" customHeight="1">
      <c r="A245" s="309"/>
      <c r="B245" s="309"/>
      <c r="C245" s="309"/>
      <c r="D245" s="309"/>
      <c r="E245" s="309"/>
      <c r="F245" s="309"/>
      <c r="G245" s="309"/>
      <c r="H245" s="309"/>
      <c r="I245" s="309"/>
      <c r="J245" s="309"/>
      <c r="K245" s="309"/>
      <c r="L245" s="309"/>
      <c r="M245" s="309"/>
      <c r="N245" s="309"/>
      <c r="O245" s="320"/>
    </row>
    <row r="246" spans="1:15" ht="13.5" customHeight="1">
      <c r="A246" s="309"/>
      <c r="B246" s="309"/>
      <c r="C246" s="309"/>
      <c r="D246" s="309"/>
      <c r="E246" s="309"/>
      <c r="F246" s="309"/>
      <c r="G246" s="309"/>
      <c r="H246" s="309"/>
      <c r="I246" s="309"/>
      <c r="J246" s="309"/>
      <c r="K246" s="309"/>
      <c r="L246" s="309"/>
      <c r="M246" s="309"/>
      <c r="N246" s="309"/>
      <c r="O246" s="320"/>
    </row>
    <row r="247" spans="1:15" ht="13.5" customHeight="1">
      <c r="A247" s="309"/>
      <c r="B247" s="309"/>
      <c r="C247" s="309"/>
      <c r="D247" s="309"/>
      <c r="E247" s="309"/>
      <c r="F247" s="309"/>
      <c r="G247" s="309"/>
      <c r="H247" s="309"/>
      <c r="I247" s="309"/>
      <c r="J247" s="309"/>
      <c r="K247" s="309"/>
      <c r="L247" s="309"/>
      <c r="M247" s="309"/>
      <c r="N247" s="309"/>
      <c r="O247" s="320"/>
    </row>
    <row r="248" spans="1:15" ht="13.5" customHeight="1">
      <c r="A248" s="309"/>
      <c r="B248" s="309"/>
      <c r="C248" s="309"/>
      <c r="D248" s="309"/>
      <c r="E248" s="309"/>
      <c r="F248" s="309"/>
      <c r="G248" s="309"/>
      <c r="H248" s="309"/>
      <c r="I248" s="309"/>
      <c r="J248" s="309"/>
      <c r="K248" s="309"/>
      <c r="L248" s="309"/>
      <c r="M248" s="309"/>
      <c r="N248" s="309"/>
      <c r="O248" s="320"/>
    </row>
    <row r="249" spans="1:15" ht="13.5" customHeight="1">
      <c r="A249" s="309"/>
      <c r="B249" s="309"/>
      <c r="C249" s="309"/>
      <c r="D249" s="309"/>
      <c r="E249" s="309"/>
      <c r="F249" s="309"/>
      <c r="G249" s="309"/>
      <c r="H249" s="309"/>
      <c r="I249" s="309"/>
      <c r="J249" s="309"/>
      <c r="K249" s="309"/>
      <c r="L249" s="309"/>
      <c r="M249" s="309"/>
      <c r="N249" s="309"/>
      <c r="O249" s="320"/>
    </row>
    <row r="250" spans="1:15" ht="13.5" customHeight="1">
      <c r="A250" s="309"/>
      <c r="B250" s="309"/>
      <c r="C250" s="309"/>
      <c r="D250" s="309"/>
      <c r="E250" s="309"/>
      <c r="F250" s="309"/>
      <c r="G250" s="309"/>
      <c r="H250" s="309"/>
      <c r="I250" s="309"/>
      <c r="J250" s="309"/>
      <c r="K250" s="309"/>
      <c r="L250" s="309"/>
      <c r="M250" s="309"/>
      <c r="N250" s="309"/>
      <c r="O250" s="320"/>
    </row>
    <row r="251" spans="1:15" ht="13.5" customHeight="1">
      <c r="A251" s="309"/>
      <c r="B251" s="309"/>
      <c r="C251" s="309"/>
      <c r="D251" s="309"/>
      <c r="E251" s="309"/>
      <c r="F251" s="309"/>
      <c r="G251" s="309"/>
      <c r="H251" s="309"/>
      <c r="I251" s="309"/>
      <c r="J251" s="309"/>
      <c r="K251" s="309"/>
      <c r="L251" s="309"/>
      <c r="M251" s="309"/>
      <c r="N251" s="309"/>
      <c r="O251" s="320"/>
    </row>
    <row r="252" spans="1:15" ht="13.5" customHeight="1">
      <c r="A252" s="309"/>
      <c r="B252" s="309"/>
      <c r="C252" s="309"/>
      <c r="D252" s="309"/>
      <c r="E252" s="309"/>
      <c r="F252" s="309"/>
      <c r="G252" s="309"/>
      <c r="H252" s="309"/>
      <c r="I252" s="309"/>
      <c r="J252" s="309"/>
      <c r="K252" s="309"/>
      <c r="L252" s="309"/>
      <c r="M252" s="309"/>
      <c r="N252" s="309"/>
      <c r="O252" s="320"/>
    </row>
    <row r="253" spans="1:15" ht="13.5" customHeight="1">
      <c r="A253" s="309"/>
      <c r="B253" s="309"/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20"/>
    </row>
    <row r="254" spans="1:15" ht="13.5" customHeight="1">
      <c r="A254" s="309"/>
      <c r="B254" s="309"/>
      <c r="C254" s="309"/>
      <c r="D254" s="309"/>
      <c r="E254" s="309"/>
      <c r="F254" s="309"/>
      <c r="G254" s="309"/>
      <c r="H254" s="309"/>
      <c r="I254" s="309"/>
      <c r="J254" s="309"/>
      <c r="K254" s="309"/>
      <c r="L254" s="309"/>
      <c r="M254" s="309"/>
      <c r="N254" s="309"/>
      <c r="O254" s="320"/>
    </row>
    <row r="255" spans="1:15" ht="13.5" customHeight="1">
      <c r="A255" s="309"/>
      <c r="B255" s="309"/>
      <c r="C255" s="309"/>
      <c r="D255" s="309"/>
      <c r="E255" s="309"/>
      <c r="F255" s="309"/>
      <c r="G255" s="309"/>
      <c r="H255" s="309"/>
      <c r="I255" s="309"/>
      <c r="J255" s="309"/>
      <c r="K255" s="309"/>
      <c r="L255" s="309"/>
      <c r="M255" s="309"/>
      <c r="N255" s="309"/>
      <c r="O255" s="320"/>
    </row>
    <row r="256" spans="1:15" ht="13.5" customHeight="1">
      <c r="A256" s="309"/>
      <c r="B256" s="309"/>
      <c r="C256" s="309"/>
      <c r="D256" s="309"/>
      <c r="E256" s="309"/>
      <c r="F256" s="309"/>
      <c r="G256" s="309"/>
      <c r="H256" s="309"/>
      <c r="I256" s="309"/>
      <c r="J256" s="309"/>
      <c r="K256" s="309"/>
      <c r="L256" s="309"/>
      <c r="M256" s="309"/>
      <c r="N256" s="309"/>
      <c r="O256" s="320"/>
    </row>
    <row r="257" spans="1:15" ht="13.5" customHeight="1">
      <c r="A257" s="309"/>
      <c r="B257" s="309"/>
      <c r="C257" s="309"/>
      <c r="D257" s="309"/>
      <c r="E257" s="309"/>
      <c r="F257" s="309"/>
      <c r="G257" s="309"/>
      <c r="H257" s="309"/>
      <c r="I257" s="309"/>
      <c r="J257" s="309"/>
      <c r="K257" s="309"/>
      <c r="L257" s="309"/>
      <c r="M257" s="309"/>
      <c r="N257" s="309"/>
      <c r="O257" s="320"/>
    </row>
  </sheetData>
  <sheetProtection/>
  <mergeCells count="1">
    <mergeCell ref="A3:O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4" r:id="rId1"/>
  <headerFooter alignWithMargins="0">
    <oddHeader>&amp;L16. melléklet a 2014. évi 6/2014.(III.28.) Önkormányzati költségvetési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R36" sqref="R36"/>
    </sheetView>
  </sheetViews>
  <sheetFormatPr defaultColWidth="9.140625" defaultRowHeight="12.75"/>
  <cols>
    <col min="1" max="1" width="3.7109375" style="0" customWidth="1"/>
    <col min="2" max="2" width="4.8515625" style="0" bestFit="1" customWidth="1"/>
    <col min="3" max="3" width="44.57421875" style="0" customWidth="1"/>
  </cols>
  <sheetData>
    <row r="1" spans="15:16" ht="12.75">
      <c r="O1" s="714"/>
      <c r="P1" s="714"/>
    </row>
    <row r="2" spans="2:16" ht="15.75">
      <c r="B2" s="715" t="s">
        <v>298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</row>
    <row r="3" spans="2:16" ht="15.75">
      <c r="B3" s="715" t="s">
        <v>426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</row>
    <row r="4" spans="2:16" ht="15.75"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</row>
    <row r="5" spans="2:16" ht="15.75">
      <c r="B5" s="717" t="s">
        <v>338</v>
      </c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</row>
    <row r="6" spans="2:16" ht="15.75">
      <c r="B6" s="418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276" t="s">
        <v>299</v>
      </c>
    </row>
    <row r="7" spans="1:16" s="180" customFormat="1" ht="16.5" thickBot="1">
      <c r="A7" s="180" t="s">
        <v>11</v>
      </c>
      <c r="B7" s="433" t="s">
        <v>362</v>
      </c>
      <c r="C7" s="434" t="s">
        <v>13</v>
      </c>
      <c r="D7" s="434" t="s">
        <v>14</v>
      </c>
      <c r="E7" s="434" t="s">
        <v>15</v>
      </c>
      <c r="F7" s="434" t="s">
        <v>16</v>
      </c>
      <c r="G7" s="434" t="s">
        <v>17</v>
      </c>
      <c r="H7" s="434" t="s">
        <v>18</v>
      </c>
      <c r="I7" s="434" t="s">
        <v>63</v>
      </c>
      <c r="J7" s="434" t="s">
        <v>369</v>
      </c>
      <c r="K7" s="434" t="s">
        <v>363</v>
      </c>
      <c r="L7" s="434" t="s">
        <v>364</v>
      </c>
      <c r="M7" s="434" t="s">
        <v>366</v>
      </c>
      <c r="N7" s="434" t="s">
        <v>370</v>
      </c>
      <c r="O7" s="434" t="s">
        <v>371</v>
      </c>
      <c r="P7" s="434" t="s">
        <v>372</v>
      </c>
    </row>
    <row r="8" spans="1:16" ht="24.75" thickBot="1">
      <c r="A8" t="s">
        <v>20</v>
      </c>
      <c r="B8" s="277" t="s">
        <v>300</v>
      </c>
      <c r="C8" s="278" t="s">
        <v>67</v>
      </c>
      <c r="D8" s="278" t="s">
        <v>301</v>
      </c>
      <c r="E8" s="278" t="s">
        <v>302</v>
      </c>
      <c r="F8" s="278" t="s">
        <v>303</v>
      </c>
      <c r="G8" s="278" t="s">
        <v>304</v>
      </c>
      <c r="H8" s="278" t="s">
        <v>305</v>
      </c>
      <c r="I8" s="278" t="s">
        <v>306</v>
      </c>
      <c r="J8" s="278" t="s">
        <v>307</v>
      </c>
      <c r="K8" s="278" t="s">
        <v>308</v>
      </c>
      <c r="L8" s="278" t="s">
        <v>309</v>
      </c>
      <c r="M8" s="278" t="s">
        <v>310</v>
      </c>
      <c r="N8" s="278" t="s">
        <v>311</v>
      </c>
      <c r="O8" s="278" t="s">
        <v>312</v>
      </c>
      <c r="P8" s="279" t="s">
        <v>313</v>
      </c>
    </row>
    <row r="9" spans="1:16" ht="13.5" thickBot="1">
      <c r="A9" t="s">
        <v>21</v>
      </c>
      <c r="B9" s="280" t="s">
        <v>20</v>
      </c>
      <c r="C9" s="710" t="s">
        <v>97</v>
      </c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11"/>
      <c r="O9" s="711"/>
      <c r="P9" s="712"/>
    </row>
    <row r="10" spans="1:16" ht="12.75">
      <c r="A10" t="s">
        <v>22</v>
      </c>
      <c r="B10" s="283" t="s">
        <v>21</v>
      </c>
      <c r="C10" s="284" t="s">
        <v>314</v>
      </c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6">
        <f>SUM(D10:O10)</f>
        <v>0</v>
      </c>
    </row>
    <row r="11" spans="1:16" ht="12.75">
      <c r="A11" t="s">
        <v>23</v>
      </c>
      <c r="B11" s="287" t="s">
        <v>22</v>
      </c>
      <c r="C11" s="288" t="s">
        <v>315</v>
      </c>
      <c r="D11" s="289">
        <v>175</v>
      </c>
      <c r="E11" s="289">
        <f>+D11</f>
        <v>175</v>
      </c>
      <c r="F11" s="289">
        <f aca="true" t="shared" si="0" ref="F11:O11">+E11</f>
        <v>175</v>
      </c>
      <c r="G11" s="289">
        <f t="shared" si="0"/>
        <v>175</v>
      </c>
      <c r="H11" s="289">
        <f t="shared" si="0"/>
        <v>175</v>
      </c>
      <c r="I11" s="289">
        <f t="shared" si="0"/>
        <v>175</v>
      </c>
      <c r="J11" s="289">
        <f t="shared" si="0"/>
        <v>175</v>
      </c>
      <c r="K11" s="289">
        <f t="shared" si="0"/>
        <v>175</v>
      </c>
      <c r="L11" s="289">
        <f t="shared" si="0"/>
        <v>175</v>
      </c>
      <c r="M11" s="289">
        <f t="shared" si="0"/>
        <v>175</v>
      </c>
      <c r="N11" s="289">
        <f t="shared" si="0"/>
        <v>175</v>
      </c>
      <c r="O11" s="289">
        <f t="shared" si="0"/>
        <v>175</v>
      </c>
      <c r="P11" s="290">
        <f aca="true" t="shared" si="1" ref="P11:P17">SUM(D11:O11)</f>
        <v>2100</v>
      </c>
    </row>
    <row r="12" spans="1:16" ht="12.75">
      <c r="A12" t="s">
        <v>24</v>
      </c>
      <c r="B12" s="287" t="s">
        <v>23</v>
      </c>
      <c r="C12" s="291" t="s">
        <v>316</v>
      </c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0">
        <f t="shared" si="1"/>
        <v>0</v>
      </c>
    </row>
    <row r="13" spans="1:16" ht="12.75">
      <c r="A13" t="s">
        <v>25</v>
      </c>
      <c r="B13" s="287" t="s">
        <v>24</v>
      </c>
      <c r="C13" s="288" t="s">
        <v>317</v>
      </c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90">
        <f>SUM(D13:O13)</f>
        <v>0</v>
      </c>
    </row>
    <row r="14" spans="1:16" ht="12.75">
      <c r="A14" t="s">
        <v>26</v>
      </c>
      <c r="B14" s="287" t="s">
        <v>25</v>
      </c>
      <c r="C14" s="288" t="s">
        <v>318</v>
      </c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90">
        <f t="shared" si="1"/>
        <v>0</v>
      </c>
    </row>
    <row r="15" spans="1:16" ht="12.75">
      <c r="A15" t="s">
        <v>27</v>
      </c>
      <c r="B15" s="287" t="s">
        <v>26</v>
      </c>
      <c r="C15" s="288" t="s">
        <v>319</v>
      </c>
      <c r="D15" s="289"/>
      <c r="E15" s="289"/>
      <c r="F15" s="289">
        <v>973</v>
      </c>
      <c r="G15" s="289"/>
      <c r="H15" s="289"/>
      <c r="I15" s="289"/>
      <c r="J15" s="289"/>
      <c r="K15" s="289"/>
      <c r="L15" s="289"/>
      <c r="M15" s="289"/>
      <c r="N15" s="289"/>
      <c r="O15" s="289"/>
      <c r="P15" s="290">
        <f t="shared" si="1"/>
        <v>973</v>
      </c>
    </row>
    <row r="16" spans="1:16" ht="12.75">
      <c r="A16" t="s">
        <v>28</v>
      </c>
      <c r="B16" s="287" t="s">
        <v>27</v>
      </c>
      <c r="C16" s="288" t="s">
        <v>320</v>
      </c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90">
        <f t="shared" si="1"/>
        <v>0</v>
      </c>
    </row>
    <row r="17" spans="1:16" ht="12.75">
      <c r="A17" t="s">
        <v>29</v>
      </c>
      <c r="B17" s="287" t="s">
        <v>28</v>
      </c>
      <c r="C17" s="293" t="s">
        <v>321</v>
      </c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90">
        <f t="shared" si="1"/>
        <v>0</v>
      </c>
    </row>
    <row r="18" spans="1:16" ht="13.5" thickBot="1">
      <c r="A18" t="s">
        <v>30</v>
      </c>
      <c r="B18" s="287" t="s">
        <v>29</v>
      </c>
      <c r="C18" s="288" t="s">
        <v>222</v>
      </c>
      <c r="D18" s="289">
        <f>+D32-D10-D11-D12-D13-D14-D15-D16-D17</f>
        <v>22975</v>
      </c>
      <c r="E18" s="289">
        <f aca="true" t="shared" si="2" ref="E18:O18">+E32-E10-E11-E12-E13-E14-E15-E16-E17</f>
        <v>23975</v>
      </c>
      <c r="F18" s="289">
        <f>+F32-F10-F11-F12-F13-F14-F15-F16-F17</f>
        <v>22984</v>
      </c>
      <c r="G18" s="289">
        <f t="shared" si="2"/>
        <v>23136</v>
      </c>
      <c r="H18" s="289">
        <f t="shared" si="2"/>
        <v>22900</v>
      </c>
      <c r="I18" s="289">
        <f t="shared" si="2"/>
        <v>22900</v>
      </c>
      <c r="J18" s="289">
        <f t="shared" si="2"/>
        <v>24263</v>
      </c>
      <c r="K18" s="289">
        <f t="shared" si="2"/>
        <v>24263</v>
      </c>
      <c r="L18" s="289">
        <f t="shared" si="2"/>
        <v>22763</v>
      </c>
      <c r="M18" s="289">
        <f t="shared" si="2"/>
        <v>23246</v>
      </c>
      <c r="N18" s="289">
        <f t="shared" si="2"/>
        <v>22900</v>
      </c>
      <c r="O18" s="289">
        <f t="shared" si="2"/>
        <v>22719</v>
      </c>
      <c r="P18" s="294">
        <f>SUM(D18:O18)</f>
        <v>279024</v>
      </c>
    </row>
    <row r="19" spans="1:16" ht="13.5" thickBot="1">
      <c r="A19" t="s">
        <v>31</v>
      </c>
      <c r="B19" s="280" t="s">
        <v>30</v>
      </c>
      <c r="C19" s="295" t="s">
        <v>322</v>
      </c>
      <c r="D19" s="296">
        <f>SUM(D10:D18)</f>
        <v>23150</v>
      </c>
      <c r="E19" s="296">
        <f aca="true" t="shared" si="3" ref="E19:O19">SUM(E10:E18)</f>
        <v>24150</v>
      </c>
      <c r="F19" s="296">
        <f t="shared" si="3"/>
        <v>24132</v>
      </c>
      <c r="G19" s="296">
        <f t="shared" si="3"/>
        <v>23311</v>
      </c>
      <c r="H19" s="296">
        <f t="shared" si="3"/>
        <v>23075</v>
      </c>
      <c r="I19" s="296">
        <f t="shared" si="3"/>
        <v>23075</v>
      </c>
      <c r="J19" s="296">
        <f t="shared" si="3"/>
        <v>24438</v>
      </c>
      <c r="K19" s="296">
        <f t="shared" si="3"/>
        <v>24438</v>
      </c>
      <c r="L19" s="296">
        <f t="shared" si="3"/>
        <v>22938</v>
      </c>
      <c r="M19" s="296">
        <f t="shared" si="3"/>
        <v>23421</v>
      </c>
      <c r="N19" s="296">
        <f t="shared" si="3"/>
        <v>23075</v>
      </c>
      <c r="O19" s="296">
        <f t="shared" si="3"/>
        <v>22894</v>
      </c>
      <c r="P19" s="296">
        <f>SUM(P10:P18)</f>
        <v>282097</v>
      </c>
    </row>
    <row r="20" spans="1:16" ht="13.5" thickBot="1">
      <c r="A20" t="s">
        <v>32</v>
      </c>
      <c r="B20" s="280" t="s">
        <v>31</v>
      </c>
      <c r="C20" s="710"/>
      <c r="D20" s="711"/>
      <c r="E20" s="711"/>
      <c r="F20" s="711"/>
      <c r="G20" s="711"/>
      <c r="H20" s="711"/>
      <c r="I20" s="711"/>
      <c r="J20" s="711"/>
      <c r="K20" s="711"/>
      <c r="L20" s="711"/>
      <c r="M20" s="711"/>
      <c r="N20" s="711"/>
      <c r="O20" s="711"/>
      <c r="P20" s="713"/>
    </row>
    <row r="21" spans="1:16" ht="12.75">
      <c r="A21" t="s">
        <v>33</v>
      </c>
      <c r="B21" s="298" t="s">
        <v>32</v>
      </c>
      <c r="C21" s="299" t="s">
        <v>215</v>
      </c>
      <c r="D21" s="292">
        <f>8423+75</f>
        <v>8498</v>
      </c>
      <c r="E21" s="292">
        <f>+D21+350+130+420+1</f>
        <v>9399</v>
      </c>
      <c r="F21" s="292">
        <f>7879+1051+130+420</f>
        <v>9480</v>
      </c>
      <c r="G21" s="292">
        <f>7136+130+420+600</f>
        <v>8286</v>
      </c>
      <c r="H21" s="292">
        <v>8423</v>
      </c>
      <c r="I21" s="292">
        <f>+H21</f>
        <v>8423</v>
      </c>
      <c r="J21" s="292">
        <f>+G21+1500</f>
        <v>9786</v>
      </c>
      <c r="K21" s="292">
        <f>+J21</f>
        <v>9786</v>
      </c>
      <c r="L21" s="292">
        <f>+G21</f>
        <v>8286</v>
      </c>
      <c r="M21" s="292">
        <f>+G21+4971-5279</f>
        <v>7978</v>
      </c>
      <c r="N21" s="292">
        <f>+H21</f>
        <v>8423</v>
      </c>
      <c r="O21" s="292">
        <f>+N21</f>
        <v>8423</v>
      </c>
      <c r="P21" s="300">
        <f>SUM(D21:O21)</f>
        <v>105191</v>
      </c>
    </row>
    <row r="22" spans="1:16" ht="12.75">
      <c r="A22" t="s">
        <v>34</v>
      </c>
      <c r="B22" s="287" t="s">
        <v>33</v>
      </c>
      <c r="C22" s="293" t="s">
        <v>323</v>
      </c>
      <c r="D22" s="289">
        <f>2251+21</f>
        <v>2272</v>
      </c>
      <c r="E22" s="289">
        <f>+D22+100-1</f>
        <v>2371</v>
      </c>
      <c r="F22" s="289">
        <f>2140+32+100</f>
        <v>2272</v>
      </c>
      <c r="G22" s="289">
        <f>+F22+186</f>
        <v>2458</v>
      </c>
      <c r="H22" s="289">
        <v>2272</v>
      </c>
      <c r="I22" s="289">
        <f>+H22</f>
        <v>2272</v>
      </c>
      <c r="J22" s="289">
        <f>+I22</f>
        <v>2272</v>
      </c>
      <c r="K22" s="289">
        <f>+J22</f>
        <v>2272</v>
      </c>
      <c r="L22" s="289">
        <f>+K22</f>
        <v>2272</v>
      </c>
      <c r="M22" s="289">
        <f>+L22+791</f>
        <v>3063</v>
      </c>
      <c r="N22" s="289">
        <f>+K22</f>
        <v>2272</v>
      </c>
      <c r="O22" s="289">
        <f>+N22+2-192</f>
        <v>2082</v>
      </c>
      <c r="P22" s="300">
        <f aca="true" t="shared" si="4" ref="P22:P30">SUM(D22:O22)</f>
        <v>28150</v>
      </c>
    </row>
    <row r="23" spans="1:16" ht="12.75">
      <c r="A23" t="s">
        <v>35</v>
      </c>
      <c r="B23" s="287" t="s">
        <v>34</v>
      </c>
      <c r="C23" s="288" t="s">
        <v>251</v>
      </c>
      <c r="D23" s="289">
        <v>2945</v>
      </c>
      <c r="E23" s="289">
        <f>+D23</f>
        <v>2945</v>
      </c>
      <c r="F23" s="289">
        <f aca="true" t="shared" si="5" ref="F23:N23">+E23</f>
        <v>2945</v>
      </c>
      <c r="G23" s="289">
        <f>+F23+187</f>
        <v>3132</v>
      </c>
      <c r="H23" s="289">
        <v>2945</v>
      </c>
      <c r="I23" s="289">
        <f t="shared" si="5"/>
        <v>2945</v>
      </c>
      <c r="J23" s="289">
        <f t="shared" si="5"/>
        <v>2945</v>
      </c>
      <c r="K23" s="289">
        <f t="shared" si="5"/>
        <v>2945</v>
      </c>
      <c r="L23" s="289">
        <f t="shared" si="5"/>
        <v>2945</v>
      </c>
      <c r="M23" s="289">
        <f t="shared" si="5"/>
        <v>2945</v>
      </c>
      <c r="N23" s="289">
        <f t="shared" si="5"/>
        <v>2945</v>
      </c>
      <c r="O23" s="289">
        <f>+N23+4</f>
        <v>2949</v>
      </c>
      <c r="P23" s="300">
        <f t="shared" si="4"/>
        <v>35531</v>
      </c>
    </row>
    <row r="24" spans="1:16" ht="12.75">
      <c r="A24" t="s">
        <v>36</v>
      </c>
      <c r="B24" s="287" t="s">
        <v>35</v>
      </c>
      <c r="C24" s="288" t="s">
        <v>324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300">
        <f t="shared" si="4"/>
        <v>0</v>
      </c>
    </row>
    <row r="25" spans="1:16" ht="12.75">
      <c r="A25" t="s">
        <v>37</v>
      </c>
      <c r="B25" s="287" t="s">
        <v>36</v>
      </c>
      <c r="C25" s="288" t="s">
        <v>325</v>
      </c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300">
        <f t="shared" si="4"/>
        <v>0</v>
      </c>
    </row>
    <row r="26" spans="1:16" ht="12.75">
      <c r="A26" t="s">
        <v>40</v>
      </c>
      <c r="B26" s="287" t="s">
        <v>37</v>
      </c>
      <c r="C26" s="288" t="s">
        <v>326</v>
      </c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300">
        <f t="shared" si="4"/>
        <v>0</v>
      </c>
    </row>
    <row r="27" spans="1:16" ht="12.75">
      <c r="A27" t="s">
        <v>42</v>
      </c>
      <c r="B27" s="287" t="s">
        <v>40</v>
      </c>
      <c r="C27" s="293" t="s">
        <v>327</v>
      </c>
      <c r="D27" s="289">
        <v>9435</v>
      </c>
      <c r="E27" s="289">
        <f>+D27</f>
        <v>9435</v>
      </c>
      <c r="F27" s="289">
        <f aca="true" t="shared" si="6" ref="F27:N27">+E27</f>
        <v>9435</v>
      </c>
      <c r="G27" s="289">
        <f t="shared" si="6"/>
        <v>9435</v>
      </c>
      <c r="H27" s="289">
        <f t="shared" si="6"/>
        <v>9435</v>
      </c>
      <c r="I27" s="289">
        <f t="shared" si="6"/>
        <v>9435</v>
      </c>
      <c r="J27" s="289">
        <f t="shared" si="6"/>
        <v>9435</v>
      </c>
      <c r="K27" s="289">
        <f t="shared" si="6"/>
        <v>9435</v>
      </c>
      <c r="L27" s="289">
        <f t="shared" si="6"/>
        <v>9435</v>
      </c>
      <c r="M27" s="289">
        <f t="shared" si="6"/>
        <v>9435</v>
      </c>
      <c r="N27" s="289">
        <f t="shared" si="6"/>
        <v>9435</v>
      </c>
      <c r="O27" s="289">
        <f>+N27-4+9</f>
        <v>9440</v>
      </c>
      <c r="P27" s="300">
        <f>SUM(D27:O27)</f>
        <v>113225</v>
      </c>
    </row>
    <row r="28" spans="1:16" ht="12.75">
      <c r="A28" t="s">
        <v>43</v>
      </c>
      <c r="B28" s="287" t="s">
        <v>42</v>
      </c>
      <c r="C28" s="288" t="s">
        <v>328</v>
      </c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300">
        <f t="shared" si="4"/>
        <v>0</v>
      </c>
    </row>
    <row r="29" spans="1:16" ht="12.75">
      <c r="A29" t="s">
        <v>44</v>
      </c>
      <c r="B29" s="287" t="s">
        <v>43</v>
      </c>
      <c r="C29" s="288" t="s">
        <v>329</v>
      </c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300">
        <f t="shared" si="4"/>
        <v>0</v>
      </c>
    </row>
    <row r="30" spans="1:16" ht="12.75">
      <c r="A30" t="s">
        <v>45</v>
      </c>
      <c r="B30" s="287" t="s">
        <v>44</v>
      </c>
      <c r="C30" s="288" t="s">
        <v>330</v>
      </c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300">
        <f t="shared" si="4"/>
        <v>0</v>
      </c>
    </row>
    <row r="31" spans="1:16" ht="13.5" thickBot="1">
      <c r="A31" t="s">
        <v>46</v>
      </c>
      <c r="B31" s="287" t="s">
        <v>45</v>
      </c>
      <c r="C31" s="288" t="s">
        <v>331</v>
      </c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300">
        <f>SUM(D31:O31)</f>
        <v>0</v>
      </c>
    </row>
    <row r="32" spans="1:16" ht="13.5" thickBot="1">
      <c r="A32" t="s">
        <v>47</v>
      </c>
      <c r="B32" s="301" t="s">
        <v>46</v>
      </c>
      <c r="C32" s="295" t="s">
        <v>332</v>
      </c>
      <c r="D32" s="296">
        <f>SUM(D21:D31)</f>
        <v>23150</v>
      </c>
      <c r="E32" s="296">
        <f aca="true" t="shared" si="7" ref="E32:O32">SUM(E21:E31)</f>
        <v>24150</v>
      </c>
      <c r="F32" s="296">
        <f t="shared" si="7"/>
        <v>24132</v>
      </c>
      <c r="G32" s="296">
        <f t="shared" si="7"/>
        <v>23311</v>
      </c>
      <c r="H32" s="296">
        <f t="shared" si="7"/>
        <v>23075</v>
      </c>
      <c r="I32" s="296">
        <f t="shared" si="7"/>
        <v>23075</v>
      </c>
      <c r="J32" s="296">
        <f t="shared" si="7"/>
        <v>24438</v>
      </c>
      <c r="K32" s="296">
        <f t="shared" si="7"/>
        <v>24438</v>
      </c>
      <c r="L32" s="296">
        <f t="shared" si="7"/>
        <v>22938</v>
      </c>
      <c r="M32" s="296">
        <f t="shared" si="7"/>
        <v>23421</v>
      </c>
      <c r="N32" s="296">
        <f t="shared" si="7"/>
        <v>23075</v>
      </c>
      <c r="O32" s="296">
        <f t="shared" si="7"/>
        <v>22894</v>
      </c>
      <c r="P32" s="296">
        <f>SUM(P21:P31)</f>
        <v>282097</v>
      </c>
    </row>
    <row r="33" spans="1:16" ht="13.5" thickBot="1">
      <c r="A33" t="s">
        <v>48</v>
      </c>
      <c r="B33" s="301" t="s">
        <v>47</v>
      </c>
      <c r="C33" s="303" t="s">
        <v>333</v>
      </c>
      <c r="D33" s="304">
        <f>+D19-D32</f>
        <v>0</v>
      </c>
      <c r="E33" s="304">
        <f aca="true" t="shared" si="8" ref="E33:P33">+E19-E32</f>
        <v>0</v>
      </c>
      <c r="F33" s="304">
        <f t="shared" si="8"/>
        <v>0</v>
      </c>
      <c r="G33" s="304">
        <f t="shared" si="8"/>
        <v>0</v>
      </c>
      <c r="H33" s="304">
        <f t="shared" si="8"/>
        <v>0</v>
      </c>
      <c r="I33" s="304">
        <f t="shared" si="8"/>
        <v>0</v>
      </c>
      <c r="J33" s="304">
        <f t="shared" si="8"/>
        <v>0</v>
      </c>
      <c r="K33" s="304">
        <f t="shared" si="8"/>
        <v>0</v>
      </c>
      <c r="L33" s="304">
        <f t="shared" si="8"/>
        <v>0</v>
      </c>
      <c r="M33" s="304">
        <f t="shared" si="8"/>
        <v>0</v>
      </c>
      <c r="N33" s="304">
        <f t="shared" si="8"/>
        <v>0</v>
      </c>
      <c r="O33" s="304">
        <f t="shared" si="8"/>
        <v>0</v>
      </c>
      <c r="P33" s="304">
        <f t="shared" si="8"/>
        <v>0</v>
      </c>
    </row>
    <row r="34" spans="2:16" ht="15.75">
      <c r="B34" s="30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417"/>
    </row>
    <row r="35" spans="2:16" ht="15.75">
      <c r="B35" s="274"/>
      <c r="C35" s="306"/>
      <c r="D35" s="307"/>
      <c r="E35" s="307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4"/>
    </row>
  </sheetData>
  <sheetProtection/>
  <mergeCells count="6">
    <mergeCell ref="C9:P9"/>
    <mergeCell ref="C20:P20"/>
    <mergeCell ref="O1:P1"/>
    <mergeCell ref="B2:P2"/>
    <mergeCell ref="B3:P3"/>
    <mergeCell ref="B5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&amp;L17. melléklet a 2014. évi 6/2014.(III.28.) Önkormányzati költségvetési rendelethez</oddHeader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U23" sqref="U23"/>
    </sheetView>
  </sheetViews>
  <sheetFormatPr defaultColWidth="9.140625" defaultRowHeight="12.75"/>
  <cols>
    <col min="1" max="1" width="3.421875" style="0" customWidth="1"/>
    <col min="2" max="2" width="4.8515625" style="0" bestFit="1" customWidth="1"/>
    <col min="3" max="3" width="35.57421875" style="0" customWidth="1"/>
  </cols>
  <sheetData>
    <row r="1" spans="15:16" ht="12.75">
      <c r="O1" s="714"/>
      <c r="P1" s="714"/>
    </row>
    <row r="2" spans="2:16" ht="15.75">
      <c r="B2" s="715" t="s">
        <v>358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</row>
    <row r="3" spans="2:16" ht="15.75">
      <c r="B3" s="715" t="s">
        <v>426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</row>
    <row r="4" spans="2:16" ht="15.75"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6" t="s">
        <v>299</v>
      </c>
    </row>
    <row r="5" spans="1:16" ht="16.5" thickBot="1">
      <c r="A5" t="s">
        <v>11</v>
      </c>
      <c r="B5" s="431" t="s">
        <v>12</v>
      </c>
      <c r="C5" s="432" t="s">
        <v>13</v>
      </c>
      <c r="D5" s="432" t="s">
        <v>14</v>
      </c>
      <c r="E5" s="432" t="s">
        <v>15</v>
      </c>
      <c r="F5" s="432" t="s">
        <v>16</v>
      </c>
      <c r="G5" s="432" t="s">
        <v>17</v>
      </c>
      <c r="H5" s="432" t="s">
        <v>18</v>
      </c>
      <c r="I5" s="432" t="s">
        <v>63</v>
      </c>
      <c r="J5" s="432" t="s">
        <v>369</v>
      </c>
      <c r="K5" s="432" t="s">
        <v>363</v>
      </c>
      <c r="L5" s="432" t="s">
        <v>364</v>
      </c>
      <c r="M5" s="432" t="s">
        <v>366</v>
      </c>
      <c r="N5" s="432" t="s">
        <v>370</v>
      </c>
      <c r="O5" s="432" t="s">
        <v>371</v>
      </c>
      <c r="P5" s="432" t="s">
        <v>372</v>
      </c>
    </row>
    <row r="6" spans="1:16" ht="24.75" thickBot="1">
      <c r="A6" t="s">
        <v>20</v>
      </c>
      <c r="B6" s="277" t="s">
        <v>300</v>
      </c>
      <c r="C6" s="278" t="s">
        <v>67</v>
      </c>
      <c r="D6" s="278" t="s">
        <v>301</v>
      </c>
      <c r="E6" s="278" t="s">
        <v>302</v>
      </c>
      <c r="F6" s="278" t="s">
        <v>303</v>
      </c>
      <c r="G6" s="278" t="s">
        <v>304</v>
      </c>
      <c r="H6" s="278" t="s">
        <v>305</v>
      </c>
      <c r="I6" s="278" t="s">
        <v>306</v>
      </c>
      <c r="J6" s="278" t="s">
        <v>307</v>
      </c>
      <c r="K6" s="278" t="s">
        <v>308</v>
      </c>
      <c r="L6" s="278" t="s">
        <v>309</v>
      </c>
      <c r="M6" s="278" t="s">
        <v>310</v>
      </c>
      <c r="N6" s="278" t="s">
        <v>311</v>
      </c>
      <c r="O6" s="278" t="s">
        <v>312</v>
      </c>
      <c r="P6" s="279" t="s">
        <v>313</v>
      </c>
    </row>
    <row r="7" spans="1:16" ht="13.5" thickBot="1">
      <c r="A7" t="s">
        <v>21</v>
      </c>
      <c r="B7" s="280" t="s">
        <v>20</v>
      </c>
      <c r="C7" s="710" t="s">
        <v>97</v>
      </c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12"/>
    </row>
    <row r="8" spans="1:16" ht="12.75">
      <c r="A8" t="s">
        <v>22</v>
      </c>
      <c r="B8" s="283" t="s">
        <v>21</v>
      </c>
      <c r="C8" s="284" t="s">
        <v>314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6">
        <f>SUM(D8:O8)</f>
        <v>0</v>
      </c>
    </row>
    <row r="9" spans="1:16" ht="12.75">
      <c r="A9" t="s">
        <v>23</v>
      </c>
      <c r="B9" s="287" t="s">
        <v>22</v>
      </c>
      <c r="C9" s="288" t="s">
        <v>315</v>
      </c>
      <c r="D9" s="289">
        <v>742</v>
      </c>
      <c r="E9" s="289">
        <f>+D9</f>
        <v>742</v>
      </c>
      <c r="F9" s="289">
        <f aca="true" t="shared" si="0" ref="F9:N9">+E9</f>
        <v>742</v>
      </c>
      <c r="G9" s="289">
        <f t="shared" si="0"/>
        <v>742</v>
      </c>
      <c r="H9" s="289">
        <f t="shared" si="0"/>
        <v>742</v>
      </c>
      <c r="I9" s="289">
        <f t="shared" si="0"/>
        <v>742</v>
      </c>
      <c r="J9" s="289">
        <f t="shared" si="0"/>
        <v>742</v>
      </c>
      <c r="K9" s="289">
        <f t="shared" si="0"/>
        <v>742</v>
      </c>
      <c r="L9" s="289">
        <f t="shared" si="0"/>
        <v>742</v>
      </c>
      <c r="M9" s="289">
        <f t="shared" si="0"/>
        <v>742</v>
      </c>
      <c r="N9" s="289">
        <f t="shared" si="0"/>
        <v>742</v>
      </c>
      <c r="O9" s="289">
        <f>+N9-1</f>
        <v>741</v>
      </c>
      <c r="P9" s="290">
        <f aca="true" t="shared" si="1" ref="P9:P15">SUM(D9:O9)</f>
        <v>8903</v>
      </c>
    </row>
    <row r="10" spans="1:16" ht="12.75">
      <c r="A10" t="s">
        <v>24</v>
      </c>
      <c r="B10" s="287" t="s">
        <v>23</v>
      </c>
      <c r="C10" s="291" t="s">
        <v>316</v>
      </c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0">
        <f t="shared" si="1"/>
        <v>0</v>
      </c>
    </row>
    <row r="11" spans="1:16" ht="12.75">
      <c r="A11" t="s">
        <v>25</v>
      </c>
      <c r="B11" s="287" t="s">
        <v>24</v>
      </c>
      <c r="C11" s="288" t="s">
        <v>317</v>
      </c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90">
        <f t="shared" si="1"/>
        <v>0</v>
      </c>
    </row>
    <row r="12" spans="1:16" ht="12.75">
      <c r="A12" t="s">
        <v>26</v>
      </c>
      <c r="B12" s="287" t="s">
        <v>25</v>
      </c>
      <c r="C12" s="288" t="s">
        <v>318</v>
      </c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90">
        <f t="shared" si="1"/>
        <v>0</v>
      </c>
    </row>
    <row r="13" spans="1:16" ht="12.75">
      <c r="A13" t="s">
        <v>27</v>
      </c>
      <c r="B13" s="287" t="s">
        <v>26</v>
      </c>
      <c r="C13" s="288" t="s">
        <v>319</v>
      </c>
      <c r="D13" s="289">
        <v>2708</v>
      </c>
      <c r="E13" s="289">
        <f>+D13</f>
        <v>2708</v>
      </c>
      <c r="F13" s="289">
        <f aca="true" t="shared" si="2" ref="F13:N13">+E13</f>
        <v>2708</v>
      </c>
      <c r="G13" s="289">
        <f t="shared" si="2"/>
        <v>2708</v>
      </c>
      <c r="H13" s="289">
        <f t="shared" si="2"/>
        <v>2708</v>
      </c>
      <c r="I13" s="289">
        <f t="shared" si="2"/>
        <v>2708</v>
      </c>
      <c r="J13" s="289">
        <f t="shared" si="2"/>
        <v>2708</v>
      </c>
      <c r="K13" s="289">
        <f t="shared" si="2"/>
        <v>2708</v>
      </c>
      <c r="L13" s="289">
        <f t="shared" si="2"/>
        <v>2708</v>
      </c>
      <c r="M13" s="289">
        <f t="shared" si="2"/>
        <v>2708</v>
      </c>
      <c r="N13" s="289">
        <f t="shared" si="2"/>
        <v>2708</v>
      </c>
      <c r="O13" s="289">
        <f>+N13+4</f>
        <v>2712</v>
      </c>
      <c r="P13" s="290">
        <f t="shared" si="1"/>
        <v>32500</v>
      </c>
    </row>
    <row r="14" spans="1:16" ht="12.75">
      <c r="A14" t="s">
        <v>28</v>
      </c>
      <c r="B14" s="287" t="s">
        <v>27</v>
      </c>
      <c r="C14" s="288" t="s">
        <v>320</v>
      </c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90">
        <f t="shared" si="1"/>
        <v>0</v>
      </c>
    </row>
    <row r="15" spans="1:16" ht="22.5">
      <c r="A15" t="s">
        <v>29</v>
      </c>
      <c r="B15" s="287" t="s">
        <v>28</v>
      </c>
      <c r="C15" s="293" t="s">
        <v>321</v>
      </c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90">
        <f t="shared" si="1"/>
        <v>0</v>
      </c>
    </row>
    <row r="16" spans="1:16" ht="13.5" thickBot="1">
      <c r="A16" t="s">
        <v>30</v>
      </c>
      <c r="B16" s="287" t="s">
        <v>29</v>
      </c>
      <c r="C16" s="288" t="s">
        <v>222</v>
      </c>
      <c r="D16" s="289">
        <f>+D30-D8-D9-D10-D11-D12-D13-D14-D15</f>
        <v>7496</v>
      </c>
      <c r="E16" s="289">
        <f aca="true" t="shared" si="3" ref="E16:O16">+E30-E8-E9-E10-E11-E12-E13-E14-E15</f>
        <v>7497</v>
      </c>
      <c r="F16" s="289">
        <f t="shared" si="3"/>
        <v>7072</v>
      </c>
      <c r="G16" s="289">
        <f t="shared" si="3"/>
        <v>7072</v>
      </c>
      <c r="H16" s="289">
        <f t="shared" si="3"/>
        <v>7072</v>
      </c>
      <c r="I16" s="289">
        <f t="shared" si="3"/>
        <v>7072</v>
      </c>
      <c r="J16" s="289">
        <f t="shared" si="3"/>
        <v>7072</v>
      </c>
      <c r="K16" s="289">
        <f t="shared" si="3"/>
        <v>7072</v>
      </c>
      <c r="L16" s="289">
        <f t="shared" si="3"/>
        <v>7072</v>
      </c>
      <c r="M16" s="289">
        <f t="shared" si="3"/>
        <v>7072</v>
      </c>
      <c r="N16" s="289">
        <f t="shared" si="3"/>
        <v>7072</v>
      </c>
      <c r="O16" s="289">
        <f t="shared" si="3"/>
        <v>7073</v>
      </c>
      <c r="P16" s="294">
        <f>SUM(D16:O16)</f>
        <v>85714</v>
      </c>
    </row>
    <row r="17" spans="1:16" ht="13.5" thickBot="1">
      <c r="A17" t="s">
        <v>31</v>
      </c>
      <c r="B17" s="280" t="s">
        <v>30</v>
      </c>
      <c r="C17" s="295" t="s">
        <v>322</v>
      </c>
      <c r="D17" s="296">
        <f>SUM(D8:D16)</f>
        <v>10946</v>
      </c>
      <c r="E17" s="296">
        <f aca="true" t="shared" si="4" ref="E17:P17">SUM(E8:E16)</f>
        <v>10947</v>
      </c>
      <c r="F17" s="296">
        <f t="shared" si="4"/>
        <v>10522</v>
      </c>
      <c r="G17" s="296">
        <f t="shared" si="4"/>
        <v>10522</v>
      </c>
      <c r="H17" s="296">
        <f t="shared" si="4"/>
        <v>10522</v>
      </c>
      <c r="I17" s="296">
        <f t="shared" si="4"/>
        <v>10522</v>
      </c>
      <c r="J17" s="296">
        <f t="shared" si="4"/>
        <v>10522</v>
      </c>
      <c r="K17" s="296">
        <f t="shared" si="4"/>
        <v>10522</v>
      </c>
      <c r="L17" s="296">
        <f t="shared" si="4"/>
        <v>10522</v>
      </c>
      <c r="M17" s="296">
        <f t="shared" si="4"/>
        <v>10522</v>
      </c>
      <c r="N17" s="296">
        <f t="shared" si="4"/>
        <v>10522</v>
      </c>
      <c r="O17" s="296">
        <f t="shared" si="4"/>
        <v>10526</v>
      </c>
      <c r="P17" s="296">
        <f t="shared" si="4"/>
        <v>127117</v>
      </c>
    </row>
    <row r="18" spans="1:16" ht="13.5" thickBot="1">
      <c r="A18" t="s">
        <v>32</v>
      </c>
      <c r="B18" s="280" t="s">
        <v>31</v>
      </c>
      <c r="C18" s="710" t="s">
        <v>125</v>
      </c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3"/>
    </row>
    <row r="19" spans="1:16" ht="12.75">
      <c r="A19" t="s">
        <v>33</v>
      </c>
      <c r="B19" s="298" t="s">
        <v>32</v>
      </c>
      <c r="C19" s="299" t="s">
        <v>215</v>
      </c>
      <c r="D19" s="292">
        <f>5542+334</f>
        <v>5876</v>
      </c>
      <c r="E19" s="292">
        <f>+D19+1</f>
        <v>5877</v>
      </c>
      <c r="F19" s="292">
        <v>5542</v>
      </c>
      <c r="G19" s="292">
        <f aca="true" t="shared" si="5" ref="G19:N19">+F19</f>
        <v>5542</v>
      </c>
      <c r="H19" s="292">
        <f t="shared" si="5"/>
        <v>5542</v>
      </c>
      <c r="I19" s="292">
        <f t="shared" si="5"/>
        <v>5542</v>
      </c>
      <c r="J19" s="292">
        <f t="shared" si="5"/>
        <v>5542</v>
      </c>
      <c r="K19" s="292">
        <f t="shared" si="5"/>
        <v>5542</v>
      </c>
      <c r="L19" s="292">
        <f t="shared" si="5"/>
        <v>5542</v>
      </c>
      <c r="M19" s="292">
        <f t="shared" si="5"/>
        <v>5542</v>
      </c>
      <c r="N19" s="292">
        <f t="shared" si="5"/>
        <v>5542</v>
      </c>
      <c r="O19" s="292">
        <f>+N19-2</f>
        <v>5540</v>
      </c>
      <c r="P19" s="300">
        <f>SUM(D19:O19)</f>
        <v>67171</v>
      </c>
    </row>
    <row r="20" spans="1:16" ht="24.75" customHeight="1">
      <c r="A20" t="s">
        <v>34</v>
      </c>
      <c r="B20" s="287" t="s">
        <v>33</v>
      </c>
      <c r="C20" s="293" t="s">
        <v>323</v>
      </c>
      <c r="D20" s="289">
        <f>1482+90</f>
        <v>1572</v>
      </c>
      <c r="E20" s="289">
        <f>+D20</f>
        <v>1572</v>
      </c>
      <c r="F20" s="289">
        <v>1482</v>
      </c>
      <c r="G20" s="289">
        <f aca="true" t="shared" si="6" ref="G20:N20">+F20</f>
        <v>1482</v>
      </c>
      <c r="H20" s="289">
        <f t="shared" si="6"/>
        <v>1482</v>
      </c>
      <c r="I20" s="289">
        <f t="shared" si="6"/>
        <v>1482</v>
      </c>
      <c r="J20" s="289">
        <f t="shared" si="6"/>
        <v>1482</v>
      </c>
      <c r="K20" s="289">
        <f t="shared" si="6"/>
        <v>1482</v>
      </c>
      <c r="L20" s="289">
        <f t="shared" si="6"/>
        <v>1482</v>
      </c>
      <c r="M20" s="289">
        <f t="shared" si="6"/>
        <v>1482</v>
      </c>
      <c r="N20" s="289">
        <f t="shared" si="6"/>
        <v>1482</v>
      </c>
      <c r="O20" s="289">
        <f>+N20+10</f>
        <v>1492</v>
      </c>
      <c r="P20" s="300">
        <f aca="true" t="shared" si="7" ref="P20:P28">SUM(D20:O20)</f>
        <v>17974</v>
      </c>
    </row>
    <row r="21" spans="1:16" ht="12.75">
      <c r="A21" t="s">
        <v>35</v>
      </c>
      <c r="B21" s="287" t="s">
        <v>34</v>
      </c>
      <c r="C21" s="288" t="s">
        <v>251</v>
      </c>
      <c r="D21" s="289">
        <v>3498</v>
      </c>
      <c r="E21" s="289">
        <f>+D21</f>
        <v>3498</v>
      </c>
      <c r="F21" s="289">
        <f aca="true" t="shared" si="8" ref="F21:N21">+E21</f>
        <v>3498</v>
      </c>
      <c r="G21" s="289">
        <f t="shared" si="8"/>
        <v>3498</v>
      </c>
      <c r="H21" s="289">
        <f t="shared" si="8"/>
        <v>3498</v>
      </c>
      <c r="I21" s="289">
        <f t="shared" si="8"/>
        <v>3498</v>
      </c>
      <c r="J21" s="289">
        <f t="shared" si="8"/>
        <v>3498</v>
      </c>
      <c r="K21" s="289">
        <f t="shared" si="8"/>
        <v>3498</v>
      </c>
      <c r="L21" s="289">
        <f t="shared" si="8"/>
        <v>3498</v>
      </c>
      <c r="M21" s="289">
        <f t="shared" si="8"/>
        <v>3498</v>
      </c>
      <c r="N21" s="289">
        <f t="shared" si="8"/>
        <v>3498</v>
      </c>
      <c r="O21" s="289">
        <f>+N21-4</f>
        <v>3494</v>
      </c>
      <c r="P21" s="300">
        <f t="shared" si="7"/>
        <v>41972</v>
      </c>
    </row>
    <row r="22" spans="1:16" ht="12.75">
      <c r="A22" t="s">
        <v>36</v>
      </c>
      <c r="B22" s="287" t="s">
        <v>35</v>
      </c>
      <c r="C22" s="288" t="s">
        <v>324</v>
      </c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300">
        <f t="shared" si="7"/>
        <v>0</v>
      </c>
    </row>
    <row r="23" spans="1:16" ht="12.75">
      <c r="A23" t="s">
        <v>37</v>
      </c>
      <c r="B23" s="287" t="s">
        <v>36</v>
      </c>
      <c r="C23" s="288" t="s">
        <v>325</v>
      </c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300">
        <f t="shared" si="7"/>
        <v>0</v>
      </c>
    </row>
    <row r="24" spans="1:16" ht="12.75">
      <c r="A24" t="s">
        <v>40</v>
      </c>
      <c r="B24" s="287" t="s">
        <v>37</v>
      </c>
      <c r="C24" s="288" t="s">
        <v>326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300">
        <f t="shared" si="7"/>
        <v>0</v>
      </c>
    </row>
    <row r="25" spans="1:16" ht="21" customHeight="1">
      <c r="A25" t="s">
        <v>42</v>
      </c>
      <c r="B25" s="287" t="s">
        <v>40</v>
      </c>
      <c r="C25" s="293" t="s">
        <v>327</v>
      </c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300">
        <f t="shared" si="7"/>
        <v>0</v>
      </c>
    </row>
    <row r="26" spans="1:16" ht="12.75">
      <c r="A26" t="s">
        <v>43</v>
      </c>
      <c r="B26" s="287" t="s">
        <v>42</v>
      </c>
      <c r="C26" s="288" t="s">
        <v>328</v>
      </c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300">
        <f t="shared" si="7"/>
        <v>0</v>
      </c>
    </row>
    <row r="27" spans="1:16" ht="12.75">
      <c r="A27" t="s">
        <v>44</v>
      </c>
      <c r="B27" s="287" t="s">
        <v>43</v>
      </c>
      <c r="C27" s="288" t="s">
        <v>329</v>
      </c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300">
        <f t="shared" si="7"/>
        <v>0</v>
      </c>
    </row>
    <row r="28" spans="1:16" ht="12.75">
      <c r="A28" t="s">
        <v>45</v>
      </c>
      <c r="B28" s="287" t="s">
        <v>44</v>
      </c>
      <c r="C28" s="288" t="s">
        <v>330</v>
      </c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300">
        <f t="shared" si="7"/>
        <v>0</v>
      </c>
    </row>
    <row r="29" spans="1:16" ht="13.5" thickBot="1">
      <c r="A29" t="s">
        <v>46</v>
      </c>
      <c r="B29" s="287" t="s">
        <v>45</v>
      </c>
      <c r="C29" s="288" t="s">
        <v>331</v>
      </c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300">
        <f>SUM(D29:O29)</f>
        <v>0</v>
      </c>
    </row>
    <row r="30" spans="1:16" ht="13.5" thickBot="1">
      <c r="A30" t="s">
        <v>47</v>
      </c>
      <c r="B30" s="301" t="s">
        <v>46</v>
      </c>
      <c r="C30" s="295" t="s">
        <v>332</v>
      </c>
      <c r="D30" s="296">
        <f>SUM(D19:D29)</f>
        <v>10946</v>
      </c>
      <c r="E30" s="296">
        <f aca="true" t="shared" si="9" ref="E30:O30">SUM(E19:E29)</f>
        <v>10947</v>
      </c>
      <c r="F30" s="296">
        <f t="shared" si="9"/>
        <v>10522</v>
      </c>
      <c r="G30" s="296">
        <f t="shared" si="9"/>
        <v>10522</v>
      </c>
      <c r="H30" s="296">
        <f t="shared" si="9"/>
        <v>10522</v>
      </c>
      <c r="I30" s="296">
        <f t="shared" si="9"/>
        <v>10522</v>
      </c>
      <c r="J30" s="296">
        <f t="shared" si="9"/>
        <v>10522</v>
      </c>
      <c r="K30" s="296">
        <f t="shared" si="9"/>
        <v>10522</v>
      </c>
      <c r="L30" s="296">
        <f t="shared" si="9"/>
        <v>10522</v>
      </c>
      <c r="M30" s="296">
        <f t="shared" si="9"/>
        <v>10522</v>
      </c>
      <c r="N30" s="296">
        <f t="shared" si="9"/>
        <v>10522</v>
      </c>
      <c r="O30" s="296">
        <f t="shared" si="9"/>
        <v>10526</v>
      </c>
      <c r="P30" s="302">
        <f>SUM(P19:P29)</f>
        <v>127117</v>
      </c>
    </row>
    <row r="31" spans="1:16" ht="13.5" thickBot="1">
      <c r="A31" t="s">
        <v>48</v>
      </c>
      <c r="B31" s="301" t="s">
        <v>47</v>
      </c>
      <c r="C31" s="303" t="s">
        <v>333</v>
      </c>
      <c r="D31" s="304">
        <f>+D30-D17</f>
        <v>0</v>
      </c>
      <c r="E31" s="304">
        <f aca="true" t="shared" si="10" ref="E31:P31">+E30-E17</f>
        <v>0</v>
      </c>
      <c r="F31" s="304">
        <f t="shared" si="10"/>
        <v>0</v>
      </c>
      <c r="G31" s="304">
        <f t="shared" si="10"/>
        <v>0</v>
      </c>
      <c r="H31" s="304">
        <f t="shared" si="10"/>
        <v>0</v>
      </c>
      <c r="I31" s="304">
        <f t="shared" si="10"/>
        <v>0</v>
      </c>
      <c r="J31" s="304">
        <f t="shared" si="10"/>
        <v>0</v>
      </c>
      <c r="K31" s="304">
        <f t="shared" si="10"/>
        <v>0</v>
      </c>
      <c r="L31" s="304">
        <f t="shared" si="10"/>
        <v>0</v>
      </c>
      <c r="M31" s="304">
        <f t="shared" si="10"/>
        <v>0</v>
      </c>
      <c r="N31" s="304">
        <f t="shared" si="10"/>
        <v>0</v>
      </c>
      <c r="O31" s="304">
        <f t="shared" si="10"/>
        <v>0</v>
      </c>
      <c r="P31" s="304">
        <f t="shared" si="10"/>
        <v>0</v>
      </c>
    </row>
    <row r="32" spans="2:16" ht="15.75">
      <c r="B32" s="30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4"/>
    </row>
    <row r="33" spans="2:16" ht="15.75">
      <c r="B33" s="274"/>
      <c r="C33" s="306"/>
      <c r="D33" s="308"/>
      <c r="E33" s="307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4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&amp;L18. melléklet a 2014. évi 6/2014.(III.28.) Önkormányzati költségvetési rendelethez&amp;R&amp;D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60" zoomScalePageLayoutView="0" workbookViewId="0" topLeftCell="A1">
      <selection activeCell="L33" sqref="L33"/>
    </sheetView>
  </sheetViews>
  <sheetFormatPr defaultColWidth="9.140625" defaultRowHeight="12.75"/>
  <cols>
    <col min="1" max="1" width="5.28125" style="106" customWidth="1"/>
    <col min="2" max="2" width="5.00390625" style="38" customWidth="1"/>
    <col min="3" max="3" width="50.421875" style="38" customWidth="1"/>
    <col min="4" max="4" width="10.8515625" style="38" hidden="1" customWidth="1"/>
    <col min="5" max="5" width="10.8515625" style="38" bestFit="1" customWidth="1"/>
    <col min="6" max="6" width="14.57421875" style="38" customWidth="1"/>
    <col min="7" max="8" width="10.140625" style="38" bestFit="1" customWidth="1"/>
    <col min="9" max="16384" width="9.140625" style="38" customWidth="1"/>
  </cols>
  <sheetData>
    <row r="1" spans="2:6" ht="15.75">
      <c r="B1" s="42"/>
      <c r="C1" s="42"/>
      <c r="D1" s="441" t="s">
        <v>423</v>
      </c>
      <c r="E1" s="40" t="s">
        <v>379</v>
      </c>
      <c r="F1" s="40" t="s">
        <v>379</v>
      </c>
    </row>
    <row r="2" spans="2:6" ht="15.75">
      <c r="B2" s="39"/>
      <c r="C2" s="39" t="s">
        <v>125</v>
      </c>
      <c r="D2" s="441" t="s">
        <v>68</v>
      </c>
      <c r="E2" s="40" t="s">
        <v>68</v>
      </c>
      <c r="F2" s="40" t="s">
        <v>483</v>
      </c>
    </row>
    <row r="3" spans="1:6" s="1" customFormat="1" ht="15.75">
      <c r="A3" s="11" t="s">
        <v>11</v>
      </c>
      <c r="B3" s="39" t="s">
        <v>12</v>
      </c>
      <c r="C3" s="42" t="s">
        <v>13</v>
      </c>
      <c r="E3" s="8" t="s">
        <v>14</v>
      </c>
      <c r="F3" s="8" t="s">
        <v>381</v>
      </c>
    </row>
    <row r="4" spans="2:4" ht="15.75">
      <c r="B4" s="39"/>
      <c r="C4" s="37"/>
      <c r="D4" s="37"/>
    </row>
    <row r="5" spans="1:6" ht="15.75">
      <c r="A5" s="106" t="s">
        <v>20</v>
      </c>
      <c r="B5" s="39"/>
      <c r="C5" s="39" t="s">
        <v>269</v>
      </c>
      <c r="D5" s="107">
        <f>SUM(D7:D12)</f>
        <v>535990</v>
      </c>
      <c r="E5" s="107">
        <f>SUM(E7:E12)</f>
        <v>514345</v>
      </c>
      <c r="F5" s="107">
        <f>SUM(F7:F12)</f>
        <v>556919</v>
      </c>
    </row>
    <row r="6" spans="2:4" ht="15.75">
      <c r="B6" s="39"/>
      <c r="C6" s="37"/>
      <c r="D6" s="37"/>
    </row>
    <row r="7" spans="1:6" ht="24.75" customHeight="1">
      <c r="A7" s="106" t="s">
        <v>21</v>
      </c>
      <c r="B7" s="39" t="s">
        <v>126</v>
      </c>
      <c r="C7" s="37" t="s">
        <v>41</v>
      </c>
      <c r="D7" s="37">
        <v>70809</v>
      </c>
      <c r="E7" s="11">
        <f>+4_mell!G21</f>
        <v>18936</v>
      </c>
      <c r="F7" s="11">
        <f>+4_mell!G22</f>
        <v>58265</v>
      </c>
    </row>
    <row r="8" spans="1:6" ht="24.75" customHeight="1">
      <c r="A8" s="106" t="s">
        <v>22</v>
      </c>
      <c r="B8" s="39" t="s">
        <v>133</v>
      </c>
      <c r="C8" s="37" t="s">
        <v>338</v>
      </c>
      <c r="D8" s="37">
        <v>145321</v>
      </c>
      <c r="E8" s="11">
        <f>+4_mell!G30</f>
        <v>167707</v>
      </c>
      <c r="F8" s="11">
        <f>+4_mell!G31</f>
        <v>168872</v>
      </c>
    </row>
    <row r="9" spans="1:6" ht="24.75" customHeight="1">
      <c r="A9" s="106" t="s">
        <v>23</v>
      </c>
      <c r="B9" s="39" t="s">
        <v>131</v>
      </c>
      <c r="C9" s="108" t="s">
        <v>134</v>
      </c>
      <c r="D9" s="108">
        <v>119002</v>
      </c>
      <c r="E9" s="11">
        <f>+4_mell!G11</f>
        <v>126268</v>
      </c>
      <c r="F9" s="15">
        <f>+4_mell!G12</f>
        <v>127117</v>
      </c>
    </row>
    <row r="10" spans="1:6" ht="24.75" customHeight="1">
      <c r="A10" s="106" t="s">
        <v>24</v>
      </c>
      <c r="B10" s="39" t="s">
        <v>132</v>
      </c>
      <c r="C10" s="37" t="str">
        <f>'[1]2mell_2'!A110</f>
        <v>Városellátó Szervezet</v>
      </c>
      <c r="D10" s="37">
        <v>182110</v>
      </c>
      <c r="E10" s="11">
        <f>+4_mell!G6</f>
        <v>179916</v>
      </c>
      <c r="F10" s="11">
        <f>+4_mell!G7</f>
        <v>181107</v>
      </c>
    </row>
    <row r="11" spans="1:6" ht="24.75" customHeight="1">
      <c r="A11" s="106" t="s">
        <v>25</v>
      </c>
      <c r="B11" s="39" t="s">
        <v>135</v>
      </c>
      <c r="C11" s="108" t="str">
        <f>+'[2]kiadás'!B24</f>
        <v>Városi Művelődési Központ és Könyvtár</v>
      </c>
      <c r="D11" s="108">
        <v>18748</v>
      </c>
      <c r="E11" s="11">
        <f>+4_mell!G16</f>
        <v>21518</v>
      </c>
      <c r="F11" s="11">
        <f>+4_mell!G17</f>
        <v>21558</v>
      </c>
    </row>
    <row r="12" ht="24.75" customHeight="1"/>
    <row r="13" spans="1:6" ht="24.75" customHeight="1">
      <c r="A13" s="106" t="s">
        <v>26</v>
      </c>
      <c r="B13" s="39" t="s">
        <v>136</v>
      </c>
      <c r="C13" s="39" t="s">
        <v>140</v>
      </c>
      <c r="D13" s="107">
        <f>SUM(D14:D15)</f>
        <v>184300</v>
      </c>
      <c r="E13" s="107">
        <f>SUM(E14:E15)</f>
        <v>118339</v>
      </c>
      <c r="F13" s="107">
        <f>SUM(F14:F15)</f>
        <v>118339</v>
      </c>
    </row>
    <row r="14" spans="1:6" ht="24.75" customHeight="1">
      <c r="A14" s="106" t="s">
        <v>27</v>
      </c>
      <c r="B14" s="39"/>
      <c r="C14" s="37" t="s">
        <v>141</v>
      </c>
      <c r="D14" s="37">
        <v>37474</v>
      </c>
      <c r="E14" s="45">
        <f>+6_mell!F31</f>
        <v>23786.5</v>
      </c>
      <c r="F14" s="45">
        <f>+6_mell!F31</f>
        <v>23786.5</v>
      </c>
    </row>
    <row r="15" spans="1:6" ht="24.75" customHeight="1">
      <c r="A15" s="106" t="s">
        <v>28</v>
      </c>
      <c r="B15" s="39"/>
      <c r="C15" s="37" t="s">
        <v>142</v>
      </c>
      <c r="D15" s="37">
        <v>146826</v>
      </c>
      <c r="E15" s="45">
        <f>+6_mell!G31</f>
        <v>94552.5</v>
      </c>
      <c r="F15" s="45">
        <f>+6_mell!G31</f>
        <v>94552.5</v>
      </c>
    </row>
    <row r="16" spans="2:4" ht="24.75" customHeight="1">
      <c r="B16" s="39"/>
      <c r="C16" s="37"/>
      <c r="D16" s="37"/>
    </row>
    <row r="17" spans="1:6" ht="24.75" customHeight="1">
      <c r="A17" s="106" t="s">
        <v>29</v>
      </c>
      <c r="B17" s="39" t="s">
        <v>137</v>
      </c>
      <c r="C17" s="39" t="s">
        <v>143</v>
      </c>
      <c r="D17" s="39">
        <v>18550</v>
      </c>
      <c r="E17" s="15">
        <f>+5_mell!C30</f>
        <v>26169</v>
      </c>
      <c r="F17" s="15">
        <f>+5_mell!D30</f>
        <v>26169</v>
      </c>
    </row>
    <row r="18" spans="2:4" ht="24.75" customHeight="1">
      <c r="B18" s="39"/>
      <c r="C18" s="39"/>
      <c r="D18" s="39"/>
    </row>
    <row r="19" spans="1:6" ht="24.75" customHeight="1">
      <c r="A19" s="106" t="s">
        <v>30</v>
      </c>
      <c r="B19" s="39" t="s">
        <v>138</v>
      </c>
      <c r="C19" s="39" t="s">
        <v>144</v>
      </c>
      <c r="D19" s="39">
        <v>3000</v>
      </c>
      <c r="E19" s="15">
        <f>+5_mell!C34</f>
        <v>3000</v>
      </c>
      <c r="F19" s="15">
        <f>+5_mell!D32</f>
        <v>3000</v>
      </c>
    </row>
    <row r="20" spans="2:4" ht="24.75" customHeight="1">
      <c r="B20" s="39"/>
      <c r="C20" s="37"/>
      <c r="D20" s="37"/>
    </row>
    <row r="21" spans="1:6" ht="24.75" customHeight="1">
      <c r="A21" s="106" t="s">
        <v>31</v>
      </c>
      <c r="B21" s="39" t="s">
        <v>139</v>
      </c>
      <c r="C21" s="39" t="s">
        <v>145</v>
      </c>
      <c r="D21" s="107">
        <f>SUM(D22:D23)</f>
        <v>0</v>
      </c>
      <c r="E21" s="107">
        <f>SUM(E22:E23)</f>
        <v>35878</v>
      </c>
      <c r="F21" s="107">
        <f>SUM(F22:F23)</f>
        <v>67284</v>
      </c>
    </row>
    <row r="22" spans="1:6" ht="24.75" customHeight="1">
      <c r="A22" s="106" t="s">
        <v>32</v>
      </c>
      <c r="B22" s="39"/>
      <c r="C22" s="37" t="s">
        <v>146</v>
      </c>
      <c r="D22" s="37">
        <v>0</v>
      </c>
      <c r="E22" s="43">
        <f>+7_mell!C13</f>
        <v>22241</v>
      </c>
      <c r="F22" s="43">
        <f>+7_mell!D13</f>
        <v>53647</v>
      </c>
    </row>
    <row r="23" spans="1:6" ht="24.75" customHeight="1">
      <c r="A23" s="106" t="s">
        <v>33</v>
      </c>
      <c r="B23" s="39"/>
      <c r="C23" s="37" t="s">
        <v>147</v>
      </c>
      <c r="D23" s="37">
        <v>0</v>
      </c>
      <c r="E23" s="38">
        <f>+7_mell!C19</f>
        <v>13637</v>
      </c>
      <c r="F23" s="38">
        <f>+7_mell!D19</f>
        <v>13637</v>
      </c>
    </row>
    <row r="24" spans="2:4" ht="12" customHeight="1">
      <c r="B24" s="39"/>
      <c r="C24" s="37"/>
      <c r="D24" s="37"/>
    </row>
    <row r="25" spans="1:6" ht="15.75" hidden="1">
      <c r="A25" s="106" t="s">
        <v>34</v>
      </c>
      <c r="B25" s="39" t="s">
        <v>418</v>
      </c>
      <c r="C25" s="39" t="s">
        <v>419</v>
      </c>
      <c r="D25" s="39">
        <f>SUM(D26:D28)</f>
        <v>25458</v>
      </c>
      <c r="E25" s="39">
        <f>SUM(E26:E28)</f>
        <v>0</v>
      </c>
      <c r="F25" s="39"/>
    </row>
    <row r="26" spans="2:4" ht="15.75" hidden="1">
      <c r="B26" s="39"/>
      <c r="C26" s="37" t="s">
        <v>420</v>
      </c>
      <c r="D26" s="37">
        <v>1050</v>
      </c>
    </row>
    <row r="27" spans="2:4" ht="15.75" hidden="1">
      <c r="B27" s="39"/>
      <c r="C27" s="37" t="s">
        <v>421</v>
      </c>
      <c r="D27" s="37">
        <v>16272</v>
      </c>
    </row>
    <row r="28" spans="2:4" ht="15.75" hidden="1">
      <c r="B28" s="39"/>
      <c r="C28" s="37" t="s">
        <v>422</v>
      </c>
      <c r="D28" s="37">
        <v>8136</v>
      </c>
    </row>
    <row r="29" spans="2:4" ht="15.75" hidden="1">
      <c r="B29" s="39"/>
      <c r="C29" s="37"/>
      <c r="D29" s="37"/>
    </row>
    <row r="30" spans="2:4" ht="15.75" hidden="1">
      <c r="B30" s="39"/>
      <c r="C30" s="37"/>
      <c r="D30" s="37"/>
    </row>
    <row r="31" spans="1:6" s="1" customFormat="1" ht="24.75" customHeight="1">
      <c r="A31" s="106" t="s">
        <v>34</v>
      </c>
      <c r="C31" s="39" t="s">
        <v>148</v>
      </c>
      <c r="D31" s="12">
        <f>+D21+D19+D17+D13+D5+D25</f>
        <v>767298</v>
      </c>
      <c r="E31" s="12">
        <f>+E21+E19+E17+E13+E5+E25</f>
        <v>697731</v>
      </c>
      <c r="F31" s="12">
        <f>+F21+F19+F17+F13+F5+F25</f>
        <v>771711</v>
      </c>
    </row>
    <row r="32" ht="24.75" customHeight="1"/>
    <row r="33" spans="1:6" ht="24.75" customHeight="1">
      <c r="A33" s="106" t="s">
        <v>35</v>
      </c>
      <c r="B33" s="39"/>
      <c r="C33" s="39" t="s">
        <v>38</v>
      </c>
      <c r="D33" s="45"/>
      <c r="E33" s="45">
        <f>+E31</f>
        <v>697731</v>
      </c>
      <c r="F33" s="45">
        <f>+F31</f>
        <v>771711</v>
      </c>
    </row>
    <row r="34" spans="1:6" ht="24.75" customHeight="1">
      <c r="A34" s="106" t="s">
        <v>36</v>
      </c>
      <c r="B34" s="39"/>
      <c r="C34" s="37" t="s">
        <v>149</v>
      </c>
      <c r="D34" s="37"/>
      <c r="E34" s="43">
        <f>+1_mell!E54</f>
        <v>697731</v>
      </c>
      <c r="F34" s="43">
        <f>+1_mell!F54</f>
        <v>771711</v>
      </c>
    </row>
    <row r="36" spans="5:6" ht="15">
      <c r="E36" s="265">
        <f>+E34-E33</f>
        <v>0</v>
      </c>
      <c r="F36" s="265"/>
    </row>
    <row r="38" spans="5:6" ht="15">
      <c r="E38" s="265" t="s">
        <v>444</v>
      </c>
      <c r="F38" s="26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&amp;L2. melléklet a 2014. évi 6/2014.(III.28.) Önkormányzati költségvetési rendelethez&amp;R&amp;D</oddHeader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Q47" sqref="Q47"/>
    </sheetView>
  </sheetViews>
  <sheetFormatPr defaultColWidth="9.140625" defaultRowHeight="12.75"/>
  <cols>
    <col min="1" max="1" width="5.57421875" style="0" customWidth="1"/>
    <col min="2" max="2" width="4.8515625" style="0" bestFit="1" customWidth="1"/>
    <col min="3" max="3" width="35.57421875" style="0" customWidth="1"/>
  </cols>
  <sheetData>
    <row r="1" spans="15:16" ht="12.75">
      <c r="O1" s="714"/>
      <c r="P1" s="714"/>
    </row>
    <row r="2" spans="2:16" ht="15.75">
      <c r="B2" s="715" t="s">
        <v>359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</row>
    <row r="3" spans="2:16" ht="15.75">
      <c r="B3" s="715" t="s">
        <v>426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</row>
    <row r="4" spans="2:16" ht="15.75"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6" t="s">
        <v>299</v>
      </c>
    </row>
    <row r="5" spans="1:16" ht="16.5" thickBot="1">
      <c r="A5" t="s">
        <v>11</v>
      </c>
      <c r="B5" s="431" t="s">
        <v>12</v>
      </c>
      <c r="C5" s="432" t="s">
        <v>13</v>
      </c>
      <c r="D5" s="432" t="s">
        <v>14</v>
      </c>
      <c r="E5" s="432" t="s">
        <v>15</v>
      </c>
      <c r="F5" s="432" t="s">
        <v>16</v>
      </c>
      <c r="G5" s="432" t="s">
        <v>17</v>
      </c>
      <c r="H5" s="432" t="s">
        <v>18</v>
      </c>
      <c r="I5" s="432" t="s">
        <v>63</v>
      </c>
      <c r="J5" s="432" t="s">
        <v>369</v>
      </c>
      <c r="K5" s="432" t="s">
        <v>363</v>
      </c>
      <c r="L5" s="432" t="s">
        <v>364</v>
      </c>
      <c r="M5" s="432" t="s">
        <v>366</v>
      </c>
      <c r="N5" s="432" t="s">
        <v>370</v>
      </c>
      <c r="O5" s="432" t="s">
        <v>371</v>
      </c>
      <c r="P5" s="432" t="s">
        <v>372</v>
      </c>
    </row>
    <row r="6" spans="1:16" ht="24.75" thickBot="1">
      <c r="A6" t="s">
        <v>20</v>
      </c>
      <c r="B6" s="277" t="s">
        <v>300</v>
      </c>
      <c r="C6" s="278" t="s">
        <v>67</v>
      </c>
      <c r="D6" s="278" t="s">
        <v>301</v>
      </c>
      <c r="E6" s="278" t="s">
        <v>302</v>
      </c>
      <c r="F6" s="278" t="s">
        <v>303</v>
      </c>
      <c r="G6" s="278" t="s">
        <v>304</v>
      </c>
      <c r="H6" s="278" t="s">
        <v>305</v>
      </c>
      <c r="I6" s="278" t="s">
        <v>306</v>
      </c>
      <c r="J6" s="278" t="s">
        <v>307</v>
      </c>
      <c r="K6" s="278" t="s">
        <v>308</v>
      </c>
      <c r="L6" s="278" t="s">
        <v>309</v>
      </c>
      <c r="M6" s="278" t="s">
        <v>310</v>
      </c>
      <c r="N6" s="278" t="s">
        <v>311</v>
      </c>
      <c r="O6" s="278" t="s">
        <v>312</v>
      </c>
      <c r="P6" s="279" t="s">
        <v>313</v>
      </c>
    </row>
    <row r="7" spans="1:16" ht="13.5" thickBot="1">
      <c r="A7" t="s">
        <v>21</v>
      </c>
      <c r="B7" s="280" t="s">
        <v>20</v>
      </c>
      <c r="C7" s="710" t="s">
        <v>97</v>
      </c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12"/>
    </row>
    <row r="8" spans="1:16" ht="12.75">
      <c r="A8" t="s">
        <v>22</v>
      </c>
      <c r="B8" s="283" t="s">
        <v>21</v>
      </c>
      <c r="C8" s="284" t="s">
        <v>314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6">
        <f>SUM(D8:O8)</f>
        <v>0</v>
      </c>
    </row>
    <row r="9" spans="1:16" ht="12.75">
      <c r="A9" t="s">
        <v>23</v>
      </c>
      <c r="B9" s="287" t="s">
        <v>22</v>
      </c>
      <c r="C9" s="288" t="s">
        <v>315</v>
      </c>
      <c r="D9" s="289">
        <v>7147</v>
      </c>
      <c r="E9" s="289">
        <f>+D9</f>
        <v>7147</v>
      </c>
      <c r="F9" s="289">
        <f aca="true" t="shared" si="0" ref="F9:N9">+E9</f>
        <v>7147</v>
      </c>
      <c r="G9" s="289">
        <f t="shared" si="0"/>
        <v>7147</v>
      </c>
      <c r="H9" s="289">
        <f t="shared" si="0"/>
        <v>7147</v>
      </c>
      <c r="I9" s="289">
        <f t="shared" si="0"/>
        <v>7147</v>
      </c>
      <c r="J9" s="289">
        <f t="shared" si="0"/>
        <v>7147</v>
      </c>
      <c r="K9" s="289">
        <f t="shared" si="0"/>
        <v>7147</v>
      </c>
      <c r="L9" s="289">
        <f t="shared" si="0"/>
        <v>7147</v>
      </c>
      <c r="M9" s="289">
        <f t="shared" si="0"/>
        <v>7147</v>
      </c>
      <c r="N9" s="289">
        <f t="shared" si="0"/>
        <v>7147</v>
      </c>
      <c r="O9" s="289">
        <f>+N9+4</f>
        <v>7151</v>
      </c>
      <c r="P9" s="290">
        <f>SUM(D9:O9)</f>
        <v>85768</v>
      </c>
    </row>
    <row r="10" spans="1:16" ht="12.75">
      <c r="A10" t="s">
        <v>24</v>
      </c>
      <c r="B10" s="287" t="s">
        <v>23</v>
      </c>
      <c r="C10" s="291" t="s">
        <v>316</v>
      </c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0">
        <f aca="true" t="shared" si="1" ref="P10:P16">SUM(D10:O10)</f>
        <v>0</v>
      </c>
    </row>
    <row r="11" spans="1:16" ht="12.75">
      <c r="A11" t="s">
        <v>25</v>
      </c>
      <c r="B11" s="287" t="s">
        <v>24</v>
      </c>
      <c r="C11" s="288" t="s">
        <v>317</v>
      </c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90">
        <f t="shared" si="1"/>
        <v>0</v>
      </c>
    </row>
    <row r="12" spans="1:16" ht="12.75">
      <c r="A12" t="s">
        <v>26</v>
      </c>
      <c r="B12" s="287" t="s">
        <v>25</v>
      </c>
      <c r="C12" s="288" t="s">
        <v>318</v>
      </c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90">
        <f t="shared" si="1"/>
        <v>0</v>
      </c>
    </row>
    <row r="13" spans="1:16" ht="12.75">
      <c r="A13" t="s">
        <v>27</v>
      </c>
      <c r="B13" s="287" t="s">
        <v>26</v>
      </c>
      <c r="C13" s="288" t="s">
        <v>319</v>
      </c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90">
        <f t="shared" si="1"/>
        <v>0</v>
      </c>
    </row>
    <row r="14" spans="1:16" ht="12.75">
      <c r="A14" t="s">
        <v>28</v>
      </c>
      <c r="B14" s="287" t="s">
        <v>27</v>
      </c>
      <c r="C14" s="288" t="s">
        <v>320</v>
      </c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90">
        <f t="shared" si="1"/>
        <v>0</v>
      </c>
    </row>
    <row r="15" spans="1:16" ht="22.5">
      <c r="A15" t="s">
        <v>29</v>
      </c>
      <c r="B15" s="287" t="s">
        <v>28</v>
      </c>
      <c r="C15" s="293" t="s">
        <v>321</v>
      </c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90">
        <f t="shared" si="1"/>
        <v>0</v>
      </c>
    </row>
    <row r="16" spans="1:16" ht="13.5" thickBot="1">
      <c r="A16" t="s">
        <v>30</v>
      </c>
      <c r="B16" s="287" t="s">
        <v>29</v>
      </c>
      <c r="C16" s="288" t="s">
        <v>222</v>
      </c>
      <c r="D16" s="289">
        <f>+D30-D8-D9-D10-D11-D12-D13-D14</f>
        <v>7991</v>
      </c>
      <c r="E16" s="289">
        <f aca="true" t="shared" si="2" ref="E16:O16">+E30-E8-E9-E10-E11-E12-E13-E14</f>
        <v>7992</v>
      </c>
      <c r="F16" s="289">
        <f t="shared" si="2"/>
        <v>7846</v>
      </c>
      <c r="G16" s="289">
        <f t="shared" si="2"/>
        <v>7846</v>
      </c>
      <c r="H16" s="289">
        <f t="shared" si="2"/>
        <v>8746</v>
      </c>
      <c r="I16" s="289">
        <f t="shared" si="2"/>
        <v>7846</v>
      </c>
      <c r="J16" s="289">
        <f t="shared" si="2"/>
        <v>7846</v>
      </c>
      <c r="K16" s="289">
        <f t="shared" si="2"/>
        <v>7846</v>
      </c>
      <c r="L16" s="289">
        <f t="shared" si="2"/>
        <v>7846</v>
      </c>
      <c r="M16" s="289">
        <f t="shared" si="2"/>
        <v>7846</v>
      </c>
      <c r="N16" s="289">
        <f t="shared" si="2"/>
        <v>7846</v>
      </c>
      <c r="O16" s="289">
        <f t="shared" si="2"/>
        <v>7842</v>
      </c>
      <c r="P16" s="290">
        <f t="shared" si="1"/>
        <v>95339</v>
      </c>
    </row>
    <row r="17" spans="1:16" ht="13.5" thickBot="1">
      <c r="A17" t="s">
        <v>31</v>
      </c>
      <c r="B17" s="280" t="s">
        <v>30</v>
      </c>
      <c r="C17" s="295" t="s">
        <v>322</v>
      </c>
      <c r="D17" s="296">
        <f>SUM(D8:D16)</f>
        <v>15138</v>
      </c>
      <c r="E17" s="296">
        <f aca="true" t="shared" si="3" ref="E17:P17">SUM(E8:E16)</f>
        <v>15139</v>
      </c>
      <c r="F17" s="296">
        <f t="shared" si="3"/>
        <v>14993</v>
      </c>
      <c r="G17" s="296">
        <f t="shared" si="3"/>
        <v>14993</v>
      </c>
      <c r="H17" s="296">
        <f t="shared" si="3"/>
        <v>15893</v>
      </c>
      <c r="I17" s="296">
        <f t="shared" si="3"/>
        <v>14993</v>
      </c>
      <c r="J17" s="296">
        <f t="shared" si="3"/>
        <v>14993</v>
      </c>
      <c r="K17" s="296">
        <f t="shared" si="3"/>
        <v>14993</v>
      </c>
      <c r="L17" s="296">
        <f t="shared" si="3"/>
        <v>14993</v>
      </c>
      <c r="M17" s="296">
        <f t="shared" si="3"/>
        <v>14993</v>
      </c>
      <c r="N17" s="296">
        <f t="shared" si="3"/>
        <v>14993</v>
      </c>
      <c r="O17" s="296">
        <f t="shared" si="3"/>
        <v>14993</v>
      </c>
      <c r="P17" s="296">
        <f t="shared" si="3"/>
        <v>181107</v>
      </c>
    </row>
    <row r="18" spans="1:16" ht="13.5" thickBot="1">
      <c r="A18" t="s">
        <v>32</v>
      </c>
      <c r="B18" s="280" t="s">
        <v>31</v>
      </c>
      <c r="C18" s="710" t="s">
        <v>125</v>
      </c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3"/>
    </row>
    <row r="19" spans="1:16" ht="12.75">
      <c r="A19" t="s">
        <v>33</v>
      </c>
      <c r="B19" s="298" t="s">
        <v>32</v>
      </c>
      <c r="C19" s="299" t="s">
        <v>215</v>
      </c>
      <c r="D19" s="292">
        <f>3508+114</f>
        <v>3622</v>
      </c>
      <c r="E19" s="292">
        <f>+D19+1</f>
        <v>3623</v>
      </c>
      <c r="F19" s="292">
        <v>3508</v>
      </c>
      <c r="G19" s="292">
        <f aca="true" t="shared" si="4" ref="G19:N19">+F19</f>
        <v>3508</v>
      </c>
      <c r="H19" s="292">
        <f t="shared" si="4"/>
        <v>3508</v>
      </c>
      <c r="I19" s="292">
        <f t="shared" si="4"/>
        <v>3508</v>
      </c>
      <c r="J19" s="292">
        <f t="shared" si="4"/>
        <v>3508</v>
      </c>
      <c r="K19" s="292">
        <f t="shared" si="4"/>
        <v>3508</v>
      </c>
      <c r="L19" s="292">
        <f t="shared" si="4"/>
        <v>3508</v>
      </c>
      <c r="M19" s="292">
        <f t="shared" si="4"/>
        <v>3508</v>
      </c>
      <c r="N19" s="292">
        <f t="shared" si="4"/>
        <v>3508</v>
      </c>
      <c r="O19" s="292">
        <f>+N19+1</f>
        <v>3509</v>
      </c>
      <c r="P19" s="300">
        <f>SUM(D19:O19)</f>
        <v>42326</v>
      </c>
    </row>
    <row r="20" spans="1:16" ht="24.75" customHeight="1">
      <c r="A20" t="s">
        <v>34</v>
      </c>
      <c r="B20" s="287" t="s">
        <v>33</v>
      </c>
      <c r="C20" s="293" t="s">
        <v>323</v>
      </c>
      <c r="D20" s="289">
        <f>948+31</f>
        <v>979</v>
      </c>
      <c r="E20" s="289">
        <f>+D20</f>
        <v>979</v>
      </c>
      <c r="F20" s="289">
        <v>948</v>
      </c>
      <c r="G20" s="289">
        <f aca="true" t="shared" si="5" ref="G20:N20">+F20</f>
        <v>948</v>
      </c>
      <c r="H20" s="289">
        <f t="shared" si="5"/>
        <v>948</v>
      </c>
      <c r="I20" s="289">
        <f t="shared" si="5"/>
        <v>948</v>
      </c>
      <c r="J20" s="289">
        <f t="shared" si="5"/>
        <v>948</v>
      </c>
      <c r="K20" s="289">
        <f t="shared" si="5"/>
        <v>948</v>
      </c>
      <c r="L20" s="289">
        <f t="shared" si="5"/>
        <v>948</v>
      </c>
      <c r="M20" s="289">
        <f t="shared" si="5"/>
        <v>948</v>
      </c>
      <c r="N20" s="289">
        <f t="shared" si="5"/>
        <v>948</v>
      </c>
      <c r="O20" s="289">
        <f>+N20</f>
        <v>948</v>
      </c>
      <c r="P20" s="300">
        <f>SUM(D20:O20)</f>
        <v>11438</v>
      </c>
    </row>
    <row r="21" spans="1:16" ht="12.75">
      <c r="A21" t="s">
        <v>35</v>
      </c>
      <c r="B21" s="287" t="s">
        <v>34</v>
      </c>
      <c r="C21" s="288" t="s">
        <v>251</v>
      </c>
      <c r="D21" s="289">
        <v>10537</v>
      </c>
      <c r="E21" s="289">
        <f>+D21</f>
        <v>10537</v>
      </c>
      <c r="F21" s="289">
        <f aca="true" t="shared" si="6" ref="F21:N21">+E21</f>
        <v>10537</v>
      </c>
      <c r="G21" s="289">
        <f t="shared" si="6"/>
        <v>10537</v>
      </c>
      <c r="H21" s="289">
        <f>+G21+900</f>
        <v>11437</v>
      </c>
      <c r="I21" s="289">
        <f>+F21</f>
        <v>10537</v>
      </c>
      <c r="J21" s="289">
        <f t="shared" si="6"/>
        <v>10537</v>
      </c>
      <c r="K21" s="289">
        <f t="shared" si="6"/>
        <v>10537</v>
      </c>
      <c r="L21" s="289">
        <f t="shared" si="6"/>
        <v>10537</v>
      </c>
      <c r="M21" s="289">
        <f t="shared" si="6"/>
        <v>10537</v>
      </c>
      <c r="N21" s="289">
        <f t="shared" si="6"/>
        <v>10537</v>
      </c>
      <c r="O21" s="289">
        <f>+N21-1</f>
        <v>10536</v>
      </c>
      <c r="P21" s="300">
        <f aca="true" t="shared" si="7" ref="P21:P28">SUM(D21:O21)</f>
        <v>127343</v>
      </c>
    </row>
    <row r="22" spans="1:16" ht="12.75">
      <c r="A22" t="s">
        <v>36</v>
      </c>
      <c r="B22" s="287" t="s">
        <v>35</v>
      </c>
      <c r="C22" s="288" t="s">
        <v>324</v>
      </c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300">
        <f t="shared" si="7"/>
        <v>0</v>
      </c>
    </row>
    <row r="23" spans="1:16" ht="12.75">
      <c r="A23" t="s">
        <v>37</v>
      </c>
      <c r="B23" s="287" t="s">
        <v>36</v>
      </c>
      <c r="C23" s="288" t="s">
        <v>325</v>
      </c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300">
        <f t="shared" si="7"/>
        <v>0</v>
      </c>
    </row>
    <row r="24" spans="1:16" ht="12.75">
      <c r="A24" t="s">
        <v>40</v>
      </c>
      <c r="B24" s="287" t="s">
        <v>37</v>
      </c>
      <c r="C24" s="288" t="s">
        <v>326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300">
        <f t="shared" si="7"/>
        <v>0</v>
      </c>
    </row>
    <row r="25" spans="1:16" ht="21" customHeight="1">
      <c r="A25" t="s">
        <v>42</v>
      </c>
      <c r="B25" s="287" t="s">
        <v>40</v>
      </c>
      <c r="C25" s="293" t="s">
        <v>327</v>
      </c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300">
        <f t="shared" si="7"/>
        <v>0</v>
      </c>
    </row>
    <row r="26" spans="1:16" ht="12.75">
      <c r="A26" t="s">
        <v>43</v>
      </c>
      <c r="B26" s="287" t="s">
        <v>42</v>
      </c>
      <c r="C26" s="288" t="s">
        <v>328</v>
      </c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300">
        <f t="shared" si="7"/>
        <v>0</v>
      </c>
    </row>
    <row r="27" spans="1:16" ht="12.75">
      <c r="A27" t="s">
        <v>44</v>
      </c>
      <c r="B27" s="287" t="s">
        <v>43</v>
      </c>
      <c r="C27" s="288" t="s">
        <v>329</v>
      </c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300">
        <f t="shared" si="7"/>
        <v>0</v>
      </c>
    </row>
    <row r="28" spans="1:16" ht="12.75">
      <c r="A28" t="s">
        <v>45</v>
      </c>
      <c r="B28" s="287" t="s">
        <v>44</v>
      </c>
      <c r="C28" s="288" t="s">
        <v>330</v>
      </c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300">
        <f t="shared" si="7"/>
        <v>0</v>
      </c>
    </row>
    <row r="29" spans="1:16" ht="13.5" thickBot="1">
      <c r="A29" t="s">
        <v>46</v>
      </c>
      <c r="B29" s="287" t="s">
        <v>45</v>
      </c>
      <c r="C29" s="288" t="s">
        <v>331</v>
      </c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300">
        <f>SUM(D29:O29)</f>
        <v>0</v>
      </c>
    </row>
    <row r="30" spans="1:16" ht="13.5" thickBot="1">
      <c r="A30" t="s">
        <v>47</v>
      </c>
      <c r="B30" s="301" t="s">
        <v>46</v>
      </c>
      <c r="C30" s="295" t="s">
        <v>332</v>
      </c>
      <c r="D30" s="296">
        <f>SUM(D19:D29)</f>
        <v>15138</v>
      </c>
      <c r="E30" s="296">
        <f aca="true" t="shared" si="8" ref="E30:O30">SUM(E19:E29)</f>
        <v>15139</v>
      </c>
      <c r="F30" s="296">
        <f t="shared" si="8"/>
        <v>14993</v>
      </c>
      <c r="G30" s="296">
        <f t="shared" si="8"/>
        <v>14993</v>
      </c>
      <c r="H30" s="296">
        <f t="shared" si="8"/>
        <v>15893</v>
      </c>
      <c r="I30" s="296">
        <f t="shared" si="8"/>
        <v>14993</v>
      </c>
      <c r="J30" s="296">
        <f t="shared" si="8"/>
        <v>14993</v>
      </c>
      <c r="K30" s="296">
        <f t="shared" si="8"/>
        <v>14993</v>
      </c>
      <c r="L30" s="296">
        <f t="shared" si="8"/>
        <v>14993</v>
      </c>
      <c r="M30" s="296">
        <f t="shared" si="8"/>
        <v>14993</v>
      </c>
      <c r="N30" s="296">
        <f t="shared" si="8"/>
        <v>14993</v>
      </c>
      <c r="O30" s="296">
        <f t="shared" si="8"/>
        <v>14993</v>
      </c>
      <c r="P30" s="302">
        <f>SUM(P19:P29)</f>
        <v>181107</v>
      </c>
    </row>
    <row r="31" spans="1:16" ht="13.5" thickBot="1">
      <c r="A31" t="s">
        <v>48</v>
      </c>
      <c r="B31" s="301" t="s">
        <v>47</v>
      </c>
      <c r="C31" s="303" t="s">
        <v>333</v>
      </c>
      <c r="D31" s="304">
        <f>+D30-D17</f>
        <v>0</v>
      </c>
      <c r="E31" s="304">
        <f aca="true" t="shared" si="9" ref="E31:P31">+E30-E17</f>
        <v>0</v>
      </c>
      <c r="F31" s="304">
        <f t="shared" si="9"/>
        <v>0</v>
      </c>
      <c r="G31" s="304">
        <f t="shared" si="9"/>
        <v>0</v>
      </c>
      <c r="H31" s="304">
        <f t="shared" si="9"/>
        <v>0</v>
      </c>
      <c r="I31" s="304">
        <f t="shared" si="9"/>
        <v>0</v>
      </c>
      <c r="J31" s="304">
        <f t="shared" si="9"/>
        <v>0</v>
      </c>
      <c r="K31" s="304">
        <f t="shared" si="9"/>
        <v>0</v>
      </c>
      <c r="L31" s="304">
        <f t="shared" si="9"/>
        <v>0</v>
      </c>
      <c r="M31" s="304">
        <f t="shared" si="9"/>
        <v>0</v>
      </c>
      <c r="N31" s="304">
        <f t="shared" si="9"/>
        <v>0</v>
      </c>
      <c r="O31" s="304">
        <f t="shared" si="9"/>
        <v>0</v>
      </c>
      <c r="P31" s="304">
        <f t="shared" si="9"/>
        <v>0</v>
      </c>
    </row>
    <row r="32" spans="2:16" ht="15.75">
      <c r="B32" s="30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4"/>
    </row>
    <row r="33" spans="2:16" ht="15.75">
      <c r="B33" s="274"/>
      <c r="C33" s="306"/>
      <c r="D33" s="308">
        <f>-D31</f>
        <v>0</v>
      </c>
      <c r="E33" s="307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4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&amp;L19. melléklet a 2014. évi 6/2014.(III.28.) Önkormányzati költségvetési rendelethez&amp;R&amp;D</oddHeader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3" width="35.57421875" style="0" customWidth="1"/>
  </cols>
  <sheetData>
    <row r="1" spans="15:16" ht="12.75">
      <c r="O1" s="714"/>
      <c r="P1" s="714"/>
    </row>
    <row r="2" spans="2:16" ht="15.75">
      <c r="B2" s="715" t="s">
        <v>360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</row>
    <row r="3" spans="2:16" ht="15.75">
      <c r="B3" s="715" t="s">
        <v>426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</row>
    <row r="4" spans="2:16" ht="15.75"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6" t="s">
        <v>299</v>
      </c>
    </row>
    <row r="5" spans="1:16" ht="16.5" thickBot="1">
      <c r="A5" t="s">
        <v>11</v>
      </c>
      <c r="B5" s="431" t="s">
        <v>12</v>
      </c>
      <c r="C5" s="432" t="s">
        <v>13</v>
      </c>
      <c r="D5" s="432" t="s">
        <v>14</v>
      </c>
      <c r="E5" s="432" t="s">
        <v>15</v>
      </c>
      <c r="F5" s="432" t="s">
        <v>16</v>
      </c>
      <c r="G5" s="432" t="s">
        <v>17</v>
      </c>
      <c r="H5" s="432" t="s">
        <v>18</v>
      </c>
      <c r="I5" s="432" t="s">
        <v>63</v>
      </c>
      <c r="J5" s="432" t="s">
        <v>373</v>
      </c>
      <c r="K5" s="432" t="s">
        <v>363</v>
      </c>
      <c r="L5" s="432" t="s">
        <v>364</v>
      </c>
      <c r="M5" s="432" t="s">
        <v>366</v>
      </c>
      <c r="N5" s="432" t="s">
        <v>370</v>
      </c>
      <c r="O5" s="432" t="s">
        <v>371</v>
      </c>
      <c r="P5" s="432" t="s">
        <v>372</v>
      </c>
    </row>
    <row r="6" spans="1:16" ht="24.75" thickBot="1">
      <c r="A6" t="s">
        <v>20</v>
      </c>
      <c r="B6" s="277" t="s">
        <v>300</v>
      </c>
      <c r="C6" s="278" t="s">
        <v>67</v>
      </c>
      <c r="D6" s="278" t="s">
        <v>301</v>
      </c>
      <c r="E6" s="278" t="s">
        <v>302</v>
      </c>
      <c r="F6" s="278" t="s">
        <v>303</v>
      </c>
      <c r="G6" s="278" t="s">
        <v>304</v>
      </c>
      <c r="H6" s="278" t="s">
        <v>305</v>
      </c>
      <c r="I6" s="278" t="s">
        <v>306</v>
      </c>
      <c r="J6" s="278" t="s">
        <v>307</v>
      </c>
      <c r="K6" s="278" t="s">
        <v>308</v>
      </c>
      <c r="L6" s="278" t="s">
        <v>309</v>
      </c>
      <c r="M6" s="278" t="s">
        <v>310</v>
      </c>
      <c r="N6" s="278" t="s">
        <v>311</v>
      </c>
      <c r="O6" s="278" t="s">
        <v>312</v>
      </c>
      <c r="P6" s="279" t="s">
        <v>313</v>
      </c>
    </row>
    <row r="7" spans="1:16" ht="13.5" thickBot="1">
      <c r="A7" t="s">
        <v>21</v>
      </c>
      <c r="B7" s="280" t="s">
        <v>20</v>
      </c>
      <c r="C7" s="710" t="s">
        <v>97</v>
      </c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12"/>
    </row>
    <row r="8" spans="1:16" ht="12.75">
      <c r="A8" t="s">
        <v>22</v>
      </c>
      <c r="B8" s="283" t="s">
        <v>21</v>
      </c>
      <c r="C8" s="284" t="s">
        <v>314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6">
        <f>SUM(D8:O8)</f>
        <v>0</v>
      </c>
    </row>
    <row r="9" spans="1:16" ht="12.75">
      <c r="A9" t="s">
        <v>23</v>
      </c>
      <c r="B9" s="287" t="s">
        <v>22</v>
      </c>
      <c r="C9" s="288" t="s">
        <v>315</v>
      </c>
      <c r="D9" s="289">
        <v>183</v>
      </c>
      <c r="E9" s="289">
        <f>+D9</f>
        <v>183</v>
      </c>
      <c r="F9" s="289">
        <f aca="true" t="shared" si="0" ref="F9:N9">+E9</f>
        <v>183</v>
      </c>
      <c r="G9" s="289">
        <f t="shared" si="0"/>
        <v>183</v>
      </c>
      <c r="H9" s="289">
        <f t="shared" si="0"/>
        <v>183</v>
      </c>
      <c r="I9" s="289">
        <f t="shared" si="0"/>
        <v>183</v>
      </c>
      <c r="J9" s="289">
        <f t="shared" si="0"/>
        <v>183</v>
      </c>
      <c r="K9" s="289">
        <f t="shared" si="0"/>
        <v>183</v>
      </c>
      <c r="L9" s="289">
        <f t="shared" si="0"/>
        <v>183</v>
      </c>
      <c r="M9" s="289">
        <f t="shared" si="0"/>
        <v>183</v>
      </c>
      <c r="N9" s="289">
        <f t="shared" si="0"/>
        <v>183</v>
      </c>
      <c r="O9" s="289">
        <f>+N9+6-2</f>
        <v>187</v>
      </c>
      <c r="P9" s="290">
        <f aca="true" t="shared" si="1" ref="P9:P15">SUM(D9:O9)</f>
        <v>2200</v>
      </c>
    </row>
    <row r="10" spans="1:16" ht="12.75">
      <c r="A10" t="s">
        <v>24</v>
      </c>
      <c r="B10" s="287" t="s">
        <v>23</v>
      </c>
      <c r="C10" s="291" t="s">
        <v>316</v>
      </c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0">
        <f t="shared" si="1"/>
        <v>0</v>
      </c>
    </row>
    <row r="11" spans="1:16" ht="12.75">
      <c r="A11" t="s">
        <v>25</v>
      </c>
      <c r="B11" s="287" t="s">
        <v>24</v>
      </c>
      <c r="C11" s="288" t="s">
        <v>317</v>
      </c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90">
        <f t="shared" si="1"/>
        <v>0</v>
      </c>
    </row>
    <row r="12" spans="1:16" ht="12.75">
      <c r="A12" t="s">
        <v>26</v>
      </c>
      <c r="B12" s="287" t="s">
        <v>25</v>
      </c>
      <c r="C12" s="288" t="s">
        <v>318</v>
      </c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90">
        <f t="shared" si="1"/>
        <v>0</v>
      </c>
    </row>
    <row r="13" spans="1:16" ht="12.75">
      <c r="A13" t="s">
        <v>27</v>
      </c>
      <c r="B13" s="287" t="s">
        <v>26</v>
      </c>
      <c r="C13" s="288" t="s">
        <v>319</v>
      </c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90">
        <f t="shared" si="1"/>
        <v>0</v>
      </c>
    </row>
    <row r="14" spans="1:16" ht="12.75">
      <c r="A14" t="s">
        <v>28</v>
      </c>
      <c r="B14" s="287" t="s">
        <v>27</v>
      </c>
      <c r="C14" s="288" t="s">
        <v>320</v>
      </c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90">
        <f t="shared" si="1"/>
        <v>0</v>
      </c>
    </row>
    <row r="15" spans="1:16" ht="22.5">
      <c r="A15" t="s">
        <v>29</v>
      </c>
      <c r="B15" s="287" t="s">
        <v>28</v>
      </c>
      <c r="C15" s="293" t="s">
        <v>321</v>
      </c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90">
        <f t="shared" si="1"/>
        <v>0</v>
      </c>
    </row>
    <row r="16" spans="1:16" ht="13.5" thickBot="1">
      <c r="A16" t="s">
        <v>30</v>
      </c>
      <c r="B16" s="287" t="s">
        <v>29</v>
      </c>
      <c r="C16" s="288" t="s">
        <v>222</v>
      </c>
      <c r="D16" s="289">
        <f>+D30-D8-D9-D10-D11-D12-D13-D14-D15</f>
        <v>1571</v>
      </c>
      <c r="E16" s="289">
        <f aca="true" t="shared" si="2" ref="E16:O16">+E30-E8-E9-E10-E11-E12-E13-E14-E15</f>
        <v>1571</v>
      </c>
      <c r="F16" s="289">
        <f t="shared" si="2"/>
        <v>1551</v>
      </c>
      <c r="G16" s="289">
        <f t="shared" si="2"/>
        <v>1551</v>
      </c>
      <c r="H16" s="289">
        <f t="shared" si="2"/>
        <v>1551</v>
      </c>
      <c r="I16" s="289">
        <f t="shared" si="2"/>
        <v>1551</v>
      </c>
      <c r="J16" s="289">
        <f t="shared" si="2"/>
        <v>1551</v>
      </c>
      <c r="K16" s="289">
        <f t="shared" si="2"/>
        <v>1551</v>
      </c>
      <c r="L16" s="289">
        <f t="shared" si="2"/>
        <v>2251</v>
      </c>
      <c r="M16" s="289">
        <f t="shared" si="2"/>
        <v>1551</v>
      </c>
      <c r="N16" s="289">
        <f t="shared" si="2"/>
        <v>1551</v>
      </c>
      <c r="O16" s="289">
        <f t="shared" si="2"/>
        <v>1557</v>
      </c>
      <c r="P16" s="294">
        <f>SUM(D16:O16)</f>
        <v>19358</v>
      </c>
    </row>
    <row r="17" spans="1:16" ht="13.5" thickBot="1">
      <c r="A17" t="s">
        <v>31</v>
      </c>
      <c r="B17" s="280" t="s">
        <v>30</v>
      </c>
      <c r="C17" s="295" t="s">
        <v>322</v>
      </c>
      <c r="D17" s="296">
        <f>SUM(D8:D16)</f>
        <v>1754</v>
      </c>
      <c r="E17" s="296">
        <f aca="true" t="shared" si="3" ref="E17:P17">SUM(E8:E16)</f>
        <v>1754</v>
      </c>
      <c r="F17" s="296">
        <f t="shared" si="3"/>
        <v>1734</v>
      </c>
      <c r="G17" s="296">
        <f t="shared" si="3"/>
        <v>1734</v>
      </c>
      <c r="H17" s="296">
        <f t="shared" si="3"/>
        <v>1734</v>
      </c>
      <c r="I17" s="296">
        <f t="shared" si="3"/>
        <v>1734</v>
      </c>
      <c r="J17" s="296">
        <f t="shared" si="3"/>
        <v>1734</v>
      </c>
      <c r="K17" s="296">
        <f t="shared" si="3"/>
        <v>1734</v>
      </c>
      <c r="L17" s="296">
        <f t="shared" si="3"/>
        <v>2434</v>
      </c>
      <c r="M17" s="296">
        <f t="shared" si="3"/>
        <v>1734</v>
      </c>
      <c r="N17" s="296">
        <f t="shared" si="3"/>
        <v>1734</v>
      </c>
      <c r="O17" s="296">
        <f t="shared" si="3"/>
        <v>1744</v>
      </c>
      <c r="P17" s="296">
        <f t="shared" si="3"/>
        <v>21558</v>
      </c>
    </row>
    <row r="18" spans="1:16" ht="13.5" thickBot="1">
      <c r="A18" t="s">
        <v>32</v>
      </c>
      <c r="B18" s="280" t="s">
        <v>31</v>
      </c>
      <c r="C18" s="710" t="s">
        <v>125</v>
      </c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3"/>
    </row>
    <row r="19" spans="1:16" ht="12.75">
      <c r="A19" t="s">
        <v>33</v>
      </c>
      <c r="B19" s="298" t="s">
        <v>32</v>
      </c>
      <c r="C19" s="299" t="s">
        <v>215</v>
      </c>
      <c r="D19" s="292">
        <f>784+15</f>
        <v>799</v>
      </c>
      <c r="E19" s="292">
        <f>+D19+1</f>
        <v>800</v>
      </c>
      <c r="F19" s="292">
        <v>784</v>
      </c>
      <c r="G19" s="292">
        <f aca="true" t="shared" si="4" ref="G19:N19">+F19</f>
        <v>784</v>
      </c>
      <c r="H19" s="292">
        <f t="shared" si="4"/>
        <v>784</v>
      </c>
      <c r="I19" s="292">
        <f t="shared" si="4"/>
        <v>784</v>
      </c>
      <c r="J19" s="292">
        <f t="shared" si="4"/>
        <v>784</v>
      </c>
      <c r="K19" s="292">
        <f t="shared" si="4"/>
        <v>784</v>
      </c>
      <c r="L19" s="292">
        <f t="shared" si="4"/>
        <v>784</v>
      </c>
      <c r="M19" s="292">
        <f t="shared" si="4"/>
        <v>784</v>
      </c>
      <c r="N19" s="292">
        <f t="shared" si="4"/>
        <v>784</v>
      </c>
      <c r="O19" s="292">
        <f>+N19+1</f>
        <v>785</v>
      </c>
      <c r="P19" s="300">
        <f>SUM(D19:O19)</f>
        <v>9440</v>
      </c>
    </row>
    <row r="20" spans="1:16" ht="24.75" customHeight="1">
      <c r="A20" t="s">
        <v>34</v>
      </c>
      <c r="B20" s="287" t="s">
        <v>33</v>
      </c>
      <c r="C20" s="293" t="s">
        <v>323</v>
      </c>
      <c r="D20" s="289">
        <f>211+5</f>
        <v>216</v>
      </c>
      <c r="E20" s="289">
        <f>+D20-1</f>
        <v>215</v>
      </c>
      <c r="F20" s="289">
        <v>211</v>
      </c>
      <c r="G20" s="289">
        <f aca="true" t="shared" si="5" ref="G20:N20">+F20</f>
        <v>211</v>
      </c>
      <c r="H20" s="289">
        <f t="shared" si="5"/>
        <v>211</v>
      </c>
      <c r="I20" s="289">
        <f t="shared" si="5"/>
        <v>211</v>
      </c>
      <c r="J20" s="289">
        <f t="shared" si="5"/>
        <v>211</v>
      </c>
      <c r="K20" s="289">
        <f t="shared" si="5"/>
        <v>211</v>
      </c>
      <c r="L20" s="289">
        <f t="shared" si="5"/>
        <v>211</v>
      </c>
      <c r="M20" s="289">
        <f t="shared" si="5"/>
        <v>211</v>
      </c>
      <c r="N20" s="289">
        <f t="shared" si="5"/>
        <v>211</v>
      </c>
      <c r="O20" s="289">
        <f>+N20+7</f>
        <v>218</v>
      </c>
      <c r="P20" s="300">
        <f aca="true" t="shared" si="6" ref="P20:P28">SUM(D20:O20)</f>
        <v>2548</v>
      </c>
    </row>
    <row r="21" spans="1:16" ht="12.75">
      <c r="A21" t="s">
        <v>35</v>
      </c>
      <c r="B21" s="287" t="s">
        <v>34</v>
      </c>
      <c r="C21" s="288" t="s">
        <v>251</v>
      </c>
      <c r="D21" s="289">
        <v>739</v>
      </c>
      <c r="E21" s="289">
        <f>+D21</f>
        <v>739</v>
      </c>
      <c r="F21" s="289">
        <f aca="true" t="shared" si="7" ref="F21:N21">+E21</f>
        <v>739</v>
      </c>
      <c r="G21" s="289">
        <f>+F21</f>
        <v>739</v>
      </c>
      <c r="H21" s="289">
        <v>739</v>
      </c>
      <c r="I21" s="289">
        <f t="shared" si="7"/>
        <v>739</v>
      </c>
      <c r="J21" s="289">
        <f t="shared" si="7"/>
        <v>739</v>
      </c>
      <c r="K21" s="289">
        <f t="shared" si="7"/>
        <v>739</v>
      </c>
      <c r="L21" s="289">
        <f>+K21+700</f>
        <v>1439</v>
      </c>
      <c r="M21" s="289">
        <f>+K21</f>
        <v>739</v>
      </c>
      <c r="N21" s="289">
        <f t="shared" si="7"/>
        <v>739</v>
      </c>
      <c r="O21" s="289">
        <f>+N21-3+5</f>
        <v>741</v>
      </c>
      <c r="P21" s="300">
        <f t="shared" si="6"/>
        <v>9570</v>
      </c>
    </row>
    <row r="22" spans="1:16" ht="12.75">
      <c r="A22" t="s">
        <v>36</v>
      </c>
      <c r="B22" s="287" t="s">
        <v>35</v>
      </c>
      <c r="C22" s="288" t="s">
        <v>324</v>
      </c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300">
        <f t="shared" si="6"/>
        <v>0</v>
      </c>
    </row>
    <row r="23" spans="1:16" ht="12.75">
      <c r="A23" t="s">
        <v>37</v>
      </c>
      <c r="B23" s="287" t="s">
        <v>36</v>
      </c>
      <c r="C23" s="288" t="s">
        <v>325</v>
      </c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300">
        <f t="shared" si="6"/>
        <v>0</v>
      </c>
    </row>
    <row r="24" spans="1:16" ht="12.75">
      <c r="A24" t="s">
        <v>40</v>
      </c>
      <c r="B24" s="287" t="s">
        <v>37</v>
      </c>
      <c r="C24" s="288" t="s">
        <v>326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300">
        <f t="shared" si="6"/>
        <v>0</v>
      </c>
    </row>
    <row r="25" spans="1:16" ht="21" customHeight="1">
      <c r="A25" t="s">
        <v>42</v>
      </c>
      <c r="B25" s="287" t="s">
        <v>40</v>
      </c>
      <c r="C25" s="293" t="s">
        <v>327</v>
      </c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300">
        <f t="shared" si="6"/>
        <v>0</v>
      </c>
    </row>
    <row r="26" spans="1:16" ht="12.75">
      <c r="A26" t="s">
        <v>43</v>
      </c>
      <c r="B26" s="287" t="s">
        <v>42</v>
      </c>
      <c r="C26" s="288" t="s">
        <v>328</v>
      </c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300">
        <f t="shared" si="6"/>
        <v>0</v>
      </c>
    </row>
    <row r="27" spans="1:16" ht="12.75">
      <c r="A27" t="s">
        <v>44</v>
      </c>
      <c r="B27" s="287" t="s">
        <v>43</v>
      </c>
      <c r="C27" s="288" t="s">
        <v>329</v>
      </c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300">
        <f t="shared" si="6"/>
        <v>0</v>
      </c>
    </row>
    <row r="28" spans="1:16" ht="12.75">
      <c r="A28" t="s">
        <v>45</v>
      </c>
      <c r="B28" s="287" t="s">
        <v>44</v>
      </c>
      <c r="C28" s="288" t="s">
        <v>330</v>
      </c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300">
        <f t="shared" si="6"/>
        <v>0</v>
      </c>
    </row>
    <row r="29" spans="1:16" ht="13.5" thickBot="1">
      <c r="A29" t="s">
        <v>46</v>
      </c>
      <c r="B29" s="287" t="s">
        <v>45</v>
      </c>
      <c r="C29" s="288" t="s">
        <v>331</v>
      </c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300">
        <f>SUM(D29:O29)</f>
        <v>0</v>
      </c>
    </row>
    <row r="30" spans="1:17" ht="13.5" thickBot="1">
      <c r="A30" t="s">
        <v>47</v>
      </c>
      <c r="B30" s="301" t="s">
        <v>46</v>
      </c>
      <c r="C30" s="295" t="s">
        <v>332</v>
      </c>
      <c r="D30" s="296">
        <f>SUM(D19:D29)</f>
        <v>1754</v>
      </c>
      <c r="E30" s="296">
        <f aca="true" t="shared" si="8" ref="E30:O30">SUM(E19:E29)</f>
        <v>1754</v>
      </c>
      <c r="F30" s="296">
        <f t="shared" si="8"/>
        <v>1734</v>
      </c>
      <c r="G30" s="296">
        <f t="shared" si="8"/>
        <v>1734</v>
      </c>
      <c r="H30" s="296">
        <f t="shared" si="8"/>
        <v>1734</v>
      </c>
      <c r="I30" s="296">
        <f t="shared" si="8"/>
        <v>1734</v>
      </c>
      <c r="J30" s="296">
        <f t="shared" si="8"/>
        <v>1734</v>
      </c>
      <c r="K30" s="296">
        <f t="shared" si="8"/>
        <v>1734</v>
      </c>
      <c r="L30" s="296">
        <f t="shared" si="8"/>
        <v>2434</v>
      </c>
      <c r="M30" s="296">
        <f t="shared" si="8"/>
        <v>1734</v>
      </c>
      <c r="N30" s="296">
        <f t="shared" si="8"/>
        <v>1734</v>
      </c>
      <c r="O30" s="296">
        <f t="shared" si="8"/>
        <v>1744</v>
      </c>
      <c r="P30" s="302">
        <f>SUM(P19:P29)</f>
        <v>21558</v>
      </c>
      <c r="Q30" s="668"/>
    </row>
    <row r="31" spans="1:16" ht="13.5" thickBot="1">
      <c r="A31" t="s">
        <v>48</v>
      </c>
      <c r="B31" s="301" t="s">
        <v>47</v>
      </c>
      <c r="C31" s="303" t="s">
        <v>333</v>
      </c>
      <c r="D31" s="304">
        <f>+D30-D17</f>
        <v>0</v>
      </c>
      <c r="E31" s="304">
        <f aca="true" t="shared" si="9" ref="E31:P31">+E30-E17</f>
        <v>0</v>
      </c>
      <c r="F31" s="304">
        <f t="shared" si="9"/>
        <v>0</v>
      </c>
      <c r="G31" s="304">
        <f t="shared" si="9"/>
        <v>0</v>
      </c>
      <c r="H31" s="304">
        <f t="shared" si="9"/>
        <v>0</v>
      </c>
      <c r="I31" s="304">
        <f t="shared" si="9"/>
        <v>0</v>
      </c>
      <c r="J31" s="304">
        <f t="shared" si="9"/>
        <v>0</v>
      </c>
      <c r="K31" s="304">
        <f t="shared" si="9"/>
        <v>0</v>
      </c>
      <c r="L31" s="304">
        <f t="shared" si="9"/>
        <v>0</v>
      </c>
      <c r="M31" s="304">
        <f t="shared" si="9"/>
        <v>0</v>
      </c>
      <c r="N31" s="304">
        <f t="shared" si="9"/>
        <v>0</v>
      </c>
      <c r="O31" s="304">
        <f t="shared" si="9"/>
        <v>0</v>
      </c>
      <c r="P31" s="304">
        <f t="shared" si="9"/>
        <v>0</v>
      </c>
    </row>
    <row r="32" spans="2:16" ht="15.75">
      <c r="B32" s="30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4"/>
    </row>
    <row r="33" spans="2:16" ht="15.75">
      <c r="B33" s="274"/>
      <c r="C33" s="306"/>
      <c r="D33" s="308">
        <f>-D31</f>
        <v>0</v>
      </c>
      <c r="E33" s="307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4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&amp;L20. melléklet a 2014. évi 6/2014.(III.28.) Önkormányzati költségvetési rendelethez&amp;R&amp;D</oddHeader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60" zoomScalePageLayoutView="0" workbookViewId="0" topLeftCell="A1">
      <selection activeCell="Q20" sqref="Q20"/>
    </sheetView>
  </sheetViews>
  <sheetFormatPr defaultColWidth="9.140625" defaultRowHeight="12.75"/>
  <cols>
    <col min="1" max="1" width="5.421875" style="131" customWidth="1"/>
    <col min="2" max="2" width="4.00390625" style="131" customWidth="1"/>
    <col min="3" max="3" width="33.28125" style="131" customWidth="1"/>
    <col min="4" max="4" width="17.57421875" style="131" customWidth="1"/>
    <col min="5" max="5" width="9.57421875" style="131" bestFit="1" customWidth="1"/>
    <col min="6" max="7" width="14.7109375" style="131" customWidth="1"/>
    <col min="8" max="8" width="9.421875" style="131" customWidth="1"/>
    <col min="9" max="10" width="9.421875" style="131" hidden="1" customWidth="1"/>
    <col min="11" max="11" width="11.140625" style="131" bestFit="1" customWidth="1"/>
    <col min="12" max="12" width="9.421875" style="131" bestFit="1" customWidth="1"/>
    <col min="13" max="13" width="6.7109375" style="131" customWidth="1"/>
    <col min="14" max="14" width="9.28125" style="131" bestFit="1" customWidth="1"/>
    <col min="15" max="16384" width="9.140625" style="131" customWidth="1"/>
  </cols>
  <sheetData>
    <row r="1" spans="1:14" ht="14.25">
      <c r="A1" s="722" t="s">
        <v>162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</row>
    <row r="2" spans="1:14" ht="15" customHeight="1" thickBot="1">
      <c r="A2" s="131" t="s">
        <v>11</v>
      </c>
      <c r="B2" s="132" t="s">
        <v>12</v>
      </c>
      <c r="C2" s="132" t="s">
        <v>13</v>
      </c>
      <c r="D2" s="132" t="s">
        <v>14</v>
      </c>
      <c r="E2" s="132" t="s">
        <v>15</v>
      </c>
      <c r="F2" s="132" t="s">
        <v>16</v>
      </c>
      <c r="G2" s="132"/>
      <c r="H2" s="132" t="s">
        <v>17</v>
      </c>
      <c r="I2" s="132" t="s">
        <v>18</v>
      </c>
      <c r="J2" s="132" t="s">
        <v>368</v>
      </c>
      <c r="K2" s="132" t="s">
        <v>19</v>
      </c>
      <c r="L2" s="132" t="s">
        <v>363</v>
      </c>
      <c r="M2" s="131" t="s">
        <v>364</v>
      </c>
      <c r="N2" s="131" t="s">
        <v>366</v>
      </c>
    </row>
    <row r="3" spans="1:14" ht="18" customHeight="1">
      <c r="A3" s="131" t="s">
        <v>20</v>
      </c>
      <c r="B3" s="249" t="s">
        <v>163</v>
      </c>
      <c r="C3" s="250"/>
      <c r="D3" s="250"/>
      <c r="E3" s="250"/>
      <c r="F3" s="236"/>
      <c r="G3" s="583"/>
      <c r="H3" s="719">
        <v>2013</v>
      </c>
      <c r="I3" s="720"/>
      <c r="J3" s="721"/>
      <c r="K3" s="244">
        <v>2014</v>
      </c>
      <c r="L3" s="244">
        <v>2015</v>
      </c>
      <c r="M3" s="244">
        <v>2016</v>
      </c>
      <c r="N3" s="244">
        <v>2017</v>
      </c>
    </row>
    <row r="4" spans="1:14" ht="15" thickBot="1">
      <c r="A4" s="131" t="s">
        <v>21</v>
      </c>
      <c r="B4" s="259"/>
      <c r="C4" s="258"/>
      <c r="D4" s="258"/>
      <c r="E4" s="240"/>
      <c r="F4" s="270">
        <v>241.06</v>
      </c>
      <c r="G4" s="584"/>
      <c r="H4" s="589"/>
      <c r="I4" s="240" t="s">
        <v>268</v>
      </c>
      <c r="J4" s="590" t="s">
        <v>267</v>
      </c>
      <c r="K4" s="246"/>
      <c r="L4" s="246"/>
      <c r="M4" s="248"/>
      <c r="N4" s="248"/>
    </row>
    <row r="5" spans="2:14" ht="15">
      <c r="B5" s="251"/>
      <c r="C5" s="252"/>
      <c r="D5" s="252"/>
      <c r="E5" s="238"/>
      <c r="F5" s="239"/>
      <c r="G5" s="585"/>
      <c r="H5" s="237"/>
      <c r="I5" s="587"/>
      <c r="J5" s="588"/>
      <c r="K5" s="245"/>
      <c r="L5" s="245"/>
      <c r="M5" s="247"/>
      <c r="N5" s="247"/>
    </row>
    <row r="6" spans="1:14" ht="60">
      <c r="A6" s="131" t="s">
        <v>22</v>
      </c>
      <c r="B6" s="251"/>
      <c r="C6" s="253" t="s">
        <v>164</v>
      </c>
      <c r="D6" s="253" t="s">
        <v>165</v>
      </c>
      <c r="E6" s="254" t="s">
        <v>166</v>
      </c>
      <c r="F6" s="255" t="s">
        <v>167</v>
      </c>
      <c r="G6" s="591" t="s">
        <v>462</v>
      </c>
      <c r="H6" s="237">
        <f>+I6+J6</f>
        <v>24408</v>
      </c>
      <c r="I6" s="237">
        <v>16272</v>
      </c>
      <c r="J6" s="239">
        <v>8136</v>
      </c>
      <c r="K6" s="245">
        <f>675277.56*F4/1000</f>
        <v>162782.4086136</v>
      </c>
      <c r="L6" s="245">
        <v>0</v>
      </c>
      <c r="M6" s="247">
        <v>0</v>
      </c>
      <c r="N6" s="247">
        <v>0</v>
      </c>
    </row>
    <row r="7" spans="1:14" ht="64.5" customHeight="1">
      <c r="A7" s="131" t="s">
        <v>23</v>
      </c>
      <c r="B7" s="251"/>
      <c r="C7" s="253" t="s">
        <v>168</v>
      </c>
      <c r="D7" s="253" t="s">
        <v>169</v>
      </c>
      <c r="E7" s="238">
        <v>80000</v>
      </c>
      <c r="F7" s="255" t="s">
        <v>231</v>
      </c>
      <c r="G7" s="591" t="s">
        <v>462</v>
      </c>
      <c r="H7" s="237">
        <f>+I7+J7</f>
        <v>1050</v>
      </c>
      <c r="I7" s="237"/>
      <c r="J7" s="239">
        <v>1050</v>
      </c>
      <c r="K7" s="245">
        <v>70000</v>
      </c>
      <c r="L7" s="245">
        <v>0</v>
      </c>
      <c r="M7" s="247">
        <v>0</v>
      </c>
      <c r="N7" s="247">
        <v>0</v>
      </c>
    </row>
    <row r="8" spans="2:14" ht="7.5" customHeight="1" thickBot="1">
      <c r="B8" s="251"/>
      <c r="C8" s="252"/>
      <c r="D8" s="252"/>
      <c r="E8" s="238"/>
      <c r="F8" s="239"/>
      <c r="G8" s="585"/>
      <c r="H8" s="237"/>
      <c r="I8" s="237"/>
      <c r="J8" s="239"/>
      <c r="K8" s="245"/>
      <c r="L8" s="245"/>
      <c r="M8" s="247"/>
      <c r="N8" s="247"/>
    </row>
    <row r="9" spans="1:14" ht="15" thickBot="1">
      <c r="A9" s="131" t="s">
        <v>24</v>
      </c>
      <c r="B9" s="260" t="s">
        <v>170</v>
      </c>
      <c r="C9" s="261"/>
      <c r="D9" s="261"/>
      <c r="E9" s="242"/>
      <c r="F9" s="243"/>
      <c r="G9" s="586"/>
      <c r="H9" s="241">
        <f aca="true" t="shared" si="0" ref="H9:N9">SUM(H6:H8)</f>
        <v>25458</v>
      </c>
      <c r="I9" s="241">
        <f t="shared" si="0"/>
        <v>16272</v>
      </c>
      <c r="J9" s="241">
        <f t="shared" si="0"/>
        <v>9186</v>
      </c>
      <c r="K9" s="241">
        <f t="shared" si="0"/>
        <v>232782.4086136</v>
      </c>
      <c r="L9" s="241">
        <f t="shared" si="0"/>
        <v>0</v>
      </c>
      <c r="M9" s="241">
        <f t="shared" si="0"/>
        <v>0</v>
      </c>
      <c r="N9" s="241">
        <f t="shared" si="0"/>
        <v>0</v>
      </c>
    </row>
    <row r="10" spans="2:14" ht="14.25">
      <c r="B10" s="613"/>
      <c r="C10" s="614"/>
      <c r="D10" s="614"/>
      <c r="E10" s="615"/>
      <c r="F10" s="616"/>
      <c r="G10" s="617"/>
      <c r="H10" s="618"/>
      <c r="I10" s="618"/>
      <c r="J10" s="617"/>
      <c r="K10" s="619"/>
      <c r="L10" s="619"/>
      <c r="M10" s="619"/>
      <c r="N10" s="621"/>
    </row>
    <row r="11" spans="1:14" ht="14.25">
      <c r="A11" s="131" t="s">
        <v>25</v>
      </c>
      <c r="B11" s="620" t="s">
        <v>479</v>
      </c>
      <c r="C11" s="614"/>
      <c r="D11" s="614"/>
      <c r="E11" s="615"/>
      <c r="F11" s="616"/>
      <c r="G11" s="617"/>
      <c r="H11" s="618"/>
      <c r="I11" s="618"/>
      <c r="J11" s="617"/>
      <c r="K11" s="619"/>
      <c r="L11" s="619"/>
      <c r="M11" s="619"/>
      <c r="N11" s="622"/>
    </row>
    <row r="12" spans="1:14" ht="57">
      <c r="A12" s="131" t="s">
        <v>26</v>
      </c>
      <c r="B12" s="613"/>
      <c r="C12" s="516" t="s">
        <v>478</v>
      </c>
      <c r="D12" s="614"/>
      <c r="E12" s="615"/>
      <c r="F12" s="616"/>
      <c r="G12" s="617"/>
      <c r="H12" s="618"/>
      <c r="I12" s="618"/>
      <c r="J12" s="617"/>
      <c r="K12" s="619"/>
      <c r="L12" s="619">
        <v>48548</v>
      </c>
      <c r="M12" s="619"/>
      <c r="N12" s="622"/>
    </row>
    <row r="13" spans="2:14" ht="15" thickBot="1">
      <c r="B13" s="613"/>
      <c r="C13" s="516"/>
      <c r="D13" s="614"/>
      <c r="E13" s="615"/>
      <c r="F13" s="616"/>
      <c r="G13" s="617"/>
      <c r="H13" s="618"/>
      <c r="I13" s="618"/>
      <c r="J13" s="617"/>
      <c r="K13" s="619"/>
      <c r="L13" s="619"/>
      <c r="M13" s="619"/>
      <c r="N13" s="622"/>
    </row>
    <row r="14" spans="1:14" ht="15" thickBot="1">
      <c r="A14" s="131" t="s">
        <v>27</v>
      </c>
      <c r="B14" s="260" t="s">
        <v>480</v>
      </c>
      <c r="C14" s="623"/>
      <c r="D14" s="261"/>
      <c r="E14" s="242"/>
      <c r="F14" s="243"/>
      <c r="G14" s="586"/>
      <c r="H14" s="241"/>
      <c r="I14" s="241"/>
      <c r="J14" s="586"/>
      <c r="K14" s="624"/>
      <c r="L14" s="624">
        <f>SUM(L12:L13)</f>
        <v>48548</v>
      </c>
      <c r="M14" s="624"/>
      <c r="N14" s="625"/>
    </row>
    <row r="15" spans="2:14" ht="15">
      <c r="B15" s="626"/>
      <c r="C15" s="627"/>
      <c r="D15" s="627"/>
      <c r="E15" s="628"/>
      <c r="F15" s="629"/>
      <c r="G15" s="585"/>
      <c r="H15" s="237"/>
      <c r="I15" s="237"/>
      <c r="J15" s="588"/>
      <c r="K15" s="245"/>
      <c r="L15" s="245"/>
      <c r="M15" s="247"/>
      <c r="N15" s="247"/>
    </row>
    <row r="16" spans="1:14" ht="15">
      <c r="A16" s="131" t="s">
        <v>28</v>
      </c>
      <c r="B16" s="257" t="s">
        <v>171</v>
      </c>
      <c r="C16" s="252"/>
      <c r="D16" s="252"/>
      <c r="E16" s="238"/>
      <c r="F16" s="239"/>
      <c r="G16" s="585"/>
      <c r="H16" s="237"/>
      <c r="I16" s="237"/>
      <c r="J16" s="239"/>
      <c r="K16" s="245"/>
      <c r="L16" s="245"/>
      <c r="M16" s="247"/>
      <c r="N16" s="247"/>
    </row>
    <row r="17" spans="2:14" ht="7.5" customHeight="1">
      <c r="B17" s="256"/>
      <c r="C17" s="252"/>
      <c r="D17" s="252"/>
      <c r="E17" s="238"/>
      <c r="F17" s="239"/>
      <c r="G17" s="585"/>
      <c r="H17" s="237"/>
      <c r="I17" s="237"/>
      <c r="J17" s="239"/>
      <c r="K17" s="245"/>
      <c r="L17" s="245"/>
      <c r="M17" s="247"/>
      <c r="N17" s="247"/>
    </row>
    <row r="18" spans="1:14" ht="15">
      <c r="A18" s="131" t="s">
        <v>29</v>
      </c>
      <c r="B18" s="251"/>
      <c r="C18" s="253" t="str">
        <f>+C6</f>
        <v>"BATTONYA 2027" kötvény</v>
      </c>
      <c r="D18" s="252"/>
      <c r="E18" s="238"/>
      <c r="F18" s="239"/>
      <c r="G18" s="585"/>
      <c r="H18" s="237">
        <f>+I18+J18</f>
        <v>7644</v>
      </c>
      <c r="I18" s="237">
        <v>5096</v>
      </c>
      <c r="J18" s="239">
        <v>2548</v>
      </c>
      <c r="K18" s="245">
        <f>+9_mell!F14</f>
        <v>1867</v>
      </c>
      <c r="L18" s="245">
        <v>0</v>
      </c>
      <c r="M18" s="245">
        <v>0</v>
      </c>
      <c r="N18" s="245">
        <v>0</v>
      </c>
    </row>
    <row r="19" spans="2:14" ht="9" customHeight="1">
      <c r="B19" s="638"/>
      <c r="C19" s="253"/>
      <c r="D19" s="252"/>
      <c r="E19" s="238"/>
      <c r="F19" s="639"/>
      <c r="G19" s="585"/>
      <c r="H19" s="237"/>
      <c r="I19" s="237"/>
      <c r="J19" s="239"/>
      <c r="K19" s="245"/>
      <c r="L19" s="245"/>
      <c r="M19" s="245"/>
      <c r="N19" s="245"/>
    </row>
    <row r="20" spans="1:14" ht="60">
      <c r="A20" s="131" t="s">
        <v>30</v>
      </c>
      <c r="B20" s="640"/>
      <c r="C20" s="253" t="s">
        <v>168</v>
      </c>
      <c r="D20" s="253" t="s">
        <v>169</v>
      </c>
      <c r="E20" s="238"/>
      <c r="F20" s="641"/>
      <c r="G20" s="585"/>
      <c r="H20" s="237">
        <f>+I20+J20</f>
        <v>6450</v>
      </c>
      <c r="I20" s="237">
        <v>4300</v>
      </c>
      <c r="J20" s="239">
        <v>2150</v>
      </c>
      <c r="K20" s="245">
        <f>+9_mell!F13</f>
        <v>1200</v>
      </c>
      <c r="L20" s="245">
        <v>0</v>
      </c>
      <c r="M20" s="247">
        <v>0</v>
      </c>
      <c r="N20" s="247">
        <v>0</v>
      </c>
    </row>
    <row r="21" spans="2:14" ht="7.5" customHeight="1" thickBot="1">
      <c r="B21" s="630"/>
      <c r="C21" s="631"/>
      <c r="D21" s="631"/>
      <c r="E21" s="632"/>
      <c r="F21" s="633"/>
      <c r="G21" s="585"/>
      <c r="H21" s="237"/>
      <c r="I21" s="237"/>
      <c r="J21" s="239"/>
      <c r="K21" s="245"/>
      <c r="L21" s="245"/>
      <c r="M21" s="247"/>
      <c r="N21" s="248"/>
    </row>
    <row r="22" spans="1:14" ht="15" thickBot="1">
      <c r="A22" s="131" t="s">
        <v>31</v>
      </c>
      <c r="B22" s="260" t="s">
        <v>172</v>
      </c>
      <c r="C22" s="261"/>
      <c r="D22" s="261"/>
      <c r="E22" s="242"/>
      <c r="F22" s="243"/>
      <c r="G22" s="586"/>
      <c r="H22" s="241">
        <f aca="true" t="shared" si="1" ref="H22:N22">SUM(H18:H21)</f>
        <v>14094</v>
      </c>
      <c r="I22" s="241">
        <f t="shared" si="1"/>
        <v>9396</v>
      </c>
      <c r="J22" s="241">
        <f t="shared" si="1"/>
        <v>4698</v>
      </c>
      <c r="K22" s="241">
        <f t="shared" si="1"/>
        <v>3067</v>
      </c>
      <c r="L22" s="241">
        <f>SUM(L18:L21)</f>
        <v>0</v>
      </c>
      <c r="M22" s="241">
        <f t="shared" si="1"/>
        <v>0</v>
      </c>
      <c r="N22" s="448">
        <f t="shared" si="1"/>
        <v>0</v>
      </c>
    </row>
    <row r="23" spans="2:14" ht="9" customHeight="1" thickBot="1">
      <c r="B23" s="251"/>
      <c r="C23" s="252"/>
      <c r="D23" s="252"/>
      <c r="E23" s="238"/>
      <c r="F23" s="239"/>
      <c r="G23" s="585"/>
      <c r="H23" s="237"/>
      <c r="I23" s="237"/>
      <c r="J23" s="239"/>
      <c r="K23" s="245"/>
      <c r="L23" s="245"/>
      <c r="M23" s="247"/>
      <c r="N23" s="247"/>
    </row>
    <row r="24" spans="1:14" ht="15" thickBot="1">
      <c r="A24" s="131" t="s">
        <v>32</v>
      </c>
      <c r="B24" s="260" t="s">
        <v>173</v>
      </c>
      <c r="C24" s="261"/>
      <c r="D24" s="261"/>
      <c r="E24" s="242"/>
      <c r="F24" s="243"/>
      <c r="G24" s="586"/>
      <c r="H24" s="241">
        <f aca="true" t="shared" si="2" ref="H24:N24">H22+H9</f>
        <v>39552</v>
      </c>
      <c r="I24" s="241">
        <f t="shared" si="2"/>
        <v>25668</v>
      </c>
      <c r="J24" s="241">
        <f t="shared" si="2"/>
        <v>13884</v>
      </c>
      <c r="K24" s="241">
        <f t="shared" si="2"/>
        <v>235849.4086136</v>
      </c>
      <c r="L24" s="241">
        <f>L22+L9+L14</f>
        <v>48548</v>
      </c>
      <c r="M24" s="241">
        <f t="shared" si="2"/>
        <v>0</v>
      </c>
      <c r="N24" s="448">
        <f t="shared" si="2"/>
        <v>0</v>
      </c>
    </row>
    <row r="25" spans="2:14" ht="15">
      <c r="B25" s="132"/>
      <c r="C25" s="132"/>
      <c r="D25" s="132"/>
      <c r="E25" s="134"/>
      <c r="F25" s="134"/>
      <c r="G25" s="134"/>
      <c r="H25" s="134"/>
      <c r="I25" s="134"/>
      <c r="J25" s="134"/>
      <c r="K25" s="134"/>
      <c r="L25" s="134"/>
      <c r="M25" s="133"/>
      <c r="N25" s="133"/>
    </row>
    <row r="26" spans="5:14" ht="14.25">
      <c r="E26" s="133"/>
      <c r="F26" s="133"/>
      <c r="G26" s="133"/>
      <c r="H26" s="133"/>
      <c r="I26" s="133"/>
      <c r="J26" s="133"/>
      <c r="K26" s="133"/>
      <c r="L26" s="133"/>
      <c r="M26" s="133"/>
      <c r="N26" s="133"/>
    </row>
  </sheetData>
  <sheetProtection/>
  <mergeCells count="2">
    <mergeCell ref="H3:J3"/>
    <mergeCell ref="A1:N1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8" r:id="rId1"/>
  <headerFooter alignWithMargins="0">
    <oddHeader>&amp;L21. melléklet a 2014. évi 6/2014.(III.28.) Önkormányzati költségvetési rendelethez&amp;R&amp;D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J42" sqref="J42"/>
    </sheetView>
  </sheetViews>
  <sheetFormatPr defaultColWidth="9.140625" defaultRowHeight="15" customHeight="1"/>
  <cols>
    <col min="1" max="1" width="4.57421875" style="17" bestFit="1" customWidth="1"/>
    <col min="2" max="2" width="25.421875" style="17" customWidth="1"/>
    <col min="3" max="3" width="13.28125" style="17" customWidth="1"/>
    <col min="4" max="4" width="9.28125" style="17" customWidth="1"/>
    <col min="5" max="5" width="9.421875" style="17" customWidth="1"/>
    <col min="6" max="6" width="11.00390625" style="17" customWidth="1"/>
    <col min="7" max="7" width="10.140625" style="17" bestFit="1" customWidth="1"/>
    <col min="8" max="8" width="10.7109375" style="17" customWidth="1"/>
    <col min="9" max="9" width="8.28125" style="17" hidden="1" customWidth="1"/>
    <col min="10" max="10" width="13.8515625" style="17" customWidth="1"/>
    <col min="11" max="11" width="9.421875" style="17" bestFit="1" customWidth="1"/>
    <col min="12" max="12" width="11.7109375" style="17" customWidth="1"/>
    <col min="13" max="13" width="12.421875" style="17" customWidth="1"/>
    <col min="14" max="16384" width="9.140625" style="17" customWidth="1"/>
  </cols>
  <sheetData>
    <row r="1" spans="2:13" ht="15" customHeight="1">
      <c r="B1" s="18" t="s">
        <v>0</v>
      </c>
      <c r="C1" s="19"/>
      <c r="D1" s="20" t="s">
        <v>1</v>
      </c>
      <c r="E1" s="20" t="s">
        <v>2</v>
      </c>
      <c r="F1" s="674" t="s">
        <v>3</v>
      </c>
      <c r="G1" s="674"/>
      <c r="H1" s="674"/>
      <c r="I1" s="22" t="e">
        <f>+#REF!</f>
        <v>#REF!</v>
      </c>
      <c r="J1" s="20" t="s">
        <v>4</v>
      </c>
      <c r="K1" s="20"/>
      <c r="L1" s="20" t="s">
        <v>5</v>
      </c>
      <c r="M1" s="20" t="s">
        <v>6</v>
      </c>
    </row>
    <row r="2" spans="2:13" ht="15" customHeight="1">
      <c r="B2" s="23"/>
      <c r="C2" s="24"/>
      <c r="D2" s="25"/>
      <c r="E2" s="25"/>
      <c r="F2" s="21" t="s">
        <v>7</v>
      </c>
      <c r="G2" s="21" t="s">
        <v>8</v>
      </c>
      <c r="H2" s="21" t="s">
        <v>9</v>
      </c>
      <c r="I2" s="22"/>
      <c r="J2" s="25"/>
      <c r="K2" s="25"/>
      <c r="L2" s="25"/>
      <c r="M2" s="25"/>
    </row>
    <row r="3" spans="1:13" s="26" customFormat="1" ht="15.75" customHeight="1">
      <c r="A3" s="26" t="s">
        <v>11</v>
      </c>
      <c r="B3" s="18" t="s">
        <v>12</v>
      </c>
      <c r="C3" s="19" t="s">
        <v>13</v>
      </c>
      <c r="D3" s="20" t="s">
        <v>14</v>
      </c>
      <c r="E3" s="20" t="s">
        <v>15</v>
      </c>
      <c r="F3" s="20" t="s">
        <v>16</v>
      </c>
      <c r="G3" s="20" t="s">
        <v>17</v>
      </c>
      <c r="H3" s="20" t="s">
        <v>18</v>
      </c>
      <c r="I3" s="27"/>
      <c r="J3" s="20" t="s">
        <v>63</v>
      </c>
      <c r="K3" s="20" t="s">
        <v>19</v>
      </c>
      <c r="L3" s="20" t="s">
        <v>363</v>
      </c>
      <c r="M3" s="20" t="s">
        <v>364</v>
      </c>
    </row>
    <row r="4" spans="3:13" ht="9" customHeight="1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3:13" ht="32.25" customHeight="1" hidden="1">
      <c r="C5" s="28" t="s">
        <v>54</v>
      </c>
      <c r="D5" s="29">
        <v>87890</v>
      </c>
      <c r="J5" s="29">
        <f>+M5-D5-E5-F5-G5-H5-K5</f>
        <v>94220</v>
      </c>
      <c r="K5" s="29"/>
      <c r="L5" s="29">
        <f>SUM(D5:J5)</f>
        <v>182110</v>
      </c>
      <c r="M5" s="29">
        <f>+4_mell!M4</f>
        <v>182110</v>
      </c>
    </row>
    <row r="6" spans="3:13" ht="0.75" customHeight="1" hidden="1">
      <c r="C6" s="28" t="s">
        <v>374</v>
      </c>
      <c r="D6" s="29">
        <f>+D5</f>
        <v>87890</v>
      </c>
      <c r="E6" s="29">
        <v>1114</v>
      </c>
      <c r="F6" s="29">
        <f>+F5</f>
        <v>0</v>
      </c>
      <c r="G6" s="29">
        <v>1346</v>
      </c>
      <c r="H6" s="29">
        <f>+H5</f>
        <v>0</v>
      </c>
      <c r="J6" s="29">
        <f>+M6-D6-E6-F6-G6-H6-K6</f>
        <v>137989</v>
      </c>
      <c r="K6" s="29"/>
      <c r="L6" s="29">
        <f>SUM(D6:J6)</f>
        <v>228339</v>
      </c>
      <c r="M6" s="29">
        <f>+4_mell!M5</f>
        <v>228339</v>
      </c>
    </row>
    <row r="7" spans="1:13" ht="30">
      <c r="A7" s="17" t="s">
        <v>20</v>
      </c>
      <c r="B7" s="28" t="str">
        <f>+'[1]2mell 1ápr'!A28</f>
        <v>Városellátó  Szervezet</v>
      </c>
      <c r="C7" s="28" t="s">
        <v>378</v>
      </c>
      <c r="D7" s="29">
        <v>85768</v>
      </c>
      <c r="E7" s="29"/>
      <c r="F7" s="29">
        <v>0</v>
      </c>
      <c r="G7" s="29"/>
      <c r="H7" s="29"/>
      <c r="J7" s="33">
        <f>+M7-K7-H7-G7-F7-E7-D7</f>
        <v>94148</v>
      </c>
      <c r="K7" s="29"/>
      <c r="L7" s="29">
        <f>SUM(D7:J7)</f>
        <v>179916</v>
      </c>
      <c r="M7" s="29">
        <f>+4_mell!M6</f>
        <v>179916</v>
      </c>
    </row>
    <row r="8" spans="1:13" ht="24" customHeight="1">
      <c r="A8" s="17" t="s">
        <v>21</v>
      </c>
      <c r="C8" s="17" t="s">
        <v>485</v>
      </c>
      <c r="D8" s="17">
        <f>+D7</f>
        <v>85768</v>
      </c>
      <c r="J8" s="33">
        <f>+M8-K8-H8-G8-F8-E8-D8</f>
        <v>95339</v>
      </c>
      <c r="L8" s="29">
        <f>SUM(D8:J8)</f>
        <v>181107</v>
      </c>
      <c r="M8" s="29">
        <f>+4_mell!M7</f>
        <v>181107</v>
      </c>
    </row>
    <row r="9" spans="2:13" ht="14.25" customHeight="1">
      <c r="B9" s="28"/>
      <c r="D9" s="29"/>
      <c r="F9" s="29"/>
      <c r="J9" s="29"/>
      <c r="K9" s="29"/>
      <c r="L9" s="29"/>
      <c r="M9" s="29"/>
    </row>
    <row r="10" spans="3:13" ht="0.75" customHeight="1" hidden="1">
      <c r="C10" s="28" t="s">
        <v>54</v>
      </c>
      <c r="D10" s="29">
        <v>19283</v>
      </c>
      <c r="F10" s="33">
        <f>+1_mell!E32+1_mell!E36+1_mell!E37</f>
        <v>46745</v>
      </c>
      <c r="J10" s="29">
        <f>+M10-D10-E10-F10-G10-H10-K10</f>
        <v>52974</v>
      </c>
      <c r="K10" s="29"/>
      <c r="L10" s="29">
        <f>SUM(D10:J10)</f>
        <v>119002</v>
      </c>
      <c r="M10" s="29">
        <f>+4_mell!M9</f>
        <v>119002</v>
      </c>
    </row>
    <row r="11" spans="3:13" ht="15" hidden="1">
      <c r="C11" s="28" t="s">
        <v>374</v>
      </c>
      <c r="D11" s="29">
        <f aca="true" t="shared" si="0" ref="D11:I11">+D10</f>
        <v>19283</v>
      </c>
      <c r="E11" s="29">
        <v>4065</v>
      </c>
      <c r="F11" s="33">
        <f>+F10-5671</f>
        <v>41074</v>
      </c>
      <c r="G11" s="29">
        <v>1349</v>
      </c>
      <c r="H11" s="29">
        <f t="shared" si="0"/>
        <v>0</v>
      </c>
      <c r="I11" s="29">
        <f t="shared" si="0"/>
        <v>0</v>
      </c>
      <c r="J11" s="29">
        <f>+M11-D11-E11-F11-G11-H11-K11</f>
        <v>69211</v>
      </c>
      <c r="K11" s="29"/>
      <c r="L11" s="29">
        <f>SUM(D11:J11)</f>
        <v>134982</v>
      </c>
      <c r="M11" s="29">
        <f>+4_mell!M10</f>
        <v>134982</v>
      </c>
    </row>
    <row r="12" spans="1:13" ht="45">
      <c r="A12" s="17" t="s">
        <v>22</v>
      </c>
      <c r="B12" s="28" t="str">
        <f>+'[1]2mell 1ápr'!A32</f>
        <v>Egészségügyi és Szociális Ellátó Szervezet</v>
      </c>
      <c r="C12" s="28" t="s">
        <v>378</v>
      </c>
      <c r="D12" s="33">
        <v>8903</v>
      </c>
      <c r="E12" s="29">
        <v>0</v>
      </c>
      <c r="F12" s="33">
        <v>32500</v>
      </c>
      <c r="G12" s="29">
        <v>0</v>
      </c>
      <c r="H12" s="29">
        <v>0</v>
      </c>
      <c r="I12" s="29"/>
      <c r="J12" s="33">
        <f>+M12-K12-H12-G12-F12-E12-D12</f>
        <v>84865</v>
      </c>
      <c r="K12" s="29"/>
      <c r="L12" s="29">
        <f>SUM(D12:J12)</f>
        <v>126268</v>
      </c>
      <c r="M12" s="29">
        <f>+4_mell!M11</f>
        <v>126268</v>
      </c>
    </row>
    <row r="13" spans="1:13" ht="27.75" customHeight="1">
      <c r="A13" s="17" t="s">
        <v>23</v>
      </c>
      <c r="C13" s="17" t="s">
        <v>485</v>
      </c>
      <c r="D13" s="30">
        <f>+D12</f>
        <v>8903</v>
      </c>
      <c r="F13" s="30">
        <f>+F12</f>
        <v>32500</v>
      </c>
      <c r="J13" s="33">
        <f>+M13-K13-H13-G13-F13-E13-D13</f>
        <v>85714</v>
      </c>
      <c r="L13" s="29">
        <f>SUM(D13:J13)</f>
        <v>127117</v>
      </c>
      <c r="M13" s="29">
        <f>+4_mell!M12</f>
        <v>127117</v>
      </c>
    </row>
    <row r="14" spans="4:13" ht="13.5" customHeight="1">
      <c r="D14" s="29"/>
      <c r="J14" s="29"/>
      <c r="K14" s="29"/>
      <c r="L14" s="29"/>
      <c r="M14" s="29"/>
    </row>
    <row r="15" spans="3:13" ht="28.5" customHeight="1" hidden="1">
      <c r="C15" s="28" t="s">
        <v>54</v>
      </c>
      <c r="D15" s="29">
        <v>1290</v>
      </c>
      <c r="J15" s="29">
        <f>+M15-D15-E15-F15-G15-H15-K15</f>
        <v>17458</v>
      </c>
      <c r="K15" s="29"/>
      <c r="L15" s="29">
        <f>SUM(D15:J15)</f>
        <v>18748</v>
      </c>
      <c r="M15" s="29">
        <f>+4_mell!M14</f>
        <v>18748</v>
      </c>
    </row>
    <row r="16" spans="3:13" ht="30.75" customHeight="1" hidden="1">
      <c r="C16" s="28" t="s">
        <v>374</v>
      </c>
      <c r="D16" s="29">
        <f>+D15</f>
        <v>1290</v>
      </c>
      <c r="E16" s="29">
        <f>+E15</f>
        <v>0</v>
      </c>
      <c r="F16" s="29">
        <f>+F15+4878</f>
        <v>4878</v>
      </c>
      <c r="G16" s="29">
        <v>806</v>
      </c>
      <c r="H16" s="29">
        <f>+H15+3122</f>
        <v>3122</v>
      </c>
      <c r="J16" s="29">
        <f>+M16-D16-E16-F16-G16-H16-K16</f>
        <v>20900</v>
      </c>
      <c r="K16" s="29"/>
      <c r="L16" s="29">
        <f>SUM(D16:J16)</f>
        <v>30996</v>
      </c>
      <c r="M16" s="29">
        <f>+4_mell!M15</f>
        <v>30996</v>
      </c>
    </row>
    <row r="17" spans="1:13" ht="28.5" customHeight="1">
      <c r="A17" s="17" t="s">
        <v>24</v>
      </c>
      <c r="B17" s="28" t="str">
        <f>+'[2]kiadás'!B24</f>
        <v>Városi Művelődési Központ és Könyvtár</v>
      </c>
      <c r="C17" s="28" t="s">
        <v>378</v>
      </c>
      <c r="D17" s="29">
        <v>2200</v>
      </c>
      <c r="E17" s="29"/>
      <c r="F17" s="29">
        <v>0</v>
      </c>
      <c r="G17" s="29"/>
      <c r="H17" s="29"/>
      <c r="J17" s="33">
        <f>+M17-K17-H17-G17-F17-E17-D17</f>
        <v>19318</v>
      </c>
      <c r="K17" s="29"/>
      <c r="L17" s="29">
        <f>SUM(D17:J17)</f>
        <v>21518</v>
      </c>
      <c r="M17" s="29">
        <f>+4_mell!M16</f>
        <v>21518</v>
      </c>
    </row>
    <row r="18" spans="1:13" ht="21" customHeight="1">
      <c r="A18" s="17" t="s">
        <v>25</v>
      </c>
      <c r="C18" s="17" t="s">
        <v>485</v>
      </c>
      <c r="D18" s="31">
        <f>+D17</f>
        <v>2200</v>
      </c>
      <c r="E18" s="31"/>
      <c r="F18" s="31"/>
      <c r="G18" s="31"/>
      <c r="H18" s="31"/>
      <c r="I18" s="31"/>
      <c r="J18" s="33">
        <f>+M18-K18-H18-G18-F18-E18-D18</f>
        <v>19358</v>
      </c>
      <c r="K18" s="31"/>
      <c r="L18" s="29">
        <f>SUM(D18:J18)</f>
        <v>21558</v>
      </c>
      <c r="M18" s="29">
        <f>+4_mell!M17</f>
        <v>21558</v>
      </c>
    </row>
    <row r="19" spans="4:13" ht="15" customHeight="1">
      <c r="D19" s="31"/>
      <c r="E19" s="31"/>
      <c r="F19" s="32"/>
      <c r="G19" s="31"/>
      <c r="H19" s="32"/>
      <c r="I19" s="31"/>
      <c r="J19" s="32"/>
      <c r="L19" s="31"/>
      <c r="M19" s="31"/>
    </row>
    <row r="20" spans="3:13" ht="28.5" customHeight="1" hidden="1">
      <c r="C20" s="28" t="s">
        <v>54</v>
      </c>
      <c r="D20" s="31">
        <f>122+2014+2061+48-1</f>
        <v>4244</v>
      </c>
      <c r="E20" s="31"/>
      <c r="F20" s="32">
        <f>+1_mell!E34+1_mell!E35+1_mell!E36+1_mell!E37</f>
        <v>19345</v>
      </c>
      <c r="G20" s="31"/>
      <c r="H20" s="32"/>
      <c r="I20" s="31"/>
      <c r="J20" s="32"/>
      <c r="L20" s="31">
        <f>SUM(D20:J20)</f>
        <v>23589</v>
      </c>
      <c r="M20" s="31">
        <f>+4_mell!M19</f>
        <v>102806</v>
      </c>
    </row>
    <row r="21" spans="3:13" ht="15" hidden="1">
      <c r="C21" s="28" t="s">
        <v>374</v>
      </c>
      <c r="D21" s="31">
        <f>+D20</f>
        <v>4244</v>
      </c>
      <c r="E21" s="31">
        <v>40813</v>
      </c>
      <c r="F21" s="32">
        <f>+F20-8000-5671+420+2000+384+93588+39-6500+66445+19+3248</f>
        <v>165317</v>
      </c>
      <c r="G21" s="31">
        <f>+G20</f>
        <v>0</v>
      </c>
      <c r="H21" s="32">
        <v>20200</v>
      </c>
      <c r="I21" s="31"/>
      <c r="J21" s="32"/>
      <c r="L21" s="31">
        <f>SUM(D21:J21)</f>
        <v>230574</v>
      </c>
      <c r="M21" s="31">
        <f>+4_mell!M20</f>
        <v>378492</v>
      </c>
    </row>
    <row r="22" spans="1:13" ht="30">
      <c r="A22" s="17" t="s">
        <v>26</v>
      </c>
      <c r="B22" s="28" t="s">
        <v>41</v>
      </c>
      <c r="C22" s="28" t="s">
        <v>378</v>
      </c>
      <c r="D22" s="31">
        <v>500</v>
      </c>
      <c r="E22" s="31"/>
      <c r="F22" s="32">
        <f>+1_mell!E33+1_mell!E34+1_mell!E35+1_mell!E36+1_mell!E37+1_mell!E38</f>
        <v>117844</v>
      </c>
      <c r="G22" s="31"/>
      <c r="H22" s="32"/>
      <c r="I22" s="31"/>
      <c r="J22" s="32"/>
      <c r="K22" s="30">
        <f>+1_mell!E6-1_mell!E7+1_mell!E19+1_mell!E23+1_mell!E46</f>
        <v>447916</v>
      </c>
      <c r="L22" s="31">
        <f>SUM(D22:K22)</f>
        <v>566260</v>
      </c>
      <c r="M22" s="31">
        <f>+4_mell!M21</f>
        <v>89097</v>
      </c>
    </row>
    <row r="23" spans="1:13" ht="24" customHeight="1">
      <c r="A23" s="17" t="s">
        <v>27</v>
      </c>
      <c r="C23" s="17" t="s">
        <v>485</v>
      </c>
      <c r="D23" s="31">
        <f>+D22</f>
        <v>500</v>
      </c>
      <c r="E23" s="31"/>
      <c r="F23" s="32">
        <f>+F22-24129+39316</f>
        <v>133031</v>
      </c>
      <c r="G23" s="31"/>
      <c r="H23" s="32">
        <f>+1_mell!F43+6094</f>
        <v>32306</v>
      </c>
      <c r="I23" s="31"/>
      <c r="J23" s="32"/>
      <c r="K23" s="30">
        <f>+1_mell!F6-1_mell!F7+1_mell!F19+1_mell!F23+1_mell!F46</f>
        <v>473430</v>
      </c>
      <c r="L23" s="31">
        <f>SUM(D23:K23)</f>
        <v>639267</v>
      </c>
      <c r="M23" s="31">
        <f>+4_mell!M22</f>
        <v>159832</v>
      </c>
    </row>
    <row r="24" spans="3:13" ht="15">
      <c r="C24" s="28"/>
      <c r="D24" s="31"/>
      <c r="E24" s="31"/>
      <c r="F24" s="32"/>
      <c r="G24" s="31"/>
      <c r="H24" s="32"/>
      <c r="I24" s="31"/>
      <c r="J24" s="32"/>
      <c r="L24" s="31"/>
      <c r="M24" s="31"/>
    </row>
    <row r="25" spans="3:13" ht="31.5" customHeight="1" hidden="1">
      <c r="C25" s="28" t="s">
        <v>54</v>
      </c>
      <c r="D25" s="29">
        <f>216+1375-1</f>
        <v>1590</v>
      </c>
      <c r="F25" s="30">
        <f>+1_mell!D33</f>
        <v>146826</v>
      </c>
      <c r="J25" s="33">
        <f>+M25-D25-E25-F25-G25-H25-K25</f>
        <v>175377</v>
      </c>
      <c r="K25" s="32"/>
      <c r="L25" s="29">
        <f>SUM(D25:J25)</f>
        <v>323793</v>
      </c>
      <c r="M25" s="29">
        <f>+4_mell!M27</f>
        <v>323793</v>
      </c>
    </row>
    <row r="26" spans="3:13" ht="31.5" customHeight="1" hidden="1">
      <c r="C26" s="28" t="s">
        <v>374</v>
      </c>
      <c r="D26" s="29">
        <f>+D25</f>
        <v>1590</v>
      </c>
      <c r="E26" s="29">
        <v>6610</v>
      </c>
      <c r="F26" s="33">
        <f>+F25-84005+9981-26912-16962+11548</f>
        <v>40476</v>
      </c>
      <c r="G26" s="29">
        <v>225</v>
      </c>
      <c r="H26" s="29">
        <f>+H25</f>
        <v>0</v>
      </c>
      <c r="J26" s="33">
        <f>+M26-K26-H26-G26-F26-E26-D26</f>
        <v>311996</v>
      </c>
      <c r="K26" s="32"/>
      <c r="L26" s="29">
        <f>SUM(D26:J26)</f>
        <v>360897</v>
      </c>
      <c r="M26" s="29">
        <f>+4_mell!M28</f>
        <v>360897</v>
      </c>
    </row>
    <row r="27" spans="1:13" ht="32.25" customHeight="1">
      <c r="A27" s="17" t="s">
        <v>28</v>
      </c>
      <c r="B27" s="28" t="s">
        <v>338</v>
      </c>
      <c r="C27" s="28" t="s">
        <v>378</v>
      </c>
      <c r="D27" s="17">
        <v>2100</v>
      </c>
      <c r="F27" s="17">
        <v>0</v>
      </c>
      <c r="J27" s="33">
        <f>+M27-K27-H27-G27-F27-E27-D27</f>
        <v>278832</v>
      </c>
      <c r="L27" s="29">
        <f>SUM(D27:J27)</f>
        <v>280932</v>
      </c>
      <c r="M27" s="17">
        <f>+4_mell!M30</f>
        <v>280932</v>
      </c>
    </row>
    <row r="28" spans="1:13" ht="24.75" customHeight="1">
      <c r="A28" s="17" t="s">
        <v>29</v>
      </c>
      <c r="C28" s="17" t="s">
        <v>485</v>
      </c>
      <c r="D28" s="17">
        <f>+D27</f>
        <v>2100</v>
      </c>
      <c r="F28" s="17">
        <v>973</v>
      </c>
      <c r="J28" s="33">
        <f>+M28-K28-H28-G28-F28-E28-D28</f>
        <v>279024</v>
      </c>
      <c r="L28" s="29">
        <f>SUM(D28:J28)</f>
        <v>282097</v>
      </c>
      <c r="M28" s="17">
        <f>+4_mell!M31</f>
        <v>282097</v>
      </c>
    </row>
    <row r="29" spans="3:12" ht="15" customHeight="1">
      <c r="C29" s="28"/>
      <c r="L29" s="29"/>
    </row>
    <row r="30" spans="3:13" ht="32.25" customHeight="1" hidden="1">
      <c r="C30" s="28" t="s">
        <v>54</v>
      </c>
      <c r="D30" s="31">
        <f aca="true" t="shared" si="1" ref="D30:M30">+D25+D20+D15+D10+D5</f>
        <v>114297</v>
      </c>
      <c r="E30" s="31">
        <f t="shared" si="1"/>
        <v>0</v>
      </c>
      <c r="F30" s="31">
        <f t="shared" si="1"/>
        <v>212916</v>
      </c>
      <c r="G30" s="31">
        <f t="shared" si="1"/>
        <v>0</v>
      </c>
      <c r="H30" s="31">
        <f t="shared" si="1"/>
        <v>0</v>
      </c>
      <c r="I30" s="31">
        <f t="shared" si="1"/>
        <v>0</v>
      </c>
      <c r="J30" s="32">
        <f t="shared" si="1"/>
        <v>340029</v>
      </c>
      <c r="K30" s="31">
        <f t="shared" si="1"/>
        <v>0</v>
      </c>
      <c r="L30" s="31">
        <f t="shared" si="1"/>
        <v>667242</v>
      </c>
      <c r="M30" s="31">
        <f t="shared" si="1"/>
        <v>746459</v>
      </c>
    </row>
    <row r="31" spans="3:13" ht="15" hidden="1">
      <c r="C31" s="28" t="s">
        <v>374</v>
      </c>
      <c r="D31" s="31">
        <f aca="true" t="shared" si="2" ref="D31:M31">+D26+D21+D16+D11+D6</f>
        <v>114297</v>
      </c>
      <c r="E31" s="31">
        <f t="shared" si="2"/>
        <v>52602</v>
      </c>
      <c r="F31" s="32">
        <f t="shared" si="2"/>
        <v>251745</v>
      </c>
      <c r="G31" s="31">
        <f t="shared" si="2"/>
        <v>3726</v>
      </c>
      <c r="H31" s="31">
        <f t="shared" si="2"/>
        <v>23322</v>
      </c>
      <c r="I31" s="31">
        <f t="shared" si="2"/>
        <v>0</v>
      </c>
      <c r="J31" s="31">
        <f t="shared" si="2"/>
        <v>540096</v>
      </c>
      <c r="K31" s="31">
        <f t="shared" si="2"/>
        <v>0</v>
      </c>
      <c r="L31" s="31">
        <f t="shared" si="2"/>
        <v>985788</v>
      </c>
      <c r="M31" s="31">
        <f t="shared" si="2"/>
        <v>1133706</v>
      </c>
    </row>
    <row r="32" spans="1:13" ht="33.75" customHeight="1">
      <c r="A32" s="17" t="s">
        <v>30</v>
      </c>
      <c r="B32" s="34" t="s">
        <v>53</v>
      </c>
      <c r="C32" s="28" t="s">
        <v>378</v>
      </c>
      <c r="D32" s="31">
        <f aca="true" t="shared" si="3" ref="D32:K33">+D27+D22+D17+D12+D7</f>
        <v>99471</v>
      </c>
      <c r="E32" s="31">
        <f t="shared" si="3"/>
        <v>0</v>
      </c>
      <c r="F32" s="31">
        <f t="shared" si="3"/>
        <v>150344</v>
      </c>
      <c r="G32" s="31">
        <f t="shared" si="3"/>
        <v>0</v>
      </c>
      <c r="H32" s="31">
        <f t="shared" si="3"/>
        <v>0</v>
      </c>
      <c r="I32" s="31">
        <f t="shared" si="3"/>
        <v>0</v>
      </c>
      <c r="J32" s="32">
        <f t="shared" si="3"/>
        <v>477163</v>
      </c>
      <c r="K32" s="31">
        <f t="shared" si="3"/>
        <v>447916</v>
      </c>
      <c r="L32" s="31">
        <f>+K32+H32+G32+F32+E32+D32</f>
        <v>697731</v>
      </c>
      <c r="M32" s="31">
        <f>+M27+M22+M17+M12+M7</f>
        <v>697731</v>
      </c>
    </row>
    <row r="33" spans="1:13" ht="15">
      <c r="A33" s="17" t="s">
        <v>31</v>
      </c>
      <c r="B33" s="31"/>
      <c r="C33" s="17" t="s">
        <v>485</v>
      </c>
      <c r="D33" s="31">
        <f t="shared" si="3"/>
        <v>99471</v>
      </c>
      <c r="E33" s="31">
        <f t="shared" si="3"/>
        <v>0</v>
      </c>
      <c r="F33" s="31">
        <f t="shared" si="3"/>
        <v>166504</v>
      </c>
      <c r="G33" s="31">
        <f t="shared" si="3"/>
        <v>0</v>
      </c>
      <c r="H33" s="31">
        <f t="shared" si="3"/>
        <v>32306</v>
      </c>
      <c r="I33" s="31">
        <f t="shared" si="3"/>
        <v>0</v>
      </c>
      <c r="J33" s="31">
        <f t="shared" si="3"/>
        <v>479435</v>
      </c>
      <c r="K33" s="31">
        <f t="shared" si="3"/>
        <v>473430</v>
      </c>
      <c r="L33" s="31">
        <f>+L28+L23+L18+L13+L8</f>
        <v>1251146</v>
      </c>
      <c r="M33" s="31">
        <f>+M28+M23+M18+M13+M8</f>
        <v>771711</v>
      </c>
    </row>
    <row r="34" spans="2:13" ht="15">
      <c r="B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</sheetData>
  <sheetProtection/>
  <mergeCells count="1">
    <mergeCell ref="F1:H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&amp;L3. melléklet a 2014. évi 6/2014.(III.28.) Önkormányzati költségvetési rendelethez&amp;R&amp;D</oddHead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SheetLayoutView="100" zoomScalePageLayoutView="0" workbookViewId="0" topLeftCell="A3">
      <selection activeCell="F18" sqref="F18"/>
    </sheetView>
  </sheetViews>
  <sheetFormatPr defaultColWidth="9.140625" defaultRowHeight="15" customHeight="1"/>
  <cols>
    <col min="1" max="1" width="4.57421875" style="8" bestFit="1" customWidth="1"/>
    <col min="2" max="2" width="25.57421875" style="1" customWidth="1"/>
    <col min="3" max="3" width="15.140625" style="38" bestFit="1" customWidth="1"/>
    <col min="4" max="4" width="11.421875" style="1" customWidth="1"/>
    <col min="5" max="5" width="10.140625" style="1" customWidth="1"/>
    <col min="6" max="6" width="10.28125" style="1" bestFit="1" customWidth="1"/>
    <col min="7" max="7" width="12.8515625" style="1" customWidth="1"/>
    <col min="8" max="8" width="9.57421875" style="1" bestFit="1" customWidth="1"/>
    <col min="9" max="9" width="11.00390625" style="1" customWidth="1"/>
    <col min="10" max="10" width="10.8515625" style="1" customWidth="1"/>
    <col min="11" max="11" width="9.00390625" style="1" customWidth="1"/>
    <col min="12" max="12" width="11.140625" style="1" bestFit="1" customWidth="1"/>
    <col min="13" max="13" width="11.8515625" style="1" customWidth="1"/>
    <col min="14" max="14" width="4.00390625" style="1" bestFit="1" customWidth="1"/>
    <col min="15" max="15" width="10.140625" style="1" bestFit="1" customWidth="1"/>
    <col min="16" max="16" width="9.28125" style="1" bestFit="1" customWidth="1"/>
    <col min="17" max="23" width="9.140625" style="1" customWidth="1"/>
    <col min="24" max="24" width="13.28125" style="1" bestFit="1" customWidth="1"/>
    <col min="25" max="16384" width="9.140625" style="1" customWidth="1"/>
  </cols>
  <sheetData>
    <row r="1" spans="2:14" ht="15" customHeight="1">
      <c r="B1" s="2" t="s">
        <v>0</v>
      </c>
      <c r="C1" s="635" t="s">
        <v>55</v>
      </c>
      <c r="D1" s="9" t="s">
        <v>56</v>
      </c>
      <c r="E1" s="3" t="s">
        <v>57</v>
      </c>
      <c r="F1" s="35" t="s">
        <v>58</v>
      </c>
      <c r="G1" s="4" t="s">
        <v>59</v>
      </c>
      <c r="H1" s="675" t="s">
        <v>60</v>
      </c>
      <c r="I1" s="675"/>
      <c r="J1" s="675"/>
      <c r="K1" s="675"/>
      <c r="L1" s="3" t="s">
        <v>39</v>
      </c>
      <c r="M1" s="3" t="s">
        <v>61</v>
      </c>
      <c r="N1" s="3"/>
    </row>
    <row r="2" spans="2:14" ht="15" customHeight="1">
      <c r="B2" s="5"/>
      <c r="C2" s="450"/>
      <c r="D2" s="7"/>
      <c r="E2" s="7"/>
      <c r="F2" s="7"/>
      <c r="G2" s="7"/>
      <c r="H2" s="7" t="s">
        <v>7</v>
      </c>
      <c r="I2" s="7" t="s">
        <v>62</v>
      </c>
      <c r="J2" s="7" t="s">
        <v>8</v>
      </c>
      <c r="K2" s="7" t="s">
        <v>9</v>
      </c>
      <c r="L2" s="7"/>
      <c r="M2" s="7"/>
      <c r="N2" s="7"/>
    </row>
    <row r="3" spans="1:14" s="8" customFormat="1" ht="20.25" customHeight="1">
      <c r="A3" s="8" t="s">
        <v>365</v>
      </c>
      <c r="B3" s="2" t="s">
        <v>12</v>
      </c>
      <c r="C3" s="635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63</v>
      </c>
      <c r="J3" s="3" t="s">
        <v>19</v>
      </c>
      <c r="K3" s="3" t="s">
        <v>363</v>
      </c>
      <c r="L3" s="3" t="s">
        <v>364</v>
      </c>
      <c r="M3" s="3" t="s">
        <v>366</v>
      </c>
      <c r="N3" s="3"/>
    </row>
    <row r="4" spans="3:14" ht="31.5" customHeight="1" hidden="1">
      <c r="C4" s="442" t="s">
        <v>54</v>
      </c>
      <c r="D4" s="106">
        <v>41905</v>
      </c>
      <c r="E4" s="106">
        <v>11238</v>
      </c>
      <c r="F4" s="106">
        <f>130967-4000+2000</f>
        <v>128967</v>
      </c>
      <c r="G4" s="106">
        <f>SUM(D4:F4)</f>
        <v>182110</v>
      </c>
      <c r="H4" s="106"/>
      <c r="I4" s="106"/>
      <c r="J4" s="106"/>
      <c r="K4" s="106"/>
      <c r="L4" s="106"/>
      <c r="M4" s="106">
        <f>SUM(G4:L4)</f>
        <v>182110</v>
      </c>
      <c r="N4" s="11"/>
    </row>
    <row r="5" spans="3:14" ht="30.75" hidden="1">
      <c r="C5" s="445" t="s">
        <v>375</v>
      </c>
      <c r="D5" s="106">
        <f>+D4+713+364+235+449</f>
        <v>43666</v>
      </c>
      <c r="E5" s="106">
        <f>+E4+192+462+63+122</f>
        <v>12077</v>
      </c>
      <c r="F5" s="106">
        <f>+F4+43132</f>
        <v>172099</v>
      </c>
      <c r="G5" s="106">
        <f>SUM(D5:F5)</f>
        <v>227842</v>
      </c>
      <c r="H5" s="106"/>
      <c r="I5" s="106"/>
      <c r="J5" s="106"/>
      <c r="K5" s="106"/>
      <c r="L5" s="106">
        <v>497</v>
      </c>
      <c r="M5" s="106">
        <f>SUM(G5:L5)</f>
        <v>228339</v>
      </c>
      <c r="N5" s="11"/>
    </row>
    <row r="6" spans="1:13" s="11" customFormat="1" ht="31.5">
      <c r="A6" s="8" t="s">
        <v>20</v>
      </c>
      <c r="B6" s="10" t="str">
        <f>+'[1]2mell 1ápr'!A28</f>
        <v>Városellátó  Szervezet</v>
      </c>
      <c r="C6" s="11" t="s">
        <v>378</v>
      </c>
      <c r="D6" s="11">
        <v>42097</v>
      </c>
      <c r="E6" s="11">
        <v>11376</v>
      </c>
      <c r="F6" s="11">
        <v>126443</v>
      </c>
      <c r="G6" s="11">
        <f>SUM(D6:F6)</f>
        <v>179916</v>
      </c>
      <c r="L6" s="11">
        <v>0</v>
      </c>
      <c r="M6" s="11">
        <f>SUM(G6:L6)</f>
        <v>179916</v>
      </c>
    </row>
    <row r="7" spans="1:13" s="11" customFormat="1" ht="31.5">
      <c r="A7" s="40" t="s">
        <v>21</v>
      </c>
      <c r="B7" s="451"/>
      <c r="C7" s="451" t="s">
        <v>484</v>
      </c>
      <c r="D7" s="11">
        <f>+D6+229</f>
        <v>42326</v>
      </c>
      <c r="E7" s="11">
        <f>+E6+62</f>
        <v>11438</v>
      </c>
      <c r="F7" s="11">
        <f>+F6+900</f>
        <v>127343</v>
      </c>
      <c r="G7" s="11">
        <f>SUM(D7:F7)</f>
        <v>181107</v>
      </c>
      <c r="L7" s="11">
        <f>+L6</f>
        <v>0</v>
      </c>
      <c r="M7" s="11">
        <f>SUM(G7:L7)</f>
        <v>181107</v>
      </c>
    </row>
    <row r="8" spans="3:14" ht="15.75"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1"/>
    </row>
    <row r="9" spans="1:16" ht="33" customHeight="1" hidden="1">
      <c r="A9" s="1"/>
      <c r="C9" s="442" t="s">
        <v>54</v>
      </c>
      <c r="D9" s="106">
        <v>62208</v>
      </c>
      <c r="E9" s="106">
        <v>14440</v>
      </c>
      <c r="F9" s="106">
        <f>42090+274+3846+144-4000</f>
        <v>42354</v>
      </c>
      <c r="G9" s="106">
        <f>SUM(D9:F9)</f>
        <v>119002</v>
      </c>
      <c r="H9" s="106"/>
      <c r="I9" s="106"/>
      <c r="J9" s="106"/>
      <c r="K9" s="106"/>
      <c r="L9" s="106"/>
      <c r="M9" s="106">
        <f>SUM(G9:L9)</f>
        <v>119002</v>
      </c>
      <c r="N9" s="11"/>
      <c r="O9" s="1">
        <v>127355</v>
      </c>
      <c r="P9" s="1">
        <f>+O9-M9</f>
        <v>8353</v>
      </c>
    </row>
    <row r="10" spans="3:14" ht="30.75" hidden="1">
      <c r="C10" s="445" t="s">
        <v>375</v>
      </c>
      <c r="D10" s="106">
        <f>+D9+1303+360+462+669</f>
        <v>65002</v>
      </c>
      <c r="E10" s="106">
        <f>+E9+352+97+125+180</f>
        <v>15194</v>
      </c>
      <c r="F10" s="106">
        <f>+F9+8867+1674+1891</f>
        <v>54786</v>
      </c>
      <c r="G10" s="106">
        <f>SUM(D10:F10)</f>
        <v>134982</v>
      </c>
      <c r="H10" s="106"/>
      <c r="I10" s="106"/>
      <c r="J10" s="106"/>
      <c r="K10" s="106"/>
      <c r="L10" s="106"/>
      <c r="M10" s="106">
        <f>SUM(G10:L10)</f>
        <v>134982</v>
      </c>
      <c r="N10" s="11"/>
    </row>
    <row r="11" spans="1:13" s="11" customFormat="1" ht="47.25">
      <c r="A11" s="8" t="s">
        <v>22</v>
      </c>
      <c r="B11" s="10" t="str">
        <f>+'[1]2mell 1ápr'!A32</f>
        <v>Egészségügyi és Szociális Ellátó Szervezet</v>
      </c>
      <c r="C11" s="11" t="s">
        <v>378</v>
      </c>
      <c r="D11" s="15">
        <v>66502</v>
      </c>
      <c r="E11" s="15">
        <v>17794</v>
      </c>
      <c r="F11" s="15">
        <v>41972</v>
      </c>
      <c r="G11" s="15">
        <f>SUM(D11:F11)</f>
        <v>126268</v>
      </c>
      <c r="M11" s="15">
        <f>SUM(G11:L11)</f>
        <v>126268</v>
      </c>
    </row>
    <row r="12" spans="1:13" s="11" customFormat="1" ht="31.5">
      <c r="A12" s="40" t="s">
        <v>23</v>
      </c>
      <c r="B12" s="451"/>
      <c r="C12" s="451" t="s">
        <v>484</v>
      </c>
      <c r="D12" s="15">
        <f>+D11+336+333</f>
        <v>67171</v>
      </c>
      <c r="E12" s="15">
        <f>+E11+90+90</f>
        <v>17974</v>
      </c>
      <c r="F12" s="15">
        <f>+F11</f>
        <v>41972</v>
      </c>
      <c r="G12" s="15">
        <f>SUM(D12:F12)</f>
        <v>127117</v>
      </c>
      <c r="M12" s="15">
        <f>SUM(G12:L12)</f>
        <v>127117</v>
      </c>
    </row>
    <row r="13" spans="3:14" ht="15.75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1"/>
      <c r="N13" s="11"/>
    </row>
    <row r="14" spans="1:14" ht="31.5" customHeight="1" hidden="1">
      <c r="A14" s="1"/>
      <c r="C14" s="442" t="s">
        <v>54</v>
      </c>
      <c r="D14" s="106">
        <v>9313</v>
      </c>
      <c r="E14" s="106">
        <v>2514</v>
      </c>
      <c r="F14" s="106">
        <f>8521-2000+400</f>
        <v>6921</v>
      </c>
      <c r="G14" s="106">
        <f>SUM(D14:F14)</f>
        <v>18748</v>
      </c>
      <c r="H14" s="106"/>
      <c r="I14" s="106"/>
      <c r="J14" s="106"/>
      <c r="K14" s="106"/>
      <c r="L14" s="106"/>
      <c r="M14" s="106">
        <f>SUM(G14:L14)</f>
        <v>18748</v>
      </c>
      <c r="N14" s="11"/>
    </row>
    <row r="15" spans="3:14" ht="30.75" hidden="1">
      <c r="C15" s="445" t="s">
        <v>375</v>
      </c>
      <c r="D15" s="106">
        <f>+D14+95+32+756+72</f>
        <v>10268</v>
      </c>
      <c r="E15" s="106">
        <f>+E14+25+8+204+21</f>
        <v>2772</v>
      </c>
      <c r="F15" s="106">
        <f>+F14+2408+408-408+179+3918+1000</f>
        <v>14426</v>
      </c>
      <c r="G15" s="106">
        <f>SUM(D15:F15)</f>
        <v>27466</v>
      </c>
      <c r="H15" s="106"/>
      <c r="I15" s="106"/>
      <c r="J15" s="106"/>
      <c r="K15" s="106"/>
      <c r="L15" s="106">
        <f>408+3122</f>
        <v>3530</v>
      </c>
      <c r="M15" s="106">
        <f>SUM(G15:L15)</f>
        <v>30996</v>
      </c>
      <c r="N15" s="11"/>
    </row>
    <row r="16" spans="1:13" s="11" customFormat="1" ht="31.5">
      <c r="A16" s="8" t="s">
        <v>24</v>
      </c>
      <c r="B16" s="10" t="s">
        <v>64</v>
      </c>
      <c r="C16" s="11" t="s">
        <v>378</v>
      </c>
      <c r="D16" s="11">
        <v>9409</v>
      </c>
      <c r="E16" s="11">
        <v>2539</v>
      </c>
      <c r="F16" s="11">
        <f>8870+700</f>
        <v>9570</v>
      </c>
      <c r="G16" s="11">
        <f>SUM(D16:F16)</f>
        <v>21518</v>
      </c>
      <c r="L16" s="11">
        <v>0</v>
      </c>
      <c r="M16" s="11">
        <f>SUM(G16:L16)</f>
        <v>21518</v>
      </c>
    </row>
    <row r="17" spans="1:13" s="11" customFormat="1" ht="31.5">
      <c r="A17" s="40" t="s">
        <v>25</v>
      </c>
      <c r="B17" s="451"/>
      <c r="C17" s="451" t="s">
        <v>484</v>
      </c>
      <c r="D17" s="11">
        <f>+D16+31</f>
        <v>9440</v>
      </c>
      <c r="E17" s="11">
        <f>+E16+9</f>
        <v>2548</v>
      </c>
      <c r="F17" s="11">
        <f>+F16</f>
        <v>9570</v>
      </c>
      <c r="G17" s="11">
        <f>SUM(D17:F17)</f>
        <v>21558</v>
      </c>
      <c r="L17" s="11">
        <f>+L16</f>
        <v>0</v>
      </c>
      <c r="M17" s="11">
        <f>SUM(G17:L17)</f>
        <v>21558</v>
      </c>
    </row>
    <row r="18" spans="3:14" ht="15.75">
      <c r="C18" s="443"/>
      <c r="D18" s="443"/>
      <c r="E18" s="443"/>
      <c r="F18" s="443"/>
      <c r="G18" s="443"/>
      <c r="H18" s="444"/>
      <c r="I18" s="444"/>
      <c r="J18" s="444"/>
      <c r="K18" s="444"/>
      <c r="L18" s="444"/>
      <c r="M18" s="443"/>
      <c r="N18" s="13"/>
    </row>
    <row r="19" spans="1:14" ht="29.25" customHeight="1" hidden="1">
      <c r="A19" s="1"/>
      <c r="C19" s="445" t="s">
        <v>54</v>
      </c>
      <c r="D19" s="443">
        <v>15988</v>
      </c>
      <c r="E19" s="443">
        <v>2561</v>
      </c>
      <c r="F19" s="443">
        <f>54260-2000</f>
        <v>52260</v>
      </c>
      <c r="G19" s="443">
        <f>SUM(D19:F19)</f>
        <v>70809</v>
      </c>
      <c r="H19" s="444">
        <f>+5_mell!C30</f>
        <v>26169</v>
      </c>
      <c r="I19" s="444">
        <v>5828</v>
      </c>
      <c r="J19" s="444"/>
      <c r="K19" s="444"/>
      <c r="L19" s="444">
        <v>0</v>
      </c>
      <c r="M19" s="443">
        <f>SUM(G19:L19)</f>
        <v>102806</v>
      </c>
      <c r="N19" s="13"/>
    </row>
    <row r="20" spans="1:14" ht="0.75" customHeight="1">
      <c r="A20" s="8">
        <v>7</v>
      </c>
      <c r="C20" s="445" t="s">
        <v>375</v>
      </c>
      <c r="D20" s="443">
        <f>+D19+21+302+62985+214+45000+21+37</f>
        <v>124568</v>
      </c>
      <c r="E20" s="443">
        <f>+E19+6+82+8503+52+6300+6</f>
        <v>17510</v>
      </c>
      <c r="F20" s="443">
        <f>+F19+55665+15600-4751+15145-323-2252-347+9</f>
        <v>131006</v>
      </c>
      <c r="G20" s="443">
        <f>SUM(D20:F20)</f>
        <v>273084</v>
      </c>
      <c r="H20" s="444">
        <v>29562</v>
      </c>
      <c r="I20" s="444">
        <v>18442</v>
      </c>
      <c r="J20" s="444">
        <v>3726</v>
      </c>
      <c r="K20" s="444">
        <v>3000</v>
      </c>
      <c r="L20" s="444">
        <v>50678</v>
      </c>
      <c r="M20" s="443">
        <f>SUM(G20:L20)</f>
        <v>378492</v>
      </c>
      <c r="N20" s="13"/>
    </row>
    <row r="21" spans="1:14" ht="31.5">
      <c r="A21" s="8" t="s">
        <v>26</v>
      </c>
      <c r="B21" s="16" t="str">
        <f>+'[2]bevétel'!B34</f>
        <v>Battonya Város Önkormányzata</v>
      </c>
      <c r="C21" s="1" t="s">
        <v>378</v>
      </c>
      <c r="D21" s="14">
        <f>1620+1412</f>
        <v>3032</v>
      </c>
      <c r="E21" s="14">
        <f>381+394</f>
        <v>775</v>
      </c>
      <c r="F21" s="14">
        <f>2105+507+3067+9450</f>
        <v>15129</v>
      </c>
      <c r="G21" s="13">
        <f>SUM(D21:F21)</f>
        <v>18936</v>
      </c>
      <c r="H21" s="14">
        <f>+5_mell!C30</f>
        <v>26169</v>
      </c>
      <c r="I21" s="14">
        <f>+6_mell!J31</f>
        <v>5114</v>
      </c>
      <c r="J21" s="14">
        <v>0</v>
      </c>
      <c r="K21" s="14">
        <f>+2_mell!E19</f>
        <v>3000</v>
      </c>
      <c r="L21" s="14">
        <f>+7_mell!C7+7_mell!C8+7_mell!C9+7_mell!C15+7_mell!C16</f>
        <v>35878</v>
      </c>
      <c r="M21" s="13">
        <f>SUM(G21:L21)</f>
        <v>89097</v>
      </c>
      <c r="N21" s="13"/>
    </row>
    <row r="22" spans="1:14" ht="31.5">
      <c r="A22" s="8" t="s">
        <v>27</v>
      </c>
      <c r="B22" s="13"/>
      <c r="C22" s="451" t="s">
        <v>484</v>
      </c>
      <c r="D22" s="14">
        <f>+D21+11+33371</f>
        <v>36414</v>
      </c>
      <c r="E22" s="14">
        <f>+E21+2+4505</f>
        <v>5282</v>
      </c>
      <c r="F22" s="14">
        <f>+F21+1440</f>
        <v>16569</v>
      </c>
      <c r="G22" s="13">
        <f>SUM(D22:F22)</f>
        <v>58265</v>
      </c>
      <c r="H22" s="14">
        <f>+5_mell!D30</f>
        <v>26169</v>
      </c>
      <c r="I22" s="14">
        <f>+6_mell!J31</f>
        <v>5114</v>
      </c>
      <c r="J22" s="14"/>
      <c r="K22" s="14">
        <f>+5_mell!D32</f>
        <v>3000</v>
      </c>
      <c r="L22" s="14">
        <f>L21+26212-900+6094</f>
        <v>67284</v>
      </c>
      <c r="M22" s="13">
        <f>SUM(G22:L22)</f>
        <v>159832</v>
      </c>
      <c r="N22" s="13"/>
    </row>
    <row r="23" spans="2:14" ht="15" customHeight="1" hidden="1">
      <c r="B23" s="2" t="s">
        <v>0</v>
      </c>
      <c r="C23" s="449" t="s">
        <v>55</v>
      </c>
      <c r="D23" s="9" t="s">
        <v>56</v>
      </c>
      <c r="E23" s="3" t="s">
        <v>57</v>
      </c>
      <c r="F23" s="35" t="s">
        <v>58</v>
      </c>
      <c r="G23" s="4" t="s">
        <v>59</v>
      </c>
      <c r="H23" s="675" t="s">
        <v>60</v>
      </c>
      <c r="I23" s="675"/>
      <c r="J23" s="675"/>
      <c r="K23" s="675"/>
      <c r="L23" s="3" t="s">
        <v>39</v>
      </c>
      <c r="M23" s="3" t="s">
        <v>61</v>
      </c>
      <c r="N23" s="3"/>
    </row>
    <row r="24" spans="2:14" ht="15" customHeight="1" hidden="1">
      <c r="B24" s="5"/>
      <c r="C24" s="450"/>
      <c r="D24" s="7"/>
      <c r="E24" s="7"/>
      <c r="F24" s="7"/>
      <c r="G24" s="7"/>
      <c r="H24" s="7" t="s">
        <v>7</v>
      </c>
      <c r="I24" s="7" t="s">
        <v>62</v>
      </c>
      <c r="J24" s="7" t="s">
        <v>8</v>
      </c>
      <c r="K24" s="7" t="s">
        <v>9</v>
      </c>
      <c r="L24" s="7"/>
      <c r="M24" s="7"/>
      <c r="N24" s="7"/>
    </row>
    <row r="25" spans="2:14" s="8" customFormat="1" ht="20.25" customHeight="1" hidden="1">
      <c r="B25" s="2" t="s">
        <v>12</v>
      </c>
      <c r="C25" s="449" t="s">
        <v>13</v>
      </c>
      <c r="D25" s="3" t="s">
        <v>14</v>
      </c>
      <c r="E25" s="3" t="s">
        <v>15</v>
      </c>
      <c r="F25" s="3" t="s">
        <v>16</v>
      </c>
      <c r="G25" s="3" t="s">
        <v>17</v>
      </c>
      <c r="H25" s="3" t="s">
        <v>18</v>
      </c>
      <c r="I25" s="3" t="s">
        <v>63</v>
      </c>
      <c r="J25" s="3" t="s">
        <v>19</v>
      </c>
      <c r="K25" s="3" t="s">
        <v>363</v>
      </c>
      <c r="L25" s="3" t="s">
        <v>364</v>
      </c>
      <c r="M25" s="3" t="s">
        <v>366</v>
      </c>
      <c r="N25" s="3"/>
    </row>
    <row r="26" spans="2:14" s="8" customFormat="1" ht="20.25" customHeight="1" hidden="1">
      <c r="B26" s="2"/>
      <c r="C26" s="44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7" ht="31.5" customHeight="1" hidden="1">
      <c r="A27" s="1"/>
      <c r="C27" s="445" t="s">
        <v>54</v>
      </c>
      <c r="D27" s="38">
        <f>95148-565+1430</f>
        <v>96013</v>
      </c>
      <c r="E27" s="38">
        <f>25853-153+386</f>
        <v>26086</v>
      </c>
      <c r="F27" s="38">
        <v>23222</v>
      </c>
      <c r="G27" s="38">
        <f>SUM(D27:F27)</f>
        <v>145321</v>
      </c>
      <c r="H27" s="38"/>
      <c r="I27" s="43">
        <v>178472</v>
      </c>
      <c r="J27" s="43"/>
      <c r="K27" s="38"/>
      <c r="L27" s="38"/>
      <c r="M27" s="38">
        <f>SUM(G27:L27)</f>
        <v>323793</v>
      </c>
      <c r="Q27" s="1">
        <f>1430*0.27</f>
        <v>386.1</v>
      </c>
    </row>
    <row r="28" spans="3:13" ht="31.5" customHeight="1" hidden="1">
      <c r="C28" s="445" t="s">
        <v>375</v>
      </c>
      <c r="D28" s="38">
        <f>+D27+377+7152+151+248+8883</f>
        <v>112824</v>
      </c>
      <c r="E28" s="38">
        <f>+E27+102+1813+41+67+2177</f>
        <v>30286</v>
      </c>
      <c r="F28" s="38">
        <f>+F27+14159+1016+488</f>
        <v>38885</v>
      </c>
      <c r="G28" s="38">
        <f>SUM(D28:F28)</f>
        <v>181995</v>
      </c>
      <c r="H28" s="38"/>
      <c r="I28" s="43">
        <v>178902</v>
      </c>
      <c r="J28" s="43"/>
      <c r="K28" s="38"/>
      <c r="L28" s="38"/>
      <c r="M28" s="38">
        <f>SUM(G28:L28)</f>
        <v>360897</v>
      </c>
    </row>
    <row r="29" spans="3:13" ht="15.75">
      <c r="C29" s="445"/>
      <c r="D29" s="38"/>
      <c r="E29" s="38"/>
      <c r="F29" s="38"/>
      <c r="G29" s="38"/>
      <c r="H29" s="38"/>
      <c r="I29" s="43"/>
      <c r="J29" s="43"/>
      <c r="K29" s="38"/>
      <c r="L29" s="38"/>
      <c r="M29" s="38"/>
    </row>
    <row r="30" spans="1:13" s="11" customFormat="1" ht="31.5">
      <c r="A30" s="8" t="s">
        <v>28</v>
      </c>
      <c r="B30" s="10" t="str">
        <f>+3_mell!B27</f>
        <v>Battonyai Polgármesteri Hivatal</v>
      </c>
      <c r="C30" s="11" t="s">
        <v>378</v>
      </c>
      <c r="D30" s="15">
        <f>101076+3364</f>
        <v>104440</v>
      </c>
      <c r="E30" s="15">
        <f>27015+908</f>
        <v>27923</v>
      </c>
      <c r="F30" s="15">
        <v>35344</v>
      </c>
      <c r="G30" s="11">
        <f>SUM(D30:F30)</f>
        <v>167707</v>
      </c>
      <c r="I30" s="15">
        <f>+6_mell!I31</f>
        <v>113225</v>
      </c>
      <c r="M30" s="11">
        <f>SUM(G30:L30)</f>
        <v>280932</v>
      </c>
    </row>
    <row r="31" spans="1:13" s="11" customFormat="1" ht="31.5">
      <c r="A31" s="40" t="s">
        <v>29</v>
      </c>
      <c r="C31" s="451" t="s">
        <v>484</v>
      </c>
      <c r="D31" s="15">
        <f>+D30+151+600</f>
        <v>105191</v>
      </c>
      <c r="E31" s="15">
        <f>+E30+41+186</f>
        <v>28150</v>
      </c>
      <c r="F31" s="15">
        <f>+F30+187</f>
        <v>35531</v>
      </c>
      <c r="G31" s="11">
        <f>SUM(D31:F31)</f>
        <v>168872</v>
      </c>
      <c r="I31" s="15">
        <f>+6_mell!I31</f>
        <v>113225</v>
      </c>
      <c r="M31" s="11">
        <f>SUM(G31:L31)</f>
        <v>282097</v>
      </c>
    </row>
    <row r="32" spans="3:14" ht="15" customHeight="1">
      <c r="C32" s="106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13"/>
    </row>
    <row r="33" spans="1:14" ht="33" customHeight="1" hidden="1">
      <c r="A33" s="1"/>
      <c r="C33" s="445" t="s">
        <v>54</v>
      </c>
      <c r="D33" s="443">
        <f aca="true" t="shared" si="0" ref="D33:N33">+D27+D19+D14+D9+D4</f>
        <v>225427</v>
      </c>
      <c r="E33" s="443">
        <f t="shared" si="0"/>
        <v>56839</v>
      </c>
      <c r="F33" s="443">
        <f t="shared" si="0"/>
        <v>253724</v>
      </c>
      <c r="G33" s="443">
        <f t="shared" si="0"/>
        <v>535990</v>
      </c>
      <c r="H33" s="444">
        <f t="shared" si="0"/>
        <v>26169</v>
      </c>
      <c r="I33" s="443">
        <f t="shared" si="0"/>
        <v>184300</v>
      </c>
      <c r="J33" s="443">
        <f t="shared" si="0"/>
        <v>0</v>
      </c>
      <c r="K33" s="443">
        <f t="shared" si="0"/>
        <v>0</v>
      </c>
      <c r="L33" s="443">
        <f t="shared" si="0"/>
        <v>0</v>
      </c>
      <c r="M33" s="443">
        <f t="shared" si="0"/>
        <v>746459</v>
      </c>
      <c r="N33" s="13">
        <f t="shared" si="0"/>
        <v>0</v>
      </c>
    </row>
    <row r="34" spans="3:14" ht="33" customHeight="1" hidden="1">
      <c r="C34" s="445" t="s">
        <v>375</v>
      </c>
      <c r="D34" s="443">
        <f>+D28+D20+D15+D10+D5</f>
        <v>356328</v>
      </c>
      <c r="E34" s="443">
        <f aca="true" t="shared" si="1" ref="E34:N34">+E28+E20+E15+E10+E5</f>
        <v>77839</v>
      </c>
      <c r="F34" s="443">
        <f t="shared" si="1"/>
        <v>411202</v>
      </c>
      <c r="G34" s="443">
        <f t="shared" si="1"/>
        <v>845369</v>
      </c>
      <c r="H34" s="443">
        <f t="shared" si="1"/>
        <v>29562</v>
      </c>
      <c r="I34" s="443">
        <f t="shared" si="1"/>
        <v>197344</v>
      </c>
      <c r="J34" s="443">
        <f t="shared" si="1"/>
        <v>3726</v>
      </c>
      <c r="K34" s="443">
        <f t="shared" si="1"/>
        <v>3000</v>
      </c>
      <c r="L34" s="444">
        <f t="shared" si="1"/>
        <v>54705</v>
      </c>
      <c r="M34" s="443">
        <f t="shared" si="1"/>
        <v>1133706</v>
      </c>
      <c r="N34" s="13">
        <f t="shared" si="1"/>
        <v>0</v>
      </c>
    </row>
    <row r="35" spans="1:14" ht="31.5">
      <c r="A35" s="8" t="s">
        <v>30</v>
      </c>
      <c r="B35" s="16" t="s">
        <v>65</v>
      </c>
      <c r="C35" s="1" t="s">
        <v>378</v>
      </c>
      <c r="D35" s="13">
        <f>+D30+D21+D16+D11+D6</f>
        <v>225480</v>
      </c>
      <c r="E35" s="13">
        <f aca="true" t="shared" si="2" ref="E35:L35">+E30+E21+E16+E11+E6</f>
        <v>60407</v>
      </c>
      <c r="F35" s="13">
        <f t="shared" si="2"/>
        <v>228458</v>
      </c>
      <c r="G35" s="13">
        <f>+G30+G21+G16+G11+G6</f>
        <v>514345</v>
      </c>
      <c r="H35" s="13">
        <f t="shared" si="2"/>
        <v>26169</v>
      </c>
      <c r="I35" s="13">
        <f t="shared" si="2"/>
        <v>118339</v>
      </c>
      <c r="J35" s="13">
        <f t="shared" si="2"/>
        <v>0</v>
      </c>
      <c r="K35" s="13">
        <f t="shared" si="2"/>
        <v>3000</v>
      </c>
      <c r="L35" s="13">
        <f t="shared" si="2"/>
        <v>35878</v>
      </c>
      <c r="M35" s="14">
        <f>+M30+M21+M16+M11+M6</f>
        <v>697731</v>
      </c>
      <c r="N35" s="13"/>
    </row>
    <row r="36" spans="1:14" ht="31.5">
      <c r="A36" s="8" t="s">
        <v>31</v>
      </c>
      <c r="C36" s="451" t="s">
        <v>484</v>
      </c>
      <c r="D36" s="13">
        <f>+D31+D22+D17+D12+D7</f>
        <v>260542</v>
      </c>
      <c r="E36" s="13">
        <f aca="true" t="shared" si="3" ref="E36:L36">+E31+E22+E17+E12+E7</f>
        <v>65392</v>
      </c>
      <c r="F36" s="13">
        <f t="shared" si="3"/>
        <v>230985</v>
      </c>
      <c r="G36" s="14">
        <f>+G31+G22+G17+G12+G7</f>
        <v>556919</v>
      </c>
      <c r="H36" s="13">
        <f t="shared" si="3"/>
        <v>26169</v>
      </c>
      <c r="I36" s="13">
        <f t="shared" si="3"/>
        <v>118339</v>
      </c>
      <c r="J36" s="13">
        <f t="shared" si="3"/>
        <v>0</v>
      </c>
      <c r="K36" s="13">
        <f t="shared" si="3"/>
        <v>3000</v>
      </c>
      <c r="L36" s="13">
        <f t="shared" si="3"/>
        <v>67284</v>
      </c>
      <c r="M36" s="14">
        <f>+M31+M22+M17+M12+M7</f>
        <v>771711</v>
      </c>
      <c r="N36" s="13"/>
    </row>
  </sheetData>
  <sheetProtection/>
  <mergeCells count="2">
    <mergeCell ref="H1:K1"/>
    <mergeCell ref="H23:K2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1" r:id="rId1"/>
  <headerFooter alignWithMargins="0">
    <oddHeader>&amp;L4. melléklet a 2014. évi 6/2014.(III.28.) Önkormányzati költségvetési rendelethez&amp;R&amp;D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55" sqref="D55"/>
    </sheetView>
  </sheetViews>
  <sheetFormatPr defaultColWidth="9.140625" defaultRowHeight="12.75"/>
  <cols>
    <col min="1" max="1" width="4.8515625" style="230" customWidth="1"/>
    <col min="2" max="2" width="47.140625" style="230" customWidth="1"/>
    <col min="3" max="3" width="16.140625" style="230" customWidth="1"/>
    <col min="4" max="4" width="15.57421875" style="230" customWidth="1"/>
    <col min="5" max="5" width="9.140625" style="230" customWidth="1"/>
    <col min="6" max="6" width="13.7109375" style="230" bestFit="1" customWidth="1"/>
    <col min="7" max="16384" width="9.140625" style="230" customWidth="1"/>
  </cols>
  <sheetData>
    <row r="1" spans="1:3" ht="12.75">
      <c r="A1" s="676" t="s">
        <v>343</v>
      </c>
      <c r="B1" s="676"/>
      <c r="C1" s="676"/>
    </row>
    <row r="2" spans="2:3" ht="12.75">
      <c r="B2" s="326"/>
      <c r="C2" s="326"/>
    </row>
    <row r="3" spans="2:3" ht="12.75">
      <c r="B3" s="326"/>
      <c r="C3" s="326"/>
    </row>
    <row r="5" spans="2:7" ht="52.5" customHeight="1">
      <c r="B5" s="398" t="s">
        <v>340</v>
      </c>
      <c r="C5" s="399" t="s">
        <v>342</v>
      </c>
      <c r="D5" s="394" t="s">
        <v>378</v>
      </c>
      <c r="E5" s="271"/>
      <c r="F5" s="394"/>
      <c r="G5" s="394"/>
    </row>
    <row r="6" spans="1:7" s="426" customFormat="1" ht="24" customHeight="1">
      <c r="A6" s="426" t="s">
        <v>11</v>
      </c>
      <c r="B6" s="429" t="s">
        <v>12</v>
      </c>
      <c r="C6" s="397" t="s">
        <v>14</v>
      </c>
      <c r="D6" s="427" t="s">
        <v>13</v>
      </c>
      <c r="E6" s="428"/>
      <c r="F6" s="397"/>
      <c r="G6" s="397"/>
    </row>
    <row r="7" spans="1:5" ht="12.75">
      <c r="A7" s="230" t="s">
        <v>20</v>
      </c>
      <c r="B7" s="395" t="str">
        <f>+'[3]bevétel'!A40</f>
        <v>Városellátó  Szervezet</v>
      </c>
      <c r="C7" s="550">
        <v>30</v>
      </c>
      <c r="D7" s="334">
        <v>28</v>
      </c>
      <c r="E7" s="231"/>
    </row>
    <row r="8" spans="2:5" ht="12.75">
      <c r="B8" s="395"/>
      <c r="C8" s="334"/>
      <c r="D8" s="334"/>
      <c r="E8" s="231"/>
    </row>
    <row r="9" spans="1:5" ht="12.75">
      <c r="A9" s="230" t="s">
        <v>21</v>
      </c>
      <c r="B9" s="395" t="str">
        <f>+'[3]bevétel'!A46</f>
        <v>Egészségügyi és Szociális Ellátó Szervezet</v>
      </c>
      <c r="C9" s="334">
        <v>34</v>
      </c>
      <c r="D9" s="334">
        <v>35</v>
      </c>
      <c r="E9" s="231"/>
    </row>
    <row r="10" spans="2:5" ht="12.75">
      <c r="B10" s="397" t="s">
        <v>376</v>
      </c>
      <c r="C10" s="334">
        <v>4</v>
      </c>
      <c r="D10" s="334">
        <v>4</v>
      </c>
      <c r="E10" s="231"/>
    </row>
    <row r="11" spans="2:5" ht="12.75">
      <c r="B11" s="396"/>
      <c r="C11" s="334"/>
      <c r="D11" s="334"/>
      <c r="E11" s="231"/>
    </row>
    <row r="12" spans="1:5" ht="12.75">
      <c r="A12" s="230" t="s">
        <v>22</v>
      </c>
      <c r="B12" s="395" t="str">
        <f>+'[3]bevétel'!A62</f>
        <v>Városi Művelődési Központ és Könyvtár</v>
      </c>
      <c r="C12" s="334">
        <v>4</v>
      </c>
      <c r="D12" s="334">
        <v>4</v>
      </c>
      <c r="E12" s="231"/>
    </row>
    <row r="13" spans="2:5" s="268" customFormat="1" ht="12.75">
      <c r="B13" s="397"/>
      <c r="C13" s="235"/>
      <c r="D13" s="235"/>
      <c r="E13" s="663"/>
    </row>
    <row r="14" spans="1:5" ht="12.75">
      <c r="A14" s="230" t="s">
        <v>23</v>
      </c>
      <c r="B14" s="395" t="str">
        <f>+'[3]bevétel'!A76</f>
        <v>Battonya Város Önkormányzata</v>
      </c>
      <c r="C14" s="334">
        <v>1</v>
      </c>
      <c r="D14" s="334">
        <v>1</v>
      </c>
      <c r="E14" s="231"/>
    </row>
    <row r="15" spans="2:5" s="268" customFormat="1" ht="12.75">
      <c r="B15" s="397"/>
      <c r="C15" s="235"/>
      <c r="D15" s="235"/>
      <c r="E15" s="663"/>
    </row>
    <row r="16" spans="1:5" ht="12.75">
      <c r="A16" s="230" t="s">
        <v>24</v>
      </c>
      <c r="B16" s="395" t="s">
        <v>338</v>
      </c>
      <c r="C16" s="334">
        <v>23</v>
      </c>
      <c r="D16" s="334">
        <v>23</v>
      </c>
      <c r="E16" s="231"/>
    </row>
    <row r="17" spans="2:5" ht="12.75">
      <c r="B17" s="396"/>
      <c r="C17" s="334"/>
      <c r="D17" s="334"/>
      <c r="E17" s="231"/>
    </row>
    <row r="18" spans="2:5" s="268" customFormat="1" ht="12.75">
      <c r="B18" s="397"/>
      <c r="C18" s="235"/>
      <c r="D18" s="235"/>
      <c r="E18" s="663"/>
    </row>
    <row r="19" spans="2:5" ht="12.75">
      <c r="B19" s="327"/>
      <c r="C19" s="334"/>
      <c r="D19" s="334"/>
      <c r="E19" s="231"/>
    </row>
    <row r="20" spans="1:5" ht="12.75">
      <c r="A20" s="230" t="s">
        <v>25</v>
      </c>
      <c r="B20" s="381" t="s">
        <v>341</v>
      </c>
      <c r="C20" s="664">
        <f>SUM(C7:C19)-C10</f>
        <v>92</v>
      </c>
      <c r="D20" s="664">
        <f>SUM(D7:D19)-D10</f>
        <v>91</v>
      </c>
      <c r="E20" s="231"/>
    </row>
    <row r="21" spans="2:5" ht="12.75">
      <c r="B21" s="327"/>
      <c r="C21" s="334"/>
      <c r="D21" s="334"/>
      <c r="E21" s="231"/>
    </row>
    <row r="22" spans="2:5" ht="12.75">
      <c r="B22" s="327"/>
      <c r="C22" s="334"/>
      <c r="D22" s="334"/>
      <c r="E22" s="231"/>
    </row>
    <row r="23" spans="1:5" ht="12.75">
      <c r="A23" s="230" t="s">
        <v>26</v>
      </c>
      <c r="B23" s="327" t="s">
        <v>344</v>
      </c>
      <c r="C23" s="334">
        <v>220</v>
      </c>
      <c r="D23" s="334">
        <v>250</v>
      </c>
      <c r="E23" s="231"/>
    </row>
    <row r="24" spans="3:5" ht="12.75">
      <c r="C24" s="231"/>
      <c r="D24" s="231"/>
      <c r="E24" s="231"/>
    </row>
    <row r="25" spans="3:5" ht="12.75">
      <c r="C25" s="231"/>
      <c r="D25" s="231"/>
      <c r="E25" s="23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&amp;L4/1. melléklet a 2014. évi 6/2014.(III.28.) Önkormányzati költségvetési rendelethez&amp;R&amp;D</oddHeader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4">
      <selection activeCell="B21" sqref="B21"/>
    </sheetView>
  </sheetViews>
  <sheetFormatPr defaultColWidth="9.140625" defaultRowHeight="15" customHeight="1"/>
  <cols>
    <col min="1" max="1" width="5.140625" style="38" customWidth="1"/>
    <col min="2" max="2" width="58.421875" style="37" customWidth="1"/>
    <col min="3" max="3" width="11.57421875" style="38" bestFit="1" customWidth="1"/>
    <col min="4" max="4" width="13.28125" style="38" customWidth="1"/>
    <col min="5" max="5" width="10.28125" style="38" bestFit="1" customWidth="1"/>
    <col min="6" max="7" width="9.140625" style="38" customWidth="1"/>
    <col min="8" max="8" width="10.140625" style="38" bestFit="1" customWidth="1"/>
    <col min="9" max="13" width="13.00390625" style="43" bestFit="1" customWidth="1"/>
    <col min="14" max="29" width="9.140625" style="43" customWidth="1"/>
    <col min="30" max="16384" width="9.140625" style="38" customWidth="1"/>
  </cols>
  <sheetData>
    <row r="1" ht="15" customHeight="1">
      <c r="A1" s="36" t="s">
        <v>66</v>
      </c>
    </row>
    <row r="2" ht="15" customHeight="1">
      <c r="B2" s="39"/>
    </row>
    <row r="3" spans="2:4" ht="15" customHeight="1">
      <c r="B3" s="39" t="s">
        <v>67</v>
      </c>
      <c r="C3" s="40" t="s">
        <v>379</v>
      </c>
      <c r="D3" s="40" t="s">
        <v>379</v>
      </c>
    </row>
    <row r="4" spans="3:4" ht="21" customHeight="1">
      <c r="C4" s="41" t="s">
        <v>68</v>
      </c>
      <c r="D4" s="40" t="s">
        <v>477</v>
      </c>
    </row>
    <row r="6" spans="1:4" ht="15" customHeight="1">
      <c r="A6" s="11" t="s">
        <v>365</v>
      </c>
      <c r="B6" s="42" t="s">
        <v>12</v>
      </c>
      <c r="C6" s="40" t="s">
        <v>13</v>
      </c>
      <c r="D6" s="40" t="s">
        <v>14</v>
      </c>
    </row>
    <row r="8" spans="1:4" ht="15" customHeight="1">
      <c r="A8" s="38" t="s">
        <v>20</v>
      </c>
      <c r="B8" s="37" t="s">
        <v>73</v>
      </c>
      <c r="C8" s="38">
        <f>13319+5</f>
        <v>13324</v>
      </c>
      <c r="D8" s="38">
        <f aca="true" t="shared" si="0" ref="D8:D13">+C8</f>
        <v>13324</v>
      </c>
    </row>
    <row r="9" spans="1:4" ht="15" customHeight="1">
      <c r="A9" s="38" t="s">
        <v>21</v>
      </c>
      <c r="B9" s="37" t="s">
        <v>232</v>
      </c>
      <c r="C9" s="38">
        <v>5000</v>
      </c>
      <c r="D9" s="38">
        <f t="shared" si="0"/>
        <v>5000</v>
      </c>
    </row>
    <row r="10" spans="1:4" ht="15" customHeight="1">
      <c r="A10" s="46" t="s">
        <v>22</v>
      </c>
      <c r="B10" s="44" t="s">
        <v>463</v>
      </c>
      <c r="C10" s="46">
        <f>4000-700-50+1600-45-5</f>
        <v>4800</v>
      </c>
      <c r="D10" s="38">
        <f t="shared" si="0"/>
        <v>4800</v>
      </c>
    </row>
    <row r="11" spans="1:4" ht="15" customHeight="1">
      <c r="A11" s="46" t="s">
        <v>23</v>
      </c>
      <c r="B11" s="665" t="s">
        <v>465</v>
      </c>
      <c r="C11" s="46">
        <v>300</v>
      </c>
      <c r="D11" s="666">
        <f t="shared" si="0"/>
        <v>300</v>
      </c>
    </row>
    <row r="12" spans="1:4" ht="15" customHeight="1">
      <c r="A12" s="46" t="s">
        <v>24</v>
      </c>
      <c r="B12" s="665" t="s">
        <v>466</v>
      </c>
      <c r="C12" s="46">
        <v>300</v>
      </c>
      <c r="D12" s="666">
        <f t="shared" si="0"/>
        <v>300</v>
      </c>
    </row>
    <row r="13" spans="1:4" ht="15" customHeight="1">
      <c r="A13" s="46" t="s">
        <v>25</v>
      </c>
      <c r="B13" s="665" t="s">
        <v>467</v>
      </c>
      <c r="C13" s="46">
        <v>1000</v>
      </c>
      <c r="D13" s="666">
        <f t="shared" si="0"/>
        <v>1000</v>
      </c>
    </row>
    <row r="14" spans="1:4" ht="15" customHeight="1">
      <c r="A14" s="46" t="s">
        <v>26</v>
      </c>
      <c r="B14" s="665" t="s">
        <v>509</v>
      </c>
      <c r="C14" s="46"/>
      <c r="D14" s="666">
        <v>150</v>
      </c>
    </row>
    <row r="15" spans="1:4" ht="15" customHeight="1">
      <c r="A15" s="46" t="s">
        <v>27</v>
      </c>
      <c r="B15" s="665" t="s">
        <v>510</v>
      </c>
      <c r="C15" s="46"/>
      <c r="D15" s="666">
        <v>1600</v>
      </c>
    </row>
    <row r="16" spans="1:4" ht="15" customHeight="1">
      <c r="A16" s="46" t="s">
        <v>28</v>
      </c>
      <c r="B16" s="665" t="s">
        <v>497</v>
      </c>
      <c r="C16" s="46"/>
      <c r="D16" s="666">
        <v>100</v>
      </c>
    </row>
    <row r="17" spans="1:4" ht="15" customHeight="1">
      <c r="A17" s="46" t="s">
        <v>29</v>
      </c>
      <c r="B17" s="665" t="s">
        <v>496</v>
      </c>
      <c r="C17" s="46"/>
      <c r="D17" s="666">
        <v>80</v>
      </c>
    </row>
    <row r="18" spans="1:4" ht="15" customHeight="1">
      <c r="A18" s="46" t="s">
        <v>30</v>
      </c>
      <c r="B18" s="665" t="s">
        <v>495</v>
      </c>
      <c r="C18" s="46"/>
      <c r="D18" s="666">
        <v>100</v>
      </c>
    </row>
    <row r="19" spans="1:4" ht="15" customHeight="1">
      <c r="A19" s="46" t="s">
        <v>31</v>
      </c>
      <c r="B19" s="665" t="s">
        <v>511</v>
      </c>
      <c r="C19" s="46"/>
      <c r="D19" s="666">
        <v>200</v>
      </c>
    </row>
    <row r="20" spans="1:4" ht="15" customHeight="1">
      <c r="A20" s="46" t="s">
        <v>32</v>
      </c>
      <c r="B20" s="665" t="s">
        <v>514</v>
      </c>
      <c r="C20" s="46"/>
      <c r="D20" s="666">
        <v>200</v>
      </c>
    </row>
    <row r="21" spans="1:4" ht="15" customHeight="1">
      <c r="A21" s="46" t="s">
        <v>33</v>
      </c>
      <c r="B21" s="665" t="s">
        <v>519</v>
      </c>
      <c r="C21" s="46"/>
      <c r="D21" s="666">
        <v>60</v>
      </c>
    </row>
    <row r="22" spans="1:4" ht="15" customHeight="1">
      <c r="A22" s="46" t="s">
        <v>34</v>
      </c>
      <c r="B22" s="665" t="s">
        <v>515</v>
      </c>
      <c r="C22" s="46"/>
      <c r="D22" s="666">
        <v>110</v>
      </c>
    </row>
    <row r="23" spans="1:4" ht="15" customHeight="1">
      <c r="A23" s="46" t="s">
        <v>35</v>
      </c>
      <c r="B23" s="665" t="s">
        <v>516</v>
      </c>
      <c r="C23" s="46"/>
      <c r="D23" s="666">
        <v>60</v>
      </c>
    </row>
    <row r="24" spans="1:4" ht="15" customHeight="1">
      <c r="A24" s="46" t="s">
        <v>36</v>
      </c>
      <c r="B24" s="665" t="s">
        <v>517</v>
      </c>
      <c r="C24" s="46"/>
      <c r="D24" s="666">
        <v>40</v>
      </c>
    </row>
    <row r="25" spans="1:4" ht="15" customHeight="1">
      <c r="A25" s="46" t="s">
        <v>37</v>
      </c>
      <c r="B25" s="665" t="s">
        <v>518</v>
      </c>
      <c r="C25" s="46"/>
      <c r="D25" s="666">
        <v>100</v>
      </c>
    </row>
    <row r="26" spans="1:4" ht="15" customHeight="1">
      <c r="A26" s="46" t="s">
        <v>40</v>
      </c>
      <c r="B26" s="665" t="s">
        <v>512</v>
      </c>
      <c r="C26" s="46"/>
      <c r="D26" s="666">
        <f>+D10-D11-D12-D13-D14-D15-D16-D17-D18-D19-D20-D21-D22-D23-D24-D25</f>
        <v>400</v>
      </c>
    </row>
    <row r="27" spans="1:4" ht="15" customHeight="1">
      <c r="A27" s="38" t="s">
        <v>42</v>
      </c>
      <c r="B27" s="44" t="s">
        <v>447</v>
      </c>
      <c r="C27" s="46">
        <v>3000</v>
      </c>
      <c r="D27" s="38">
        <f>+C27</f>
        <v>3000</v>
      </c>
    </row>
    <row r="28" spans="1:4" ht="32.25" customHeight="1">
      <c r="A28" s="38" t="s">
        <v>43</v>
      </c>
      <c r="B28" s="611" t="s">
        <v>474</v>
      </c>
      <c r="C28" s="46">
        <f>15*3</f>
        <v>45</v>
      </c>
      <c r="D28" s="38">
        <f>+C28</f>
        <v>45</v>
      </c>
    </row>
    <row r="29" spans="1:3" ht="15" customHeight="1">
      <c r="A29" s="46"/>
      <c r="B29" s="44"/>
      <c r="C29" s="46"/>
    </row>
    <row r="30" spans="1:4" ht="15" customHeight="1">
      <c r="A30" s="38" t="s">
        <v>44</v>
      </c>
      <c r="B30" s="5" t="s">
        <v>69</v>
      </c>
      <c r="C30" s="7">
        <f>SUM(C8:C29)-C11-C12-C13</f>
        <v>26169</v>
      </c>
      <c r="D30" s="7">
        <f>+D28+D27+D10+D9+D8</f>
        <v>26169</v>
      </c>
    </row>
    <row r="31" spans="1:4" ht="15" customHeight="1">
      <c r="A31" s="46"/>
      <c r="B31" s="5"/>
      <c r="C31" s="7"/>
      <c r="D31" s="7"/>
    </row>
    <row r="32" spans="1:4" ht="15" customHeight="1">
      <c r="A32" s="38" t="s">
        <v>45</v>
      </c>
      <c r="B32" s="5" t="s">
        <v>70</v>
      </c>
      <c r="C32" s="7">
        <f>SUM(C34)</f>
        <v>3000</v>
      </c>
      <c r="D32" s="7">
        <f>SUM(D34)</f>
        <v>3000</v>
      </c>
    </row>
    <row r="33" spans="1:4" ht="15" customHeight="1">
      <c r="A33" s="46"/>
      <c r="B33" s="5"/>
      <c r="C33" s="7"/>
      <c r="D33" s="7"/>
    </row>
    <row r="34" spans="1:4" ht="15" customHeight="1">
      <c r="A34" s="38" t="s">
        <v>46</v>
      </c>
      <c r="B34" s="44" t="s">
        <v>445</v>
      </c>
      <c r="C34" s="47">
        <v>3000</v>
      </c>
      <c r="D34" s="7">
        <f>+C34</f>
        <v>3000</v>
      </c>
    </row>
    <row r="35" spans="1:4" ht="15" customHeight="1">
      <c r="A35" s="46"/>
      <c r="B35" s="44"/>
      <c r="C35" s="47"/>
      <c r="D35" s="7"/>
    </row>
    <row r="36" spans="1:3" ht="15" customHeight="1">
      <c r="A36" s="46"/>
      <c r="B36" s="5"/>
      <c r="C36" s="46"/>
    </row>
    <row r="37" spans="1:4" ht="15" customHeight="1">
      <c r="A37" s="38" t="s">
        <v>47</v>
      </c>
      <c r="B37" s="48" t="s">
        <v>71</v>
      </c>
      <c r="C37" s="7">
        <f>+C30+C32</f>
        <v>29169</v>
      </c>
      <c r="D37" s="7">
        <f>+D30+D32</f>
        <v>29169</v>
      </c>
    </row>
    <row r="60" ht="15" customHeight="1">
      <c r="B60" s="440"/>
    </row>
    <row r="63" spans="2:29" s="1" customFormat="1" ht="15" customHeight="1">
      <c r="B63" s="441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7" spans="2:29" s="1" customFormat="1" ht="15" customHeight="1">
      <c r="B67" s="441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&amp;L5. melléklet a 2014. évi 6/2014.(III.28.) Önkormányzati költségvetési rendelethez&amp;R&amp;D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60" zoomScalePageLayoutView="0" workbookViewId="0" topLeftCell="A1">
      <selection activeCell="K43" sqref="K43"/>
    </sheetView>
  </sheetViews>
  <sheetFormatPr defaultColWidth="9.140625" defaultRowHeight="15" customHeight="1"/>
  <cols>
    <col min="1" max="1" width="4.140625" style="53" bestFit="1" customWidth="1"/>
    <col min="2" max="2" width="52.57421875" style="53" customWidth="1"/>
    <col min="3" max="3" width="11.00390625" style="53" hidden="1" customWidth="1"/>
    <col min="4" max="4" width="10.28125" style="53" hidden="1" customWidth="1"/>
    <col min="5" max="5" width="11.28125" style="53" hidden="1" customWidth="1"/>
    <col min="6" max="6" width="11.00390625" style="53" bestFit="1" customWidth="1"/>
    <col min="7" max="7" width="10.28125" style="53" customWidth="1"/>
    <col min="8" max="8" width="11.28125" style="53" bestFit="1" customWidth="1"/>
    <col min="9" max="9" width="10.57421875" style="53" bestFit="1" customWidth="1"/>
    <col min="10" max="10" width="9.421875" style="53" bestFit="1" customWidth="1"/>
    <col min="11" max="11" width="10.57421875" style="53" bestFit="1" customWidth="1"/>
    <col min="12" max="12" width="9.421875" style="53" bestFit="1" customWidth="1"/>
    <col min="13" max="16384" width="9.140625" style="53" customWidth="1"/>
  </cols>
  <sheetData>
    <row r="1" spans="1:12" ht="22.5" customHeight="1" thickBot="1">
      <c r="A1" s="51" t="s">
        <v>74</v>
      </c>
      <c r="B1" s="529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 customHeight="1">
      <c r="A2" s="54"/>
      <c r="B2" s="523"/>
      <c r="C2" s="677" t="s">
        <v>375</v>
      </c>
      <c r="D2" s="678"/>
      <c r="E2" s="679"/>
      <c r="F2" s="677" t="s">
        <v>378</v>
      </c>
      <c r="G2" s="678"/>
      <c r="H2" s="679"/>
      <c r="I2" s="677" t="str">
        <f>+F2</f>
        <v>2014.évi er.ei.</v>
      </c>
      <c r="J2" s="680"/>
      <c r="K2" s="677" t="s">
        <v>484</v>
      </c>
      <c r="L2" s="680"/>
    </row>
    <row r="3" spans="1:12" ht="43.5" customHeight="1" thickBot="1">
      <c r="A3" s="55"/>
      <c r="B3" s="56"/>
      <c r="C3" s="524" t="s">
        <v>75</v>
      </c>
      <c r="D3" s="525" t="s">
        <v>76</v>
      </c>
      <c r="E3" s="526" t="s">
        <v>5</v>
      </c>
      <c r="F3" s="524" t="s">
        <v>75</v>
      </c>
      <c r="G3" s="525" t="s">
        <v>76</v>
      </c>
      <c r="H3" s="526" t="s">
        <v>5</v>
      </c>
      <c r="I3" s="58" t="s">
        <v>77</v>
      </c>
      <c r="J3" s="57" t="s">
        <v>78</v>
      </c>
      <c r="K3" s="58" t="s">
        <v>77</v>
      </c>
      <c r="L3" s="57" t="s">
        <v>78</v>
      </c>
    </row>
    <row r="4" spans="1:12" s="29" customFormat="1" ht="15" customHeight="1">
      <c r="A4" s="610" t="s">
        <v>11</v>
      </c>
      <c r="B4" s="59" t="s">
        <v>12</v>
      </c>
      <c r="C4" s="462" t="s">
        <v>16</v>
      </c>
      <c r="D4" s="60" t="s">
        <v>17</v>
      </c>
      <c r="E4" s="463" t="s">
        <v>18</v>
      </c>
      <c r="F4" s="462" t="s">
        <v>16</v>
      </c>
      <c r="G4" s="60" t="s">
        <v>17</v>
      </c>
      <c r="H4" s="463" t="s">
        <v>18</v>
      </c>
      <c r="I4" s="61" t="s">
        <v>63</v>
      </c>
      <c r="J4" s="460" t="s">
        <v>19</v>
      </c>
      <c r="K4" s="61" t="s">
        <v>363</v>
      </c>
      <c r="L4" s="460" t="s">
        <v>364</v>
      </c>
    </row>
    <row r="5" spans="1:12" ht="15" customHeight="1">
      <c r="A5" s="62"/>
      <c r="B5" s="478"/>
      <c r="C5" s="76"/>
      <c r="D5" s="63"/>
      <c r="E5" s="461"/>
      <c r="F5" s="76"/>
      <c r="G5" s="63"/>
      <c r="H5" s="461"/>
      <c r="I5" s="64"/>
      <c r="J5" s="461"/>
      <c r="K5" s="64"/>
      <c r="L5" s="461"/>
    </row>
    <row r="6" spans="1:12" ht="15" customHeight="1">
      <c r="A6" s="62" t="s">
        <v>20</v>
      </c>
      <c r="B6" s="478" t="s">
        <v>79</v>
      </c>
      <c r="C6" s="76">
        <f>+E6-D6</f>
        <v>1188.7999999999993</v>
      </c>
      <c r="D6" s="63">
        <f>+E6*0.9</f>
        <v>10699.2</v>
      </c>
      <c r="E6" s="456">
        <f>3140+337+8411</f>
        <v>11888</v>
      </c>
      <c r="F6" s="76">
        <f>+H6-G6</f>
        <v>1690</v>
      </c>
      <c r="G6" s="63">
        <f>+H6*0.9</f>
        <v>15210</v>
      </c>
      <c r="H6" s="456">
        <v>16900</v>
      </c>
      <c r="I6" s="66">
        <v>16900</v>
      </c>
      <c r="J6" s="456"/>
      <c r="K6" s="66">
        <v>16900</v>
      </c>
      <c r="L6" s="456"/>
    </row>
    <row r="7" spans="1:12" ht="15" customHeight="1">
      <c r="A7" s="62" t="s">
        <v>21</v>
      </c>
      <c r="B7" s="478" t="s">
        <v>471</v>
      </c>
      <c r="C7" s="76">
        <f>+E7-D7</f>
        <v>264.9000000000001</v>
      </c>
      <c r="D7" s="63">
        <f>+E7*0.9</f>
        <v>2384.1</v>
      </c>
      <c r="E7" s="456">
        <f>2407+242</f>
        <v>2649</v>
      </c>
      <c r="F7" s="76">
        <f>+H7-G7</f>
        <v>264.9000000000001</v>
      </c>
      <c r="G7" s="63">
        <f>+H7*0.9</f>
        <v>2384.1</v>
      </c>
      <c r="H7" s="456">
        <f>2407+242</f>
        <v>2649</v>
      </c>
      <c r="I7" s="66">
        <v>2649</v>
      </c>
      <c r="J7" s="456"/>
      <c r="K7" s="66">
        <v>2649</v>
      </c>
      <c r="L7" s="456"/>
    </row>
    <row r="8" spans="1:12" ht="15" customHeight="1">
      <c r="A8" s="62" t="s">
        <v>22</v>
      </c>
      <c r="B8" s="455" t="s">
        <v>470</v>
      </c>
      <c r="C8" s="464">
        <f>+E8-D8</f>
        <v>28174.59999999999</v>
      </c>
      <c r="D8" s="63">
        <f>+E8*0.8</f>
        <v>112698.40000000001</v>
      </c>
      <c r="E8" s="456">
        <f>128536+12337</f>
        <v>140873</v>
      </c>
      <c r="F8" s="464">
        <f>+H8-G8</f>
        <v>14700</v>
      </c>
      <c r="G8" s="63">
        <f>+H8*0.8</f>
        <v>58800</v>
      </c>
      <c r="H8" s="456">
        <v>73500</v>
      </c>
      <c r="I8" s="66">
        <v>73500</v>
      </c>
      <c r="J8" s="456"/>
      <c r="K8" s="66">
        <v>73500</v>
      </c>
      <c r="L8" s="456"/>
    </row>
    <row r="9" spans="1:12" s="78" customFormat="1" ht="15" customHeight="1">
      <c r="A9" s="62" t="s">
        <v>23</v>
      </c>
      <c r="B9" s="455" t="s">
        <v>80</v>
      </c>
      <c r="C9" s="465">
        <f>+E9-D9</f>
        <v>2017.5999999999985</v>
      </c>
      <c r="D9" s="63">
        <f>+E9*0.9</f>
        <v>18158.4</v>
      </c>
      <c r="E9" s="456">
        <f>18399+1777</f>
        <v>20176</v>
      </c>
      <c r="F9" s="465">
        <f>+H9-G9</f>
        <v>2017.5999999999985</v>
      </c>
      <c r="G9" s="63">
        <f>+H9*0.9</f>
        <v>18158.4</v>
      </c>
      <c r="H9" s="456">
        <f>18399+1777</f>
        <v>20176</v>
      </c>
      <c r="I9" s="66">
        <v>20176</v>
      </c>
      <c r="J9" s="456"/>
      <c r="K9" s="66">
        <v>20176</v>
      </c>
      <c r="L9" s="456"/>
    </row>
    <row r="10" spans="1:12" ht="15" customHeight="1">
      <c r="A10" s="62" t="s">
        <v>24</v>
      </c>
      <c r="B10" s="455" t="s">
        <v>383</v>
      </c>
      <c r="C10" s="464"/>
      <c r="D10" s="63">
        <v>264</v>
      </c>
      <c r="E10" s="456">
        <f>+D10</f>
        <v>264</v>
      </c>
      <c r="F10" s="464"/>
      <c r="G10" s="63"/>
      <c r="H10" s="456"/>
      <c r="I10" s="66"/>
      <c r="J10" s="456"/>
      <c r="K10" s="66"/>
      <c r="L10" s="456"/>
    </row>
    <row r="11" spans="1:12" ht="15" customHeight="1" thickBot="1">
      <c r="A11" s="67" t="s">
        <v>25</v>
      </c>
      <c r="B11" s="479" t="s">
        <v>384</v>
      </c>
      <c r="C11" s="464"/>
      <c r="D11" s="63">
        <v>2622</v>
      </c>
      <c r="E11" s="456">
        <f>+D11</f>
        <v>2622</v>
      </c>
      <c r="F11" s="464"/>
      <c r="G11" s="63"/>
      <c r="H11" s="456"/>
      <c r="I11" s="69"/>
      <c r="J11" s="466"/>
      <c r="K11" s="69"/>
      <c r="L11" s="466"/>
    </row>
    <row r="12" spans="1:12" ht="30" customHeight="1">
      <c r="A12" s="70" t="s">
        <v>26</v>
      </c>
      <c r="B12" s="594" t="s">
        <v>81</v>
      </c>
      <c r="C12" s="533">
        <f>SUM(C6:C11)</f>
        <v>31645.89999999999</v>
      </c>
      <c r="D12" s="534">
        <f aca="true" t="shared" si="0" ref="D12:J12">SUM(D6:D11)</f>
        <v>146826.1</v>
      </c>
      <c r="E12" s="535">
        <f t="shared" si="0"/>
        <v>178472</v>
      </c>
      <c r="F12" s="533">
        <f t="shared" si="0"/>
        <v>18672.5</v>
      </c>
      <c r="G12" s="534">
        <f t="shared" si="0"/>
        <v>94552.5</v>
      </c>
      <c r="H12" s="535">
        <f t="shared" si="0"/>
        <v>113225</v>
      </c>
      <c r="I12" s="480">
        <f>SUM(I6:I11)</f>
        <v>113225</v>
      </c>
      <c r="J12" s="480">
        <f t="shared" si="0"/>
        <v>0</v>
      </c>
      <c r="K12" s="480">
        <f>SUM(K6:K11)</f>
        <v>113225</v>
      </c>
      <c r="L12" s="480">
        <f>SUM(L6:L11)</f>
        <v>0</v>
      </c>
    </row>
    <row r="13" spans="1:12" ht="15" customHeight="1">
      <c r="A13" s="62"/>
      <c r="C13" s="536"/>
      <c r="D13" s="71"/>
      <c r="E13" s="537">
        <f>SUM(C12:D12)</f>
        <v>178472</v>
      </c>
      <c r="F13" s="536"/>
      <c r="G13" s="71"/>
      <c r="H13" s="537">
        <f>SUM(F12:G12)</f>
        <v>113225</v>
      </c>
      <c r="I13" s="72"/>
      <c r="J13" s="72"/>
      <c r="K13" s="72"/>
      <c r="L13" s="72"/>
    </row>
    <row r="14" spans="1:12" ht="7.5" customHeight="1">
      <c r="A14" s="62"/>
      <c r="B14" s="595"/>
      <c r="C14" s="538"/>
      <c r="D14" s="73"/>
      <c r="E14" s="539"/>
      <c r="F14" s="538"/>
      <c r="G14" s="73"/>
      <c r="H14" s="539"/>
      <c r="I14" s="74"/>
      <c r="J14" s="74"/>
      <c r="K14" s="74"/>
      <c r="L14" s="74"/>
    </row>
    <row r="15" spans="1:12" ht="15" customHeight="1">
      <c r="A15" s="62" t="s">
        <v>27</v>
      </c>
      <c r="B15" s="596" t="s">
        <v>82</v>
      </c>
      <c r="C15" s="465">
        <f>+E15</f>
        <v>280</v>
      </c>
      <c r="D15" s="63"/>
      <c r="E15" s="540">
        <v>280</v>
      </c>
      <c r="F15" s="465"/>
      <c r="G15" s="63"/>
      <c r="H15" s="540"/>
      <c r="I15" s="66"/>
      <c r="J15" s="66"/>
      <c r="K15" s="66"/>
      <c r="L15" s="66"/>
    </row>
    <row r="16" spans="1:12" ht="15" customHeight="1">
      <c r="A16" s="62" t="s">
        <v>28</v>
      </c>
      <c r="B16" s="596" t="s">
        <v>83</v>
      </c>
      <c r="C16" s="465">
        <f>+E16</f>
        <v>2814</v>
      </c>
      <c r="D16" s="63"/>
      <c r="E16" s="540">
        <v>2814</v>
      </c>
      <c r="F16" s="465"/>
      <c r="G16" s="63"/>
      <c r="H16" s="540"/>
      <c r="I16" s="66"/>
      <c r="J16" s="66"/>
      <c r="K16" s="66"/>
      <c r="L16" s="66"/>
    </row>
    <row r="17" spans="1:12" ht="15" customHeight="1">
      <c r="A17" s="62" t="s">
        <v>29</v>
      </c>
      <c r="B17" s="597" t="s">
        <v>84</v>
      </c>
      <c r="C17" s="465">
        <f>+E17</f>
        <v>552</v>
      </c>
      <c r="D17" s="63"/>
      <c r="E17" s="540">
        <v>552</v>
      </c>
      <c r="F17" s="465">
        <v>100</v>
      </c>
      <c r="G17" s="63"/>
      <c r="H17" s="540">
        <f>SUM(F17:G17)</f>
        <v>100</v>
      </c>
      <c r="I17" s="66"/>
      <c r="J17" s="66">
        <f>+H17</f>
        <v>100</v>
      </c>
      <c r="K17" s="66"/>
      <c r="L17" s="66">
        <f>+J17</f>
        <v>100</v>
      </c>
    </row>
    <row r="18" spans="1:12" s="78" customFormat="1" ht="15" customHeight="1">
      <c r="A18" s="62" t="s">
        <v>30</v>
      </c>
      <c r="B18" s="592" t="s">
        <v>85</v>
      </c>
      <c r="C18" s="465">
        <f>+E18</f>
        <v>1832</v>
      </c>
      <c r="D18" s="63"/>
      <c r="E18" s="540">
        <v>1832</v>
      </c>
      <c r="F18" s="465"/>
      <c r="G18" s="63"/>
      <c r="H18" s="540"/>
      <c r="I18" s="599"/>
      <c r="J18" s="66"/>
      <c r="K18" s="599"/>
      <c r="L18" s="66"/>
    </row>
    <row r="19" spans="1:12" ht="16.5" customHeight="1">
      <c r="A19" s="62" t="s">
        <v>31</v>
      </c>
      <c r="B19" s="593" t="s">
        <v>473</v>
      </c>
      <c r="C19" s="465"/>
      <c r="D19" s="63"/>
      <c r="E19" s="540"/>
      <c r="F19" s="465">
        <f>4764+350-100</f>
        <v>5014</v>
      </c>
      <c r="G19" s="63"/>
      <c r="H19" s="540">
        <f>SUM(F19:G19)</f>
        <v>5014</v>
      </c>
      <c r="I19" s="66"/>
      <c r="J19" s="66">
        <f>+H19</f>
        <v>5014</v>
      </c>
      <c r="K19" s="66"/>
      <c r="L19" s="66">
        <f>+J19</f>
        <v>5014</v>
      </c>
    </row>
    <row r="20" spans="1:12" ht="15" customHeight="1">
      <c r="A20" s="62" t="s">
        <v>32</v>
      </c>
      <c r="B20" s="598" t="s">
        <v>86</v>
      </c>
      <c r="C20" s="530">
        <f>SUM(C15:C18)</f>
        <v>5478</v>
      </c>
      <c r="D20" s="531">
        <f>SUM(D15:D18)</f>
        <v>0</v>
      </c>
      <c r="E20" s="532">
        <f>SUM(E15:E18)</f>
        <v>5478</v>
      </c>
      <c r="F20" s="530">
        <f aca="true" t="shared" si="1" ref="F20:L20">SUM(F15:F19)</f>
        <v>5114</v>
      </c>
      <c r="G20" s="531">
        <f t="shared" si="1"/>
        <v>0</v>
      </c>
      <c r="H20" s="532">
        <f t="shared" si="1"/>
        <v>5114</v>
      </c>
      <c r="I20" s="72">
        <f t="shared" si="1"/>
        <v>0</v>
      </c>
      <c r="J20" s="72">
        <f t="shared" si="1"/>
        <v>5114</v>
      </c>
      <c r="K20" s="72">
        <f t="shared" si="1"/>
        <v>0</v>
      </c>
      <c r="L20" s="72">
        <f t="shared" si="1"/>
        <v>5114</v>
      </c>
    </row>
    <row r="21" spans="1:12" ht="7.5" customHeight="1">
      <c r="A21" s="62"/>
      <c r="B21" s="596"/>
      <c r="C21" s="76"/>
      <c r="D21" s="63"/>
      <c r="E21" s="77"/>
      <c r="F21" s="76"/>
      <c r="G21" s="63"/>
      <c r="H21" s="77"/>
      <c r="I21" s="64"/>
      <c r="J21" s="64"/>
      <c r="K21" s="64"/>
      <c r="L21" s="64"/>
    </row>
    <row r="22" spans="1:12" ht="15" customHeight="1" thickBot="1">
      <c r="A22" s="62" t="s">
        <v>33</v>
      </c>
      <c r="B22" s="596" t="s">
        <v>87</v>
      </c>
      <c r="C22" s="452">
        <v>350</v>
      </c>
      <c r="D22" s="68"/>
      <c r="E22" s="453">
        <f>+C22</f>
        <v>350</v>
      </c>
      <c r="F22" s="452"/>
      <c r="G22" s="68"/>
      <c r="H22" s="453"/>
      <c r="I22" s="69"/>
      <c r="J22" s="69"/>
      <c r="K22" s="69"/>
      <c r="L22" s="69"/>
    </row>
    <row r="23" spans="1:12" ht="31.5" customHeight="1">
      <c r="A23" s="607" t="s">
        <v>34</v>
      </c>
      <c r="B23" s="600" t="s">
        <v>88</v>
      </c>
      <c r="C23" s="467">
        <f aca="true" t="shared" si="2" ref="C23:J23">SUM(C22:C22)</f>
        <v>350</v>
      </c>
      <c r="D23" s="468">
        <f t="shared" si="2"/>
        <v>0</v>
      </c>
      <c r="E23" s="469">
        <f t="shared" si="2"/>
        <v>350</v>
      </c>
      <c r="F23" s="71">
        <f t="shared" si="2"/>
        <v>0</v>
      </c>
      <c r="G23" s="71">
        <f t="shared" si="2"/>
        <v>0</v>
      </c>
      <c r="H23" s="71">
        <f t="shared" si="2"/>
        <v>0</v>
      </c>
      <c r="I23" s="75">
        <f t="shared" si="2"/>
        <v>0</v>
      </c>
      <c r="J23" s="75">
        <f t="shared" si="2"/>
        <v>0</v>
      </c>
      <c r="K23" s="75">
        <f>SUM(K22:K22)</f>
        <v>0</v>
      </c>
      <c r="L23" s="75">
        <f>SUM(L22:L22)</f>
        <v>0</v>
      </c>
    </row>
    <row r="24" spans="1:12" ht="7.5" customHeight="1">
      <c r="A24" s="608"/>
      <c r="B24" s="601"/>
      <c r="C24" s="470"/>
      <c r="D24" s="71"/>
      <c r="E24" s="471"/>
      <c r="F24" s="71"/>
      <c r="G24" s="71"/>
      <c r="H24" s="71"/>
      <c r="I24" s="72"/>
      <c r="J24" s="72"/>
      <c r="K24" s="72"/>
      <c r="L24" s="72"/>
    </row>
    <row r="25" spans="1:12" ht="15" customHeight="1">
      <c r="A25" s="608" t="s">
        <v>35</v>
      </c>
      <c r="B25" s="601" t="s">
        <v>89</v>
      </c>
      <c r="C25" s="470"/>
      <c r="D25" s="71">
        <v>430</v>
      </c>
      <c r="E25" s="471">
        <f>SUM(C25:D25)</f>
        <v>430</v>
      </c>
      <c r="F25" s="71"/>
      <c r="G25" s="71"/>
      <c r="H25" s="71">
        <f>SUM(F25:G25)</f>
        <v>0</v>
      </c>
      <c r="I25" s="72"/>
      <c r="J25" s="72"/>
      <c r="K25" s="72"/>
      <c r="L25" s="72"/>
    </row>
    <row r="26" spans="1:12" ht="6" customHeight="1">
      <c r="A26" s="62"/>
      <c r="B26" s="601"/>
      <c r="C26" s="470"/>
      <c r="D26" s="71"/>
      <c r="E26" s="471"/>
      <c r="F26" s="71"/>
      <c r="G26" s="71"/>
      <c r="H26" s="71"/>
      <c r="I26" s="72"/>
      <c r="J26" s="72"/>
      <c r="K26" s="72"/>
      <c r="L26" s="72"/>
    </row>
    <row r="27" spans="1:12" ht="15" customHeight="1">
      <c r="A27" s="62" t="s">
        <v>36</v>
      </c>
      <c r="B27" s="602" t="s">
        <v>377</v>
      </c>
      <c r="C27" s="454"/>
      <c r="D27" s="78">
        <v>3248</v>
      </c>
      <c r="E27" s="471">
        <f>SUM(C27:D27)</f>
        <v>3248</v>
      </c>
      <c r="I27" s="62"/>
      <c r="J27" s="79"/>
      <c r="K27" s="62"/>
      <c r="L27" s="79"/>
    </row>
    <row r="28" spans="1:12" ht="15" customHeight="1">
      <c r="A28" s="608" t="s">
        <v>37</v>
      </c>
      <c r="B28" s="603" t="s">
        <v>90</v>
      </c>
      <c r="C28" s="470"/>
      <c r="D28" s="71">
        <v>9366</v>
      </c>
      <c r="E28" s="471">
        <f>SUM(C28:D28)</f>
        <v>9366</v>
      </c>
      <c r="F28" s="71"/>
      <c r="G28" s="71"/>
      <c r="H28" s="71">
        <f>SUM(F28:G28)</f>
        <v>0</v>
      </c>
      <c r="I28" s="72"/>
      <c r="J28" s="72"/>
      <c r="K28" s="72"/>
      <c r="L28" s="72"/>
    </row>
    <row r="29" spans="1:12" ht="15" customHeight="1">
      <c r="A29" s="608" t="s">
        <v>40</v>
      </c>
      <c r="B29" s="604" t="s">
        <v>91</v>
      </c>
      <c r="C29" s="472">
        <f aca="true" t="shared" si="3" ref="C29:J29">SUM(C23:C28)+C20+C12</f>
        <v>37473.899999999994</v>
      </c>
      <c r="D29" s="73">
        <f t="shared" si="3"/>
        <v>159870.1</v>
      </c>
      <c r="E29" s="473">
        <f t="shared" si="3"/>
        <v>197344</v>
      </c>
      <c r="F29" s="73">
        <f t="shared" si="3"/>
        <v>23786.5</v>
      </c>
      <c r="G29" s="73">
        <f t="shared" si="3"/>
        <v>94552.5</v>
      </c>
      <c r="H29" s="73">
        <f t="shared" si="3"/>
        <v>118339</v>
      </c>
      <c r="I29" s="74">
        <f t="shared" si="3"/>
        <v>113225</v>
      </c>
      <c r="J29" s="74">
        <f t="shared" si="3"/>
        <v>5114</v>
      </c>
      <c r="K29" s="74">
        <f>SUM(K23:K28)+K20+K12</f>
        <v>113225</v>
      </c>
      <c r="L29" s="74">
        <f>SUM(L23:L28)+L20+L12</f>
        <v>5114</v>
      </c>
    </row>
    <row r="30" spans="1:12" ht="15.75" thickBot="1">
      <c r="A30" s="608"/>
      <c r="B30" s="605"/>
      <c r="C30" s="474"/>
      <c r="D30" s="475"/>
      <c r="E30" s="476">
        <f>SUM(C29:D29)</f>
        <v>197344</v>
      </c>
      <c r="F30" s="73"/>
      <c r="G30" s="73"/>
      <c r="H30" s="73">
        <f>SUM(F29:G29)</f>
        <v>118339</v>
      </c>
      <c r="I30" s="477"/>
      <c r="J30" s="477"/>
      <c r="K30" s="477"/>
      <c r="L30" s="477"/>
    </row>
    <row r="31" spans="1:12" ht="15.75" thickBot="1">
      <c r="A31" s="609" t="s">
        <v>47</v>
      </c>
      <c r="B31" s="606" t="s">
        <v>92</v>
      </c>
      <c r="C31" s="80">
        <f aca="true" t="shared" si="4" ref="C31:J31">+C29</f>
        <v>37473.899999999994</v>
      </c>
      <c r="D31" s="80">
        <f t="shared" si="4"/>
        <v>159870.1</v>
      </c>
      <c r="E31" s="80">
        <f t="shared" si="4"/>
        <v>197344</v>
      </c>
      <c r="F31" s="527">
        <f t="shared" si="4"/>
        <v>23786.5</v>
      </c>
      <c r="G31" s="80">
        <f t="shared" si="4"/>
        <v>94552.5</v>
      </c>
      <c r="H31" s="528">
        <f t="shared" si="4"/>
        <v>118339</v>
      </c>
      <c r="I31" s="81">
        <f>+I29</f>
        <v>113225</v>
      </c>
      <c r="J31" s="81">
        <f t="shared" si="4"/>
        <v>5114</v>
      </c>
      <c r="K31" s="81">
        <f>+K29</f>
        <v>113225</v>
      </c>
      <c r="L31" s="81">
        <f>+L29</f>
        <v>5114</v>
      </c>
    </row>
  </sheetData>
  <sheetProtection/>
  <mergeCells count="4">
    <mergeCell ref="C2:E2"/>
    <mergeCell ref="I2:J2"/>
    <mergeCell ref="F2:H2"/>
    <mergeCell ref="K2:L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&amp;L6. melléklet a 2014. évi 6/2014.(III.28.) Önkormányzati költségvetési rendelethez&amp;R&amp;D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29" sqref="B29"/>
    </sheetView>
  </sheetViews>
  <sheetFormatPr defaultColWidth="9.140625" defaultRowHeight="15" customHeight="1"/>
  <cols>
    <col min="1" max="1" width="7.28125" style="131" customWidth="1"/>
    <col min="2" max="2" width="50.421875" style="131" customWidth="1"/>
    <col min="3" max="3" width="17.421875" style="131" customWidth="1"/>
    <col min="4" max="16384" width="9.140625" style="131" customWidth="1"/>
  </cols>
  <sheetData>
    <row r="1" spans="1:2" ht="15" customHeight="1">
      <c r="A1" s="506" t="s">
        <v>93</v>
      </c>
      <c r="B1" s="156"/>
    </row>
    <row r="2" spans="1:4" ht="15" customHeight="1">
      <c r="A2" s="506"/>
      <c r="B2" s="156"/>
      <c r="C2" s="507" t="s">
        <v>379</v>
      </c>
      <c r="D2" s="507" t="s">
        <v>379</v>
      </c>
    </row>
    <row r="3" spans="1:4" ht="15" customHeight="1">
      <c r="A3" s="158"/>
      <c r="B3" s="156" t="s">
        <v>367</v>
      </c>
      <c r="C3" s="508" t="s">
        <v>68</v>
      </c>
      <c r="D3" s="508" t="s">
        <v>477</v>
      </c>
    </row>
    <row r="4" spans="1:2" s="511" customFormat="1" ht="15" customHeight="1">
      <c r="A4" s="509"/>
      <c r="B4" s="510"/>
    </row>
    <row r="5" spans="1:4" s="512" customFormat="1" ht="15" customHeight="1">
      <c r="A5" s="542" t="s">
        <v>11</v>
      </c>
      <c r="B5" s="542" t="s">
        <v>12</v>
      </c>
      <c r="C5" s="543" t="s">
        <v>13</v>
      </c>
      <c r="D5" s="507" t="s">
        <v>14</v>
      </c>
    </row>
    <row r="6" spans="2:4" ht="15" customHeight="1">
      <c r="B6" s="513"/>
      <c r="C6" s="514"/>
      <c r="D6" s="514"/>
    </row>
    <row r="7" spans="1:4" ht="15" customHeight="1">
      <c r="A7" s="515" t="s">
        <v>20</v>
      </c>
      <c r="B7" s="516" t="s">
        <v>380</v>
      </c>
      <c r="C7" s="133">
        <f>+8_mell!C7+22863-1000-1000-4272-500</f>
        <v>16241</v>
      </c>
      <c r="D7" s="133">
        <f>+C7-900</f>
        <v>15341</v>
      </c>
    </row>
    <row r="8" spans="1:4" ht="15" customHeight="1">
      <c r="A8" s="515" t="s">
        <v>21</v>
      </c>
      <c r="B8" s="516" t="s">
        <v>448</v>
      </c>
      <c r="C8" s="133">
        <v>5000</v>
      </c>
      <c r="D8" s="133">
        <f>+C8</f>
        <v>5000</v>
      </c>
    </row>
    <row r="9" spans="1:4" ht="15" customHeight="1">
      <c r="A9" s="515" t="s">
        <v>22</v>
      </c>
      <c r="B9" s="516" t="s">
        <v>469</v>
      </c>
      <c r="C9" s="133">
        <v>1000</v>
      </c>
      <c r="D9" s="133">
        <f>+C9</f>
        <v>1000</v>
      </c>
    </row>
    <row r="10" spans="1:4" ht="42.75">
      <c r="A10" s="515" t="s">
        <v>23</v>
      </c>
      <c r="B10" s="516" t="s">
        <v>478</v>
      </c>
      <c r="C10" s="133"/>
      <c r="D10" s="131">
        <v>26212</v>
      </c>
    </row>
    <row r="11" spans="1:4" ht="15" customHeight="1">
      <c r="A11" s="515" t="s">
        <v>24</v>
      </c>
      <c r="B11" s="516" t="s">
        <v>227</v>
      </c>
      <c r="C11" s="133"/>
      <c r="D11" s="131">
        <v>6094</v>
      </c>
    </row>
    <row r="12" spans="1:3" ht="15" customHeight="1">
      <c r="A12" s="515"/>
      <c r="B12" s="516"/>
      <c r="C12" s="133"/>
    </row>
    <row r="13" spans="1:4" ht="15" customHeight="1">
      <c r="A13" s="515" t="s">
        <v>25</v>
      </c>
      <c r="B13" s="517" t="s">
        <v>94</v>
      </c>
      <c r="C13" s="514">
        <f>SUM(C7:C12)</f>
        <v>22241</v>
      </c>
      <c r="D13" s="514">
        <f>SUM(D7:D12)</f>
        <v>53647</v>
      </c>
    </row>
    <row r="14" ht="15" customHeight="1">
      <c r="A14" s="511"/>
    </row>
    <row r="15" spans="1:4" ht="15" customHeight="1">
      <c r="A15" s="541" t="s">
        <v>26</v>
      </c>
      <c r="B15" s="518" t="s">
        <v>449</v>
      </c>
      <c r="C15" s="53">
        <f>9041+3096</f>
        <v>12137</v>
      </c>
      <c r="D15" s="131">
        <f>+C15</f>
        <v>12137</v>
      </c>
    </row>
    <row r="16" spans="1:4" ht="15" customHeight="1">
      <c r="A16" s="541" t="s">
        <v>27</v>
      </c>
      <c r="B16" s="518" t="s">
        <v>468</v>
      </c>
      <c r="C16" s="53">
        <v>1500</v>
      </c>
      <c r="D16" s="131">
        <f>+C16</f>
        <v>1500</v>
      </c>
    </row>
    <row r="17" spans="1:3" ht="15" customHeight="1">
      <c r="A17" s="515"/>
      <c r="B17" s="518"/>
      <c r="C17" s="53"/>
    </row>
    <row r="18" spans="1:3" ht="15" customHeight="1">
      <c r="A18" s="511"/>
      <c r="B18" s="518"/>
      <c r="C18" s="133"/>
    </row>
    <row r="19" spans="1:4" ht="15" customHeight="1">
      <c r="A19" s="541" t="s">
        <v>28</v>
      </c>
      <c r="B19" s="519" t="s">
        <v>95</v>
      </c>
      <c r="C19" s="520">
        <f>SUM(C15:C18)</f>
        <v>13637</v>
      </c>
      <c r="D19" s="520">
        <f>SUM(D15:D18)</f>
        <v>13637</v>
      </c>
    </row>
    <row r="20" spans="1:4" ht="15" customHeight="1">
      <c r="A20" s="511"/>
      <c r="B20" s="519"/>
      <c r="C20" s="520"/>
      <c r="D20" s="520"/>
    </row>
    <row r="21" spans="1:4" ht="15" customHeight="1">
      <c r="A21" s="541" t="s">
        <v>29</v>
      </c>
      <c r="B21" s="520" t="s">
        <v>96</v>
      </c>
      <c r="C21" s="521">
        <f>+C19+C13</f>
        <v>35878</v>
      </c>
      <c r="D21" s="521">
        <f>+D19+D13</f>
        <v>67284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&amp;L7. melléklet a 2014. évi 6/2014.(III.28.) Önkormányzati költségvetési rendelethez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PageLayoutView="0" workbookViewId="0" topLeftCell="A1">
      <selection activeCell="F27" sqref="F27"/>
    </sheetView>
  </sheetViews>
  <sheetFormatPr defaultColWidth="9.140625" defaultRowHeight="12.75"/>
  <cols>
    <col min="1" max="1" width="4.7109375" style="111" bestFit="1" customWidth="1"/>
    <col min="2" max="2" width="66.421875" style="110" customWidth="1"/>
    <col min="3" max="3" width="12.140625" style="110" customWidth="1"/>
    <col min="4" max="16384" width="9.140625" style="110" customWidth="1"/>
  </cols>
  <sheetData>
    <row r="1" ht="15.75">
      <c r="A1" s="109" t="s">
        <v>150</v>
      </c>
    </row>
    <row r="2" ht="15.75">
      <c r="B2" s="112"/>
    </row>
    <row r="3" spans="2:4" ht="15.75">
      <c r="B3" s="113" t="s">
        <v>151</v>
      </c>
      <c r="C3" s="503" t="s">
        <v>379</v>
      </c>
      <c r="D3" s="503" t="s">
        <v>379</v>
      </c>
    </row>
    <row r="4" spans="3:4" ht="15.75">
      <c r="C4" s="503" t="s">
        <v>68</v>
      </c>
      <c r="D4" s="503" t="s">
        <v>477</v>
      </c>
    </row>
    <row r="5" spans="1:4" ht="15.75">
      <c r="A5" s="111" t="s">
        <v>11</v>
      </c>
      <c r="B5" s="504" t="s">
        <v>12</v>
      </c>
      <c r="C5" s="503" t="s">
        <v>13</v>
      </c>
      <c r="D5" s="503" t="s">
        <v>14</v>
      </c>
    </row>
    <row r="7" spans="1:4" ht="15.75">
      <c r="A7" s="111" t="s">
        <v>20</v>
      </c>
      <c r="B7" s="110" t="s">
        <v>152</v>
      </c>
      <c r="C7" s="114">
        <f>+1_mell!E46</f>
        <v>150</v>
      </c>
      <c r="D7" s="114">
        <f>+1_mell!F47</f>
        <v>150</v>
      </c>
    </row>
    <row r="8" spans="1:4" ht="15.75">
      <c r="A8" s="111" t="s">
        <v>21</v>
      </c>
      <c r="B8" s="110" t="s">
        <v>455</v>
      </c>
      <c r="C8" s="114">
        <v>7000</v>
      </c>
      <c r="D8" s="114">
        <f>+C8</f>
        <v>7000</v>
      </c>
    </row>
    <row r="9" spans="1:4" ht="15.75">
      <c r="A9" s="111" t="s">
        <v>22</v>
      </c>
      <c r="B9" s="110" t="s">
        <v>454</v>
      </c>
      <c r="C9" s="110">
        <f>35000+9450</f>
        <v>44450</v>
      </c>
      <c r="D9" s="110">
        <f>+C9</f>
        <v>44450</v>
      </c>
    </row>
    <row r="10" spans="1:4" ht="36.75" customHeight="1">
      <c r="A10" s="111" t="s">
        <v>23</v>
      </c>
      <c r="B10" s="636" t="s">
        <v>460</v>
      </c>
      <c r="C10" s="110">
        <v>9450</v>
      </c>
      <c r="D10" s="110">
        <f>+C10</f>
        <v>9450</v>
      </c>
    </row>
    <row r="11" spans="1:4" ht="15.75">
      <c r="A11" s="111" t="s">
        <v>24</v>
      </c>
      <c r="B11" s="110" t="str">
        <f>+1_mell!C43</f>
        <v>BM EU Önerő Alap KEOP-1.3.0/09-11 pályázathoz</v>
      </c>
      <c r="D11" s="114">
        <f>+1_mell!F43</f>
        <v>26212</v>
      </c>
    </row>
    <row r="12" spans="1:4" ht="15.75">
      <c r="A12" s="111" t="s">
        <v>25</v>
      </c>
      <c r="B12" s="110" t="str">
        <f>+1_mell!C44</f>
        <v>Közfoglalkoztatás</v>
      </c>
      <c r="D12" s="114">
        <f>+1_mell!F44</f>
        <v>6094</v>
      </c>
    </row>
    <row r="18" spans="1:6" ht="15.75">
      <c r="A18" s="111" t="s">
        <v>26</v>
      </c>
      <c r="B18" s="113" t="s">
        <v>153</v>
      </c>
      <c r="C18" s="447">
        <f>SUM(C7:C17)-C10</f>
        <v>51600</v>
      </c>
      <c r="D18" s="447">
        <f>SUM(D7:D17)-D10</f>
        <v>83906</v>
      </c>
      <c r="F18" s="114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&amp;L8. melléklet a 2014. évi 6/2014.(III.28.) Önkormányzati költségvetési rendelethez&amp;R&amp;D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</cp:lastModifiedBy>
  <cp:lastPrinted>2014-03-25T10:24:14Z</cp:lastPrinted>
  <dcterms:created xsi:type="dcterms:W3CDTF">2013-01-09T15:47:27Z</dcterms:created>
  <dcterms:modified xsi:type="dcterms:W3CDTF">2014-04-01T06:30:23Z</dcterms:modified>
  <cp:category/>
  <cp:version/>
  <cp:contentType/>
  <cp:contentStatus/>
</cp:coreProperties>
</file>