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959" activeTab="1"/>
  </bookViews>
  <sheets>
    <sheet name="TARTALOMJEGYZÉK" sheetId="1" r:id="rId1"/>
    <sheet name="ALAPADATOK" sheetId="2" r:id="rId2"/>
    <sheet name="KV_ÖSSZEFÜGGÉSEK" sheetId="3" r:id="rId3"/>
    <sheet name="KV_1.1.sz.mell." sheetId="4" r:id="rId4"/>
    <sheet name="KV_1.2.sz.mell." sheetId="5" r:id="rId5"/>
    <sheet name="KV_1.3.sz.mell." sheetId="6" r:id="rId6"/>
    <sheet name="KV_1.4.sz.mell." sheetId="7" r:id="rId7"/>
    <sheet name="KV_2.1.sz.mell." sheetId="8" r:id="rId8"/>
    <sheet name="KV_2.2.sz.mell." sheetId="9" r:id="rId9"/>
    <sheet name="KV_ELLENŐRZÉS" sheetId="10" r:id="rId10"/>
    <sheet name="KV_3.sz.mell." sheetId="11" r:id="rId11"/>
    <sheet name="KV_4.sz.mell." sheetId="12" r:id="rId12"/>
    <sheet name="KV_5.sz.mell." sheetId="13" r:id="rId13"/>
    <sheet name="KV_6.sz.mell." sheetId="14" r:id="rId14"/>
    <sheet name="KV_7.sz.mell." sheetId="15" r:id="rId15"/>
    <sheet name="KV_8.sz.mell." sheetId="16" r:id="rId16"/>
    <sheet name="KV_9.1.sz.mell" sheetId="17" r:id="rId17"/>
    <sheet name="KV_9.1.1.sz.mell" sheetId="18" r:id="rId18"/>
    <sheet name="KV_9.1.2.sz.mell." sheetId="19" r:id="rId19"/>
    <sheet name="KV_9.1.3.sz.mell" sheetId="20" r:id="rId20"/>
    <sheet name="KV_9.2.sz.mell" sheetId="21" r:id="rId21"/>
    <sheet name="KV_9.3.sz.mell" sheetId="22" r:id="rId22"/>
    <sheet name="KV_9.4.sz.mell" sheetId="23" r:id="rId23"/>
    <sheet name="KV_9.4.1.sz.mell" sheetId="24" r:id="rId24"/>
    <sheet name="KV_9.4.2.sz.mell" sheetId="25" r:id="rId25"/>
    <sheet name="KV_9.5.sz.mell" sheetId="26" r:id="rId26"/>
    <sheet name="KV_9.5.1.sz.mell" sheetId="27" r:id="rId27"/>
    <sheet name="KV_9.5.2.sz.mell" sheetId="28" r:id="rId28"/>
    <sheet name="KV_10.sz.mell" sheetId="29" r:id="rId29"/>
    <sheet name="KV_1.sz.tájékoztató_t." sheetId="30" r:id="rId30"/>
    <sheet name="KV_2.sz.tájékoztató_t." sheetId="31" r:id="rId31"/>
    <sheet name="KV_3.sz.tájékoztató_t." sheetId="32" r:id="rId32"/>
    <sheet name="KV_4.sz.tájékoztató_t." sheetId="33" r:id="rId33"/>
    <sheet name="KV_5.sz.tájékoztató_t" sheetId="34" r:id="rId34"/>
    <sheet name="KV_6.sz.tájékoztató_t." sheetId="35" r:id="rId35"/>
    <sheet name="KV_7.sz.tájékoztató_t." sheetId="36" r:id="rId36"/>
    <sheet name="KV_8.sz.tájékoztató_t." sheetId="37" r:id="rId37"/>
  </sheets>
  <definedNames>
    <definedName name="_xlnm.Print_Titles" localSheetId="17">'KV_9.1.1.sz.mell'!$1:$6</definedName>
    <definedName name="_xlnm.Print_Titles" localSheetId="18">'KV_9.1.2.sz.mell.'!$1:$6</definedName>
    <definedName name="_xlnm.Print_Titles" localSheetId="16">'KV_9.1.sz.mell'!$1:$6</definedName>
    <definedName name="_xlnm.Print_Titles" localSheetId="20">'KV_9.2.sz.mell'!$1:$6</definedName>
    <definedName name="_xlnm.Print_Titles" localSheetId="21">'KV_9.3.sz.mell'!$1:$6</definedName>
    <definedName name="_xlnm.Print_Titles" localSheetId="23">'KV_9.4.1.sz.mell'!$1:$6</definedName>
    <definedName name="_xlnm.Print_Titles" localSheetId="24">'KV_9.4.2.sz.mell'!$1:$6</definedName>
    <definedName name="_xlnm.Print_Titles" localSheetId="22">'KV_9.4.sz.mell'!$1:$6</definedName>
    <definedName name="_xlnm.Print_Titles" localSheetId="26">'KV_9.5.1.sz.mell'!$1:$6</definedName>
    <definedName name="_xlnm.Print_Titles" localSheetId="27">'KV_9.5.2.sz.mell'!$1:$6</definedName>
    <definedName name="_xlnm.Print_Titles" localSheetId="25">'KV_9.5.sz.mell'!$1:$6</definedName>
    <definedName name="_xlnm.Print_Area" localSheetId="3">'KV_1.1.sz.mell.'!$A$1:$C$164</definedName>
    <definedName name="_xlnm.Print_Area" localSheetId="4">'KV_1.2.sz.mell.'!$A$1:$C$164</definedName>
    <definedName name="_xlnm.Print_Area" localSheetId="5">'KV_1.3.sz.mell.'!$A$1:$C$164</definedName>
    <definedName name="_xlnm.Print_Area" localSheetId="6">'KV_1.4.sz.mell.'!$A$1:$C$164</definedName>
    <definedName name="_xlnm.Print_Area" localSheetId="29">'KV_1.sz.tájékoztató_t.'!$A$1:$E$150</definedName>
    <definedName name="_xlnm.Print_Area" localSheetId="35">'KV_7.sz.tájékoztató_t.'!$A$1:$E$38</definedName>
  </definedNames>
  <calcPr fullCalcOnLoad="1"/>
</workbook>
</file>

<file path=xl/sharedStrings.xml><?xml version="1.0" encoding="utf-8"?>
<sst xmlns="http://schemas.openxmlformats.org/spreadsheetml/2006/main" count="4550" uniqueCount="789">
  <si>
    <t>Tartalomjegyzék</t>
  </si>
  <si>
    <t>Dokumentum neve</t>
  </si>
  <si>
    <t>A dokumentációs rendszerben található táblázatok listája</t>
  </si>
  <si>
    <t>Ugrás</t>
  </si>
  <si>
    <t>KÖLTSÉGVETÉSI RENDLET</t>
  </si>
  <si>
    <t>Alapadatok</t>
  </si>
  <si>
    <t>Adatok megadása</t>
  </si>
  <si>
    <t>Összefüggések</t>
  </si>
  <si>
    <t>Táblázuatok adatainak összefüggései</t>
  </si>
  <si>
    <t xml:space="preserve">1.1. melléklet </t>
  </si>
  <si>
    <t>Önkormányzat összevont pénzügyi mérlege összesen</t>
  </si>
  <si>
    <t>1.2. melléklet</t>
  </si>
  <si>
    <t xml:space="preserve">Önkormányzat kötelező feladatainak összevont pénzügyi mérlege  </t>
  </si>
  <si>
    <t>1.3. melléklet</t>
  </si>
  <si>
    <t xml:space="preserve">Önkormányzat önként vállalt feladatainak összevont pénzügyi mérlege  </t>
  </si>
  <si>
    <t>1.4. melléklet</t>
  </si>
  <si>
    <t xml:space="preserve">Önkormányzat államigazgatási feladatainak összevont pénzügyi mérlege  </t>
  </si>
  <si>
    <t>2.1. melléklet</t>
  </si>
  <si>
    <t>Működési célú bevételek, kiadások mérlege</t>
  </si>
  <si>
    <t>2.2. melléklet</t>
  </si>
  <si>
    <t>Felhalmozási célú bevételek, kiadások mérlege</t>
  </si>
  <si>
    <t>Ellenőrző lista</t>
  </si>
  <si>
    <t>Ellenőrzés az 1-es és 2.1., 2.2. mellékletek adati esetében</t>
  </si>
  <si>
    <t>3. melléklet</t>
  </si>
  <si>
    <t>Adósságet keletekeztető ügyletek táblázata</t>
  </si>
  <si>
    <t>4. melléklet</t>
  </si>
  <si>
    <t>Önkormányzat saját bevételeinek bemutatása</t>
  </si>
  <si>
    <t>5. melléklet</t>
  </si>
  <si>
    <t>Az önkormányzat adósságot keletkeztető fejlesztései céljai</t>
  </si>
  <si>
    <t>6. melléklet</t>
  </si>
  <si>
    <t>Beruházások előirányzatai</t>
  </si>
  <si>
    <t>7. melléklet</t>
  </si>
  <si>
    <t>Felújítások előirányzatai</t>
  </si>
  <si>
    <t>8. melléklet</t>
  </si>
  <si>
    <t>EU-s projektek táblázatai</t>
  </si>
  <si>
    <t>9.1. melléklet</t>
  </si>
  <si>
    <t>Önkormányzat bevételei kiadásai (összesen)</t>
  </si>
  <si>
    <t>9.1.1. melléklet</t>
  </si>
  <si>
    <t xml:space="preserve">Önkormányzat kötelező feladatai  </t>
  </si>
  <si>
    <t>9.1.2. melléklet</t>
  </si>
  <si>
    <t xml:space="preserve">Önkormányzat önként vállalt feladatai </t>
  </si>
  <si>
    <t>9.1.3. melléklet</t>
  </si>
  <si>
    <t xml:space="preserve">Önkormányzat államigazgatási feladatai </t>
  </si>
  <si>
    <t>9.2. melléklet</t>
  </si>
  <si>
    <t>Polgármesteri/Közös hivatal költségvetési táblái (9.2.1., 9.2.2., 9.2.3.)</t>
  </si>
  <si>
    <t>9.3. melléklet</t>
  </si>
  <si>
    <t>9.4. melléklet</t>
  </si>
  <si>
    <t>9.5. melléklet</t>
  </si>
  <si>
    <t>10. melléklet</t>
  </si>
  <si>
    <t>Adatszolgáltatás az elismert tartozásállományról</t>
  </si>
  <si>
    <t>1. számú tájékoztató tábla</t>
  </si>
  <si>
    <t>Tájékoztató a 2017. évi tény, 2018. évi várható és 2019. évi terv adatokról</t>
  </si>
  <si>
    <t>2. számú tájékoztató tábla</t>
  </si>
  <si>
    <t>Többéves kihatással járó döntések számszerűsítése évenkénti bontásban és összesítve célok szerint</t>
  </si>
  <si>
    <t>3. számú tájékoztató tábla</t>
  </si>
  <si>
    <t>Az önkormányzat által adott közvetett támogatások (kedvezmények)</t>
  </si>
  <si>
    <t>4. számú tájékoztató tábla</t>
  </si>
  <si>
    <t>Előirányzat-felhasználási terv 2019. évre</t>
  </si>
  <si>
    <t>5. számú tájékoztató tábla</t>
  </si>
  <si>
    <t>2019. évi általános működés és ágazati feladatok támogatásának alakulása jogcímenként</t>
  </si>
  <si>
    <t>6. számú tájékoztató tábla</t>
  </si>
  <si>
    <t>Kimutatás a 2019. évben céljelleggel juttatott támogatásokról</t>
  </si>
  <si>
    <t>7. számú tájékoztató tábla</t>
  </si>
  <si>
    <t>2019. évi költségvetési évet követő 3 év tervezett kiadásai, bevételei</t>
  </si>
  <si>
    <t>ALAPADATOK</t>
  </si>
  <si>
    <t>ELEK VÁROS ÖNKORMÁNYZATA</t>
  </si>
  <si>
    <t>Előterjesztéskor</t>
  </si>
  <si>
    <t>a</t>
  </si>
  <si>
    <t>…</t>
  </si>
  <si>
    <t>/</t>
  </si>
  <si>
    <t>(</t>
  </si>
  <si>
    <t>)</t>
  </si>
  <si>
    <t>önkormányzati rendelethez</t>
  </si>
  <si>
    <t>Eleki Közös Önkormányzati Hivatal</t>
  </si>
  <si>
    <t>1. költségvetési szerv neve</t>
  </si>
  <si>
    <t>Elek Város Óvoda-Bölcsőde</t>
  </si>
  <si>
    <t>2. költségvetési szerv neve</t>
  </si>
  <si>
    <t>Reibel Mihály Városi Művelődési Központ és Könyvtár</t>
  </si>
  <si>
    <t>3. költségvetési szerv neve</t>
  </si>
  <si>
    <t>Naplemente Idősek Otthona</t>
  </si>
  <si>
    <t>4. költségvetési szerv neve</t>
  </si>
  <si>
    <t>4 kvi név</t>
  </si>
  <si>
    <t>5. költségvetési szerv neve</t>
  </si>
  <si>
    <t>5 kvi név</t>
  </si>
  <si>
    <t>6. költségvetési szerv neve</t>
  </si>
  <si>
    <t>6 kvi név</t>
  </si>
  <si>
    <t>7. költségvetési szerv neve</t>
  </si>
  <si>
    <t>7 kvi név</t>
  </si>
  <si>
    <t>8. költségvetési szerv neve</t>
  </si>
  <si>
    <t>8 kvi név</t>
  </si>
  <si>
    <t>9 kvi név</t>
  </si>
  <si>
    <t>10. költségvetési szerv neve</t>
  </si>
  <si>
    <t>10 kvi név</t>
  </si>
  <si>
    <t>Költségvetési rendelet űrlapjainak összefüggései:</t>
  </si>
  <si>
    <t>2019. évi előirányzat BEVÉTELEK</t>
  </si>
  <si>
    <t>1.1. sz. melléklet Bevételek táblázat C. oszlop 9 sora =</t>
  </si>
  <si>
    <t xml:space="preserve">2.1. számú melléklet C. oszlop 13. sor + 2.2. számú melléklet C. oszlop 12. sor </t>
  </si>
  <si>
    <t>1.1. sz. melléklet Bevételek táblázat C. oszlop 17 sora =</t>
  </si>
  <si>
    <t xml:space="preserve">2.1. számú melléklet C. oszlop 24. sor + 2.2. számú melléklet C. oszlop 25. sor </t>
  </si>
  <si>
    <t>1.1. sz. melléklet Bevételek táblázat C. oszlop 18 sora =</t>
  </si>
  <si>
    <t xml:space="preserve">2.1. számú melléklet C. oszlop 25. sor + 2.2. számú melléklet C. oszlop 26. sor </t>
  </si>
  <si>
    <t>1.1. sz. melléklet Kiadások táblázat C. oszlop 3 sora =</t>
  </si>
  <si>
    <t xml:space="preserve">2.1. számú melléklet E. oszlop 13. sor + 2.2. számú melléklet E. oszlop 12. sor </t>
  </si>
  <si>
    <t>1.1. sz. melléklet Kiadások táblázat C. oszlop 10 sora =</t>
  </si>
  <si>
    <t xml:space="preserve">2.1. számú melléklet E. oszlop 24. sor + 2.2. számú melléklet E. oszlop 25. sor </t>
  </si>
  <si>
    <t>1.1. sz. melléklet Kiadások táblázat C. oszlop 11 sora =</t>
  </si>
  <si>
    <t xml:space="preserve">2.1. számú melléklet E. oszlop 25. sor + 2.2. számú melléklet E. oszlop 26. sor </t>
  </si>
  <si>
    <t>2019. ÉVI KÖLTSÉGVETÉS</t>
  </si>
  <si>
    <t>ÖSSZEVONT MÉRLEGE</t>
  </si>
  <si>
    <t>B E V É T E L E K</t>
  </si>
  <si>
    <t>1. sz. táblázat</t>
  </si>
  <si>
    <t>Forintban!</t>
  </si>
  <si>
    <t>Sor-
szám</t>
  </si>
  <si>
    <t>Bevételi jogcím</t>
  </si>
  <si>
    <t>A</t>
  </si>
  <si>
    <t>B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</si>
  <si>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</si>
  <si>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</si>
  <si>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</si>
  <si>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</si>
  <si>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</si>
  <si>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</si>
  <si>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</si>
  <si>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gyermekjóléti, étkeztetési feladatainak támogatása</t>
  </si>
  <si>
    <t>1.4.</t>
  </si>
  <si>
    <t>Önkormányzatok kulturális feladatainak támogatása</t>
  </si>
  <si>
    <t>1.5.</t>
  </si>
  <si>
    <t xml:space="preserve">Működési célú kvi támogatások és kiegészítő támogatások 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</si>
  <si>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</si>
  <si>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</si>
  <si>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</si>
  <si>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</si>
  <si>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</si>
  <si>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</si>
  <si>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</si>
  <si>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</si>
  <si>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</si>
  <si>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</si>
  <si>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</si>
  <si>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</si>
  <si>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</si>
  <si>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államháztartáson belülről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</si>
  <si>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</si>
  <si>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</si>
  <si>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</si>
  <si>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</si>
  <si>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</si>
  <si>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</si>
  <si>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</si>
  <si>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</si>
  <si>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</si>
  <si>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</si>
  <si>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</si>
  <si>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</si>
  <si>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</si>
  <si>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</si>
  <si>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</si>
  <si>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 xml:space="preserve">   3.5.-ből EU-s támogatás</t>
  </si>
  <si>
    <t xml:space="preserve">4. </t>
  </si>
  <si>
    <t>Közhatalmi bevételek (4.1.+…+4.7.)</t>
  </si>
  <si>
    <t>4.1.</t>
  </si>
  <si>
    <t>Magánszemélyek kommunális adója</t>
  </si>
  <si>
    <t>4.2.</t>
  </si>
  <si>
    <t>Idegenforgalmi adó</t>
  </si>
  <si>
    <t>4.3.</t>
  </si>
  <si>
    <t>Iparűzési adó</t>
  </si>
  <si>
    <t>4.4.</t>
  </si>
  <si>
    <t>Talajterhelési díj</t>
  </si>
  <si>
    <t>4.5.</t>
  </si>
  <si>
    <t>Gépjárműadó</t>
  </si>
  <si>
    <t>4.6.</t>
  </si>
  <si>
    <t>Egyéb áruhasználati és szolgáltatási adók</t>
  </si>
  <si>
    <t>4.7.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</si>
  <si>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</si>
  <si>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</si>
  <si>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</si>
  <si>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</si>
  <si>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</si>
  <si>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</si>
  <si>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</si>
  <si>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</si>
  <si>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</si>
  <si>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</si>
  <si>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</si>
  <si>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</si>
  <si>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</si>
  <si>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</si>
  <si>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</si>
  <si>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</si>
  <si>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</si>
  <si>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</si>
  <si>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 és más nyereségjellegű 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</si>
  <si>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</si>
  <si>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</si>
  <si>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</si>
  <si>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</si>
  <si>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</si>
  <si>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</si>
  <si>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</si>
  <si>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</si>
  <si>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</si>
  <si>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</si>
  <si>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</si>
  <si>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</si>
  <si>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</si>
  <si>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</si>
  <si>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</si>
  <si>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</si>
  <si>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</si>
  <si>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</si>
  <si>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</si>
  <si>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</si>
  <si>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</si>
  <si>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</si>
  <si>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</si>
  <si>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</si>
  <si>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</si>
  <si>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</si>
  <si>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</si>
  <si>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</si>
  <si>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</si>
  <si>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</si>
  <si>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</si>
  <si>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</si>
  <si>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</si>
  <si>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</si>
  <si>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</si>
  <si>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</si>
  <si>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</si>
  <si>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</si>
  <si>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 xml:space="preserve">   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</si>
  <si>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</si>
  <si>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</si>
  <si>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</si>
  <si>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</si>
  <si>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</si>
  <si>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</si>
  <si>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</si>
  <si>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</si>
  <si>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 pénzügyi vállalkozástól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</si>
  <si>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</si>
  <si>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</si>
  <si>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</si>
  <si>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</si>
  <si>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</si>
  <si>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Éven belüli lejáratú belföldi értékpapírok kibocsátása</t>
  </si>
  <si>
    <t>11.3.</t>
  </si>
  <si>
    <t>Befektetési célú belföldi értékpapírok beváltása,  értékesítése</t>
  </si>
  <si>
    <t>11.4.</t>
  </si>
  <si>
    <t>Éven túli lejáratú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</si>
  <si>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</si>
  <si>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</si>
  <si>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</si>
  <si>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</si>
  <si>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</si>
  <si>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</si>
  <si>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</si>
  <si>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</si>
  <si>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</si>
  <si>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</si>
  <si>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</si>
  <si>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</si>
  <si>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</si>
  <si>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Lekötött 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</si>
  <si>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</si>
  <si>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</si>
  <si>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</si>
  <si>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</si>
  <si>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</si>
  <si>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</si>
  <si>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</si>
  <si>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</si>
  <si>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</si>
  <si>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</si>
  <si>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</si>
  <si>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</si>
  <si>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</si>
  <si>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</si>
  <si>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</si>
  <si>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</si>
  <si>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</si>
  <si>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BEVÉTELEK ÖSSZESEN: (9+17)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</si>
  <si>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</si>
  <si>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</si>
  <si>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</si>
  <si>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family val="1"/>
      </rPr>
      <t>(1.1+…+1.5.+1.18.)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</si>
  <si>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</si>
  <si>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</si>
  <si>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</si>
  <si>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</si>
  <si>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</si>
  <si>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</si>
  <si>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</si>
  <si>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</si>
  <si>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</si>
  <si>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</si>
  <si>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</si>
  <si>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</si>
  <si>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</si>
  <si>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</si>
  <si>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</si>
  <si>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</si>
  <si>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</si>
  <si>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</si>
  <si>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</si>
  <si>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</si>
  <si>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</si>
  <si>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</si>
  <si>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</si>
  <si>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</si>
  <si>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</si>
  <si>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</si>
  <si>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</si>
  <si>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</si>
  <si>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</si>
  <si>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</si>
  <si>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</si>
  <si>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</si>
  <si>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1.18-ból: - Általános tartalék</t>
  </si>
  <si>
    <t>1.20.</t>
  </si>
  <si>
    <t xml:space="preserve">   - Céltartalék</t>
  </si>
  <si>
    <r>
      <t xml:space="preserve">   Felhalmozási költségvetés kiadásai </t>
    </r>
    <r>
      <rPr>
        <sz val="8"/>
        <rFont val="Times New Roman CE"/>
        <family val="1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</si>
  <si>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</si>
  <si>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</si>
  <si>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</si>
  <si>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</si>
  <si>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célú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</si>
  <si>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</si>
  <si>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</si>
  <si>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</si>
  <si>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</si>
  <si>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</si>
  <si>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</si>
  <si>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</si>
  <si>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</si>
  <si>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</si>
  <si>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</si>
  <si>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</si>
  <si>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</si>
  <si>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</si>
  <si>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</si>
  <si>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</si>
  <si>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</si>
  <si>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</si>
  <si>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</si>
  <si>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</si>
  <si>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</si>
  <si>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</si>
  <si>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</si>
  <si>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</si>
  <si>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</si>
  <si>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</si>
  <si>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</si>
  <si>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</si>
  <si>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</si>
  <si>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</si>
  <si>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</si>
  <si>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</si>
  <si>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</si>
  <si>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</si>
  <si>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</si>
  <si>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</si>
  <si>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</si>
  <si>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</si>
  <si>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</si>
  <si>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</si>
  <si>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</si>
  <si>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9.</t>
  </si>
  <si>
    <t>Váltókiadások</t>
  </si>
  <si>
    <t>10.</t>
  </si>
  <si>
    <t>FINANSZÍROZÁSI KIADÁSOK ÖSSZESEN: (4.+…+9.)</t>
  </si>
  <si>
    <t>11.</t>
  </si>
  <si>
    <t>KIADÁSOK ÖSSZESEN: (3.+10.)</t>
  </si>
  <si>
    <t>KÖLTSÉGVETÉSI, FINANSZÍROZÁSI BEVÉTELEK ÉS KIADÁSOK EGYENLEGE</t>
  </si>
  <si>
    <t>3. sz. táblázat</t>
  </si>
  <si>
    <t>Költségvetési hiány, többlet ( költségvetési bevételek 9. sor - költségvetési kiadások 3. sor) (+/-)</t>
  </si>
  <si>
    <t>Finanszírozási bevételek, kiadások egyenlege (finanszírozási bevételek 17. sor - finanszírozási kiadások 10. sor)
 (+/-)</t>
  </si>
  <si>
    <t>KÖTELEZŐ FELADATOK MÉRLEGE</t>
  </si>
  <si>
    <t>ÖNKÉNT VÁLLALT FELADATOK MÉRLEGE</t>
  </si>
  <si>
    <t>ÁLLAMIGAZGATÁSI FELADATOK MÉRLEGE</t>
  </si>
  <si>
    <t>Építményadó</t>
  </si>
  <si>
    <t>I. Működési célú bevételek és kiadások mérlege
(Önkormányzati szinten)</t>
  </si>
  <si>
    <t>Bevételek</t>
  </si>
  <si>
    <t>Kiadások</t>
  </si>
  <si>
    <t>Megnevezés</t>
  </si>
  <si>
    <t>C</t>
  </si>
  <si>
    <t>D</t>
  </si>
  <si>
    <t>Önkormányzatok működési támogatásai</t>
  </si>
  <si>
    <t>Személyi juttatások</t>
  </si>
  <si>
    <t>Működési célú támogatások államháztartáson belülről</t>
  </si>
  <si>
    <t>2.-ból EU-s támogatás</t>
  </si>
  <si>
    <t xml:space="preserve">Dologi kiadások </t>
  </si>
  <si>
    <t>Közhatalmi bevételek</t>
  </si>
  <si>
    <t>Működési bevételek</t>
  </si>
  <si>
    <t>Működési célú átvett pénzeszközök</t>
  </si>
  <si>
    <t>6.-ból EU-s támogatás (közvetlen)</t>
  </si>
  <si>
    <t>12.</t>
  </si>
  <si>
    <t>13.</t>
  </si>
  <si>
    <t>Költségvetési bevételek összesen (1.+2.+4.+5.+6.+8.+…+12.)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</si>
  <si>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</si>
  <si>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</si>
  <si>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</si>
  <si>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</si>
  <si>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</si>
  <si>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</si>
  <si>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</si>
  <si>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</si>
  <si>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</si>
  <si>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</si>
  <si>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</si>
  <si>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</si>
  <si>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</si>
  <si>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</si>
  <si>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>Értékpapír értékesítése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</si>
  <si>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</si>
  <si>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</si>
  <si>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</si>
  <si>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</si>
  <si>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</si>
  <si>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</si>
  <si>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21.</t>
  </si>
  <si>
    <t>Egyéb</t>
  </si>
  <si>
    <t>22.</t>
  </si>
  <si>
    <t>23.</t>
  </si>
  <si>
    <t>24.</t>
  </si>
  <si>
    <t>Működési célú finanszírozási bevételek összesen (14.+19.+22.+23.)</t>
  </si>
  <si>
    <t>Működési célú finanszírozási kiadások összesen (14.+...+23.)</t>
  </si>
  <si>
    <t>25.</t>
  </si>
  <si>
    <t>BEVÉTEL ÖSSZESEN (13.+24.)</t>
  </si>
  <si>
    <t>KIADÁSOK ÖSSZESEN (13.+24.)</t>
  </si>
  <si>
    <t>26.</t>
  </si>
  <si>
    <t>Költségvetési hiány:</t>
  </si>
  <si>
    <t>Költségvetési többlet:</t>
  </si>
  <si>
    <t>27.</t>
  </si>
  <si>
    <t>Bruttó  hiány:</t>
  </si>
  <si>
    <t>Bruttó  többlet:</t>
  </si>
  <si>
    <t>II. Felhalmozási célú bevételek és kiadások mérlege
(Önkormányzati szinten)</t>
  </si>
  <si>
    <t>Felhalmozási célú támogatások államháztartáson belülről</t>
  </si>
  <si>
    <t>1.-ből EU-s támogatás</t>
  </si>
  <si>
    <t>1.-ből EU-s forrásból megvalósuló beruházás</t>
  </si>
  <si>
    <t>Felhalmozási bevételek</t>
  </si>
  <si>
    <t>Felhalmozási célú átvett pénzeszközök átvétele</t>
  </si>
  <si>
    <t>3.-ból EU-s forrásból megvalósuló felújítás</t>
  </si>
  <si>
    <t>4.-ből EU-s támogatás (közvetlen)</t>
  </si>
  <si>
    <t>Egyéb felhalmozási kiadások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</si>
  <si>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</si>
  <si>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</si>
  <si>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</si>
  <si>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</si>
  <si>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</si>
  <si>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</si>
  <si>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</si>
  <si>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</si>
  <si>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Egyéb belső finanszírozási bevételek</t>
  </si>
  <si>
    <t>Befektetési célú belföldi, külföldi értékpapírok vásárlása</t>
  </si>
  <si>
    <t>Hiány külső finanszírozásának bevételei (20+…+24 )</t>
  </si>
  <si>
    <t>Betét elhelyezése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</si>
  <si>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</si>
  <si>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</si>
  <si>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</si>
  <si>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</si>
  <si>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</si>
  <si>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</si>
  <si>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
(13.+...+24.)</t>
  </si>
  <si>
    <t>BEVÉTEL ÖSSZESEN (12+25)</t>
  </si>
  <si>
    <t>KIADÁSOK ÖSSZESEN (12+25)</t>
  </si>
  <si>
    <t>28.</t>
  </si>
  <si>
    <t>ELTÉRÉS</t>
  </si>
  <si>
    <t>Elek Város Önkormányzat adósságot keletkeztető ügyletekből és kezességvállalásokból fennálló kötelezettségei</t>
  </si>
  <si>
    <t>Sor-szám</t>
  </si>
  <si>
    <t>MEGNEVEZÉS</t>
  </si>
  <si>
    <t>Évek</t>
  </si>
  <si>
    <t>Összesen
(F=C+D+E)</t>
  </si>
  <si>
    <t>E</t>
  </si>
  <si>
    <t>ÖSSZES KÖTELEZETTSÉG</t>
  </si>
  <si>
    <t>Elek Város Önkormányzat saját bevételeinek részletezése az adósságot keletkeztető ügyletből származó tárgyévi fizetési kötelezettség megállapításához</t>
  </si>
  <si>
    <t>Bevételi jogcímek</t>
  </si>
  <si>
    <t>Helyi adóból és a települési adóból származó bevétel</t>
  </si>
  <si>
    <t>Az önkormányzati vagyon és az önkormányzatot megillető vagyoni értékű jog értékesítéséből és hasznosításából származó bevétel</t>
  </si>
  <si>
    <t>Osztalék, koncessziós díj és hozambevétel</t>
  </si>
  <si>
    <t>Tárgyi eszköz és az immateriális jószág, részvény, részesedés, vállalat értékesítéséből vagy privatizációból származó bevétel</t>
  </si>
  <si>
    <t>Bírság-, pótlék- és díjbevétel</t>
  </si>
  <si>
    <t>Kezesség-, illetve garanciavállalással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</si>
  <si>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</si>
  <si>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</si>
  <si>
    <t>Elek Város Önkormányzata 2019. évi adósságot keletkeztető fejlesztési céljai</t>
  </si>
  <si>
    <t>Fejlesztési cél leírása</t>
  </si>
  <si>
    <t>Fejlesztés várható kiadása</t>
  </si>
  <si>
    <t>ADÓSSÁGOT KELETKEZTETŐ ÜGYLETEK VÁRHATÓ EGYÜTTES ÖSSZEGE</t>
  </si>
  <si>
    <t>Beruházási (felhalmozási) kiadások előirányzata beruházásonként</t>
  </si>
  <si>
    <t>Beruházás  megnevezése</t>
  </si>
  <si>
    <t>Teljes költség</t>
  </si>
  <si>
    <t>Kivitelezés kezdési és befejezési éve</t>
  </si>
  <si>
    <t>F=(B-D-E)</t>
  </si>
  <si>
    <t>Kistraktor beszerzés</t>
  </si>
  <si>
    <t>2019</t>
  </si>
  <si>
    <t>Konyhafejlesztési pályázat</t>
  </si>
  <si>
    <t>Játszótér építése</t>
  </si>
  <si>
    <t>Eleki Közös Önkormányzati Hivatal beszerzései</t>
  </si>
  <si>
    <t>Elek Város Óvoda-Bölcsőde beszerzései</t>
  </si>
  <si>
    <t>ÖSSZESEN:</t>
  </si>
  <si>
    <t>Felújítási kiadások előirányzata felújításonként</t>
  </si>
  <si>
    <t>Felújítás  megnevezése</t>
  </si>
  <si>
    <t>Útfelújítás</t>
  </si>
  <si>
    <t>Járda felújítás</t>
  </si>
  <si>
    <t>Havaria (víz-, szennyvízcsatorna hálózat) felújítás</t>
  </si>
  <si>
    <t>Hősök u. 3. lakások felújítása</t>
  </si>
  <si>
    <t>Lőkösházi u. 50. lakás felújítása</t>
  </si>
  <si>
    <t>TOP Elek Város csapadékelvezető rendszer fejlesztés</t>
  </si>
  <si>
    <t>2018-2019</t>
  </si>
  <si>
    <t>TOP Naplemente Idősek Otthon ép. Energetikai megtak.célzó projekt</t>
  </si>
  <si>
    <t>Európai uniós támogatással megvalósuló projektek</t>
  </si>
  <si>
    <t>bevételei, kiadási, hozzájárulások</t>
  </si>
  <si>
    <t>EU-s projekt neve, azonosítója:</t>
  </si>
  <si>
    <t>Naplemente Idősek Otthona építésének energetikai megtakarítást célzó projekt                                                                               TOP-3.2.1-16-BS1-2017-00029</t>
  </si>
  <si>
    <t>Források</t>
  </si>
  <si>
    <t>Összesen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</si>
  <si>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</si>
  <si>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</si>
  <si>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</si>
  <si>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</si>
  <si>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</si>
  <si>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</si>
  <si>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</si>
  <si>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Kiadások, költségek</t>
  </si>
  <si>
    <t>Személyi jellegű</t>
  </si>
  <si>
    <t>Beruházások, beszerzések</t>
  </si>
  <si>
    <t>Szolgáltatások igénybe vétele</t>
  </si>
  <si>
    <t>Adminisztratív költségek</t>
  </si>
  <si>
    <t>Összesen:</t>
  </si>
  <si>
    <t>Elek város csapadékvízelvezető rendszer fejlesztése                      TOP-2.1.3-16-BS1-2017-00013</t>
  </si>
  <si>
    <t>Kulturális intézmények a köznevelés eredményességéért Tanórán kívüli kulturális foglalkozások támogatása Eleken és Lőkösházán  a köznevelés eredményességéért                      EFOP-3.2.2-16-2016-00184</t>
  </si>
  <si>
    <t>2020. után</t>
  </si>
  <si>
    <t>Humán Szolgáltatások Fejlesztése Térségi szemléletben                      EFOP-1.5.2.16-2017-00021</t>
  </si>
  <si>
    <t>Támogatott neve</t>
  </si>
  <si>
    <t>Hozzájárulás  (Ft)</t>
  </si>
  <si>
    <t>01</t>
  </si>
  <si>
    <t>Feladat megnevezése</t>
  </si>
  <si>
    <t>Összes bevétel, kiadás</t>
  </si>
  <si>
    <t>Száma</t>
  </si>
  <si>
    <t>Kiemelt előirányzat, előirányzat megnevezése</t>
  </si>
  <si>
    <t>Előirányzat</t>
  </si>
  <si>
    <t>Működési célú kvi támogatások és kiegészítő támogatások</t>
  </si>
  <si>
    <t xml:space="preserve">   Elszámolásból származó bevételek</t>
  </si>
  <si>
    <t xml:space="preserve">Egyéb működési célú támogatások bevételei </t>
  </si>
  <si>
    <t xml:space="preserve">   2.5.-ből EU-s támogatás</t>
  </si>
  <si>
    <t>Közhatalmi bevételek (4.1.+...+4.7.)</t>
  </si>
  <si>
    <t xml:space="preserve">   Egyéb működési bevételek</t>
  </si>
  <si>
    <t xml:space="preserve"> 10.</t>
  </si>
  <si>
    <t xml:space="preserve">   Rövid lejáratú  hitelek, kölcsönök felvétele</t>
  </si>
  <si>
    <t xml:space="preserve">   16.</t>
  </si>
  <si>
    <t xml:space="preserve">   17.</t>
  </si>
  <si>
    <t xml:space="preserve">   18.</t>
  </si>
  <si>
    <t>BEVÉTELEK ÖSSZESEN: (9+17)</t>
  </si>
  <si>
    <r>
      <t xml:space="preserve">   Működési költségvetés kiadásai </t>
    </r>
    <r>
      <rPr>
        <sz val="8"/>
        <rFont val="Times New Roman CE"/>
        <family val="1"/>
      </rPr>
      <t>(1.1+…+1.5+1.18.)</t>
    </r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</si>
  <si>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</si>
  <si>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</si>
  <si>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</si>
  <si>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t>Hosszú lejáratú hitelek, kölcsönök törlesztése</t>
  </si>
  <si>
    <t>Rövid lejáratú hitelek, kölcsönök törlesztése</t>
  </si>
  <si>
    <t>Éven belüli lejáatú belföldi értékpapírok beváltása</t>
  </si>
  <si>
    <t>Belföldi finanszírozás kiadásai (6.1. + … + 6.5.)</t>
  </si>
  <si>
    <t>Központi, irányító szervi támogatás</t>
  </si>
  <si>
    <t>Éves tervezett létszám előirányzat (fő)</t>
  </si>
  <si>
    <t>Közfoglalkoztatottak létszáma (fő)</t>
  </si>
  <si>
    <t>Kötelező feladatok bevételei, kiadása</t>
  </si>
  <si>
    <t>02</t>
  </si>
  <si>
    <t>3.5.-ből EU-s támogatás</t>
  </si>
  <si>
    <t xml:space="preserve">    Rövid lejáratú  hitelek, kölcsönök felvétele</t>
  </si>
  <si>
    <t>Önként vállalt feladatok bevételei, kiadása</t>
  </si>
  <si>
    <t>03</t>
  </si>
  <si>
    <t>Közhatalmi bevételek (4.1.+4.2.+4.3.+4.4.)</t>
  </si>
  <si>
    <t>Kamatbevételek és más nyereség jellegű bevételek</t>
  </si>
  <si>
    <t>9.1.3. melléklet a … / 2019 ( … ) önkormányzati rendelethez</t>
  </si>
  <si>
    <t>Államigazgatási feladatok bevételei, kiadása</t>
  </si>
  <si>
    <t xml:space="preserve">   Működési költségvetés kiadásai (1.1+…+1.5+1.18.)</t>
  </si>
  <si>
    <t xml:space="preserve">   Felhalmozási költségvetés kiadásai (2.1.+2.3.+2.5.)</t>
  </si>
  <si>
    <t>Költségvetési szerv megnevezése</t>
  </si>
  <si>
    <t>Kötelező feladatok bevételei, kiadásai</t>
  </si>
  <si>
    <t>Működési bevételek (1.1.+…+1.11.)</t>
  </si>
  <si>
    <t>Kiszámlázott általános forgalmi adó</t>
  </si>
  <si>
    <t>Általános forgalmi adó visszatérülése</t>
  </si>
  <si>
    <t>Kamatbevételek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</si>
  <si>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</si>
  <si>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</si>
  <si>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</si>
  <si>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 xml:space="preserve">  2.3-ból EU támogatás</t>
  </si>
  <si>
    <t>Felhalmozási célú támogatások államháztartáson belülről (4.1.+…+4.3.)</t>
  </si>
  <si>
    <t>Egyéb felhalmozási célú támogatások bevételei államháztartáson belülről</t>
  </si>
  <si>
    <t xml:space="preserve">  4.3.-ból EU-s támogatás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</si>
  <si>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</si>
  <si>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</si>
  <si>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</si>
  <si>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</si>
  <si>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</si>
  <si>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</si>
  <si>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Vállalkozási maradvány igénybevétele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</si>
  <si>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</si>
  <si>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</si>
  <si>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</si>
  <si>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</si>
  <si>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</si>
  <si>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</si>
  <si>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</si>
  <si>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</si>
  <si>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</si>
  <si>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 xml:space="preserve">  2.3.-ból EU támogatás</t>
  </si>
  <si>
    <t>Felhalmozási célú támogatások államháztartáson belülről (4.1.+4.2.)</t>
  </si>
  <si>
    <t xml:space="preserve">  4.2.-ből EU-s támogatás</t>
  </si>
  <si>
    <t>KÖLTSÉGVETÉSI BEVÉTELEK ÖSSZESEN (1.+…+7.)</t>
  </si>
  <si>
    <t>04</t>
  </si>
  <si>
    <t>Önként vállalt feladatok bevételei, kiadásai</t>
  </si>
  <si>
    <t>05</t>
  </si>
  <si>
    <t>Adatszolgáltatás 
az elismert tartozásállományról</t>
  </si>
  <si>
    <t>Költségvetési szerv neve:</t>
  </si>
  <si>
    <t>…………………………………</t>
  </si>
  <si>
    <t>Költségvetési szerv számlaszáma:</t>
  </si>
  <si>
    <t>Éves eredeti kiadási előirányzat: …………… Ft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</si>
  <si>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</si>
  <si>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</si>
  <si>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</si>
  <si>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</si>
  <si>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</si>
  <si>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</si>
  <si>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</si>
  <si>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</si>
  <si>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</si>
  <si>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</si>
  <si>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</si>
  <si>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</si>
  <si>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</si>
  <si>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Önkormányzatok szociális és gyermekjóléti feladatainak támogatása</t>
  </si>
  <si>
    <t>Magányszemélyek kommunális adója</t>
  </si>
  <si>
    <t>Hitel-, kölcsönfelvétel államháztartáson kívülről  (10.1.+…+10.3.)</t>
  </si>
  <si>
    <t>Hitelek, kölcsönök törlesztése külföldi kormányoknak nemz. Szervezeteknek</t>
  </si>
  <si>
    <t>Kötelezettség jogcíme</t>
  </si>
  <si>
    <t>Köt. váll.
 éve</t>
  </si>
  <si>
    <t>Kiadás vonzata évenként</t>
  </si>
  <si>
    <t>F</t>
  </si>
  <si>
    <t>G</t>
  </si>
  <si>
    <t>H</t>
  </si>
  <si>
    <t>I=(D+E+F+G+H)</t>
  </si>
  <si>
    <t>Működési célú finanszírozási kiadások
(hiteltörlesztés, értékpapír vásárlás, stb.)</t>
  </si>
  <si>
    <t>Hivatal fűtési rendszerének korszerűsítése- dologi kiadás</t>
  </si>
  <si>
    <t>2013</t>
  </si>
  <si>
    <t>Tanórán kívüli kulturális foglalkozások támogatása Eleken és Lőkösházán  a köznevelés eredményességéért -EFOP pályázat</t>
  </si>
  <si>
    <t>2018</t>
  </si>
  <si>
    <t>Humán szolgáltatások fejlesztése térségi szemléletben -EFOP pályázat</t>
  </si>
  <si>
    <t>Felhalmozási célú finanszírozási kiadások
(hiteltörlesztés, értékpapír vásárlás, stb.)</t>
  </si>
  <si>
    <t>Hivatal fűtési rendszerének korszerűsítése- felhalmozási kiadás</t>
  </si>
  <si>
    <t>............................</t>
  </si>
  <si>
    <t>Beruházási kiadások beruházásonként</t>
  </si>
  <si>
    <t>Felújítási kiadások felújításonként</t>
  </si>
  <si>
    <t>Elek Város csapadékelvezető rendszer fejlesztése -TOP pályázat</t>
  </si>
  <si>
    <t>Naplemente Idősek Otthona épületének energetikai megtakarítását célzó fejlesztés- TOP pályázat</t>
  </si>
  <si>
    <t>Tanórán kívüli kulturális foglalkozások támogatása Eleken és Lőkösházán  a köznevelés eredményességéért - EFOP pályázat</t>
  </si>
  <si>
    <t>Egyéb (Pl.: garancia és kezességvállalás, stb.)</t>
  </si>
  <si>
    <t>Összesen (1+5+8+10+14)</t>
  </si>
  <si>
    <t>Az önkormányzat által adott közvetett támogatások
(kedvezmények)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</si>
  <si>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</si>
  <si>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</si>
  <si>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</si>
  <si>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</si>
  <si>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</si>
  <si>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</si>
  <si>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</si>
  <si>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</si>
  <si>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</si>
  <si>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</si>
  <si>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</si>
  <si>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</si>
  <si>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</si>
  <si>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</si>
  <si>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mentesség</t>
  </si>
  <si>
    <t>Eszközök hasznosítása utáni kedvezmény, mentesség</t>
  </si>
  <si>
    <t>Egyéb kedvezmény</t>
  </si>
  <si>
    <t>Egyéb kölcsön elengedése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</si>
  <si>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</si>
  <si>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</si>
  <si>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</si>
  <si>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</si>
  <si>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</si>
  <si>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</si>
  <si>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</si>
  <si>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</si>
  <si>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</si>
  <si>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</si>
  <si>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</si>
  <si>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</si>
  <si>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Működési célú támogatások ÁH-on belül</t>
  </si>
  <si>
    <t>Felhalmozási célú támogatások ÁH-on belül</t>
  </si>
  <si>
    <t>Finanszírozási bevételek</t>
  </si>
  <si>
    <t>Bevételek összesen:</t>
  </si>
  <si>
    <t xml:space="preserve"> Egyéb működési célú kiadások</t>
  </si>
  <si>
    <t>Kiadások összesen:</t>
  </si>
  <si>
    <t>Egyenleg</t>
  </si>
  <si>
    <t>Forintban</t>
  </si>
  <si>
    <t>2018. évi L.
törvény 2. sz. melléklete száma*</t>
  </si>
  <si>
    <t>Jogcím</t>
  </si>
  <si>
    <t>I.1.a</t>
  </si>
  <si>
    <t>Önkormányzati hivatal működési támogatása</t>
  </si>
  <si>
    <t>I.1.ba</t>
  </si>
  <si>
    <t>Zöldterület gazdálkodás</t>
  </si>
  <si>
    <t>I.1.bb</t>
  </si>
  <si>
    <t>Közvilágítás fenntartás</t>
  </si>
  <si>
    <t>I.1.bc</t>
  </si>
  <si>
    <t>Köztemető fenntartás</t>
  </si>
  <si>
    <t>I.1.bd</t>
  </si>
  <si>
    <t>Közutak fenntartása</t>
  </si>
  <si>
    <t>I.1.c</t>
  </si>
  <si>
    <t>Egyéb kötelező önkormányzati feladatok támogatása</t>
  </si>
  <si>
    <t>I.1.d</t>
  </si>
  <si>
    <t>Lakott külterülettel kapcsolatos feladatok támogatása</t>
  </si>
  <si>
    <t>I.1.f . Kiegészítés</t>
  </si>
  <si>
    <t>Település-üzemeltetéshez kapcsolódó feladatellátás kiegészítő támogatása</t>
  </si>
  <si>
    <t>I.6.</t>
  </si>
  <si>
    <t>Polgármesteri illetmény támogatása</t>
  </si>
  <si>
    <t>II.1.</t>
  </si>
  <si>
    <t>Óvodapedagógusok, és az óvodapedagógusok nevelő munkáját közvetlenül segítők bértámogatása</t>
  </si>
  <si>
    <t>II.2.</t>
  </si>
  <si>
    <t>Óvodaműködtetési támogatás</t>
  </si>
  <si>
    <t>II.5.</t>
  </si>
  <si>
    <t>Köznevelési intézmények működtetéséhez kapcsolódó támogatás - nemzetiségi pótlék</t>
  </si>
  <si>
    <t>III.2.</t>
  </si>
  <si>
    <t>Települési önkormányzatok szociális feladatainak egyéb támogatása</t>
  </si>
  <si>
    <t>III.3.c (1)</t>
  </si>
  <si>
    <t>Szociális étkeztetés</t>
  </si>
  <si>
    <t>III.4.a+III.4.c</t>
  </si>
  <si>
    <t>Időskorúak átmeneti és tartós bentlakásos ellátása- szakmai dolgozók bértámogatása</t>
  </si>
  <si>
    <t>III.4.b</t>
  </si>
  <si>
    <t>Időskorúak átmeneti és tartós bentlakásos ellátása- intézmény-üzemeltetési támogatása</t>
  </si>
  <si>
    <t>III.5.aa</t>
  </si>
  <si>
    <t>Intézményi gyermekétkeztetés kapcsán az étkeztetési feladatot ellátók után járó bértámogatás</t>
  </si>
  <si>
    <t>III.5.ab</t>
  </si>
  <si>
    <t>Intézményi gyermekétkeztetés üzemeltetési támogatása</t>
  </si>
  <si>
    <t>III.5.b</t>
  </si>
  <si>
    <t>A rászoruló gyermekek intézményen kívüli szünidei étkeztetésének támogatása</t>
  </si>
  <si>
    <t>III.6.a (2)</t>
  </si>
  <si>
    <t>A finanszírozás szempontjából elismert szakmai dolgozók bértámogatása: bölcsődei dajkák, középfokú végzettségű kisgyermeknevelők, szaktanácsadók</t>
  </si>
  <si>
    <t>III.6.b</t>
  </si>
  <si>
    <t>Bölcsődei üzemeltetés</t>
  </si>
  <si>
    <t>IV.1.d</t>
  </si>
  <si>
    <t>Települési önkormányzatok nyilvános könyvári és közművelődési feladatainak támogatása</t>
  </si>
  <si>
    <t>* Magyarország 2019. évi központi költségvetéséról szóló törvény</t>
  </si>
  <si>
    <t>Támogatott szervezet neve</t>
  </si>
  <si>
    <t>Támogatás célja</t>
  </si>
  <si>
    <t>Támogatás összge</t>
  </si>
  <si>
    <t>Gyula és Környéke Többcélú Kistértégi Társulás</t>
  </si>
  <si>
    <t>Tagdíj</t>
  </si>
  <si>
    <t>Települési nemzetiségi önkormányzatok</t>
  </si>
  <si>
    <t>Működési támogatás</t>
  </si>
  <si>
    <t>Rendőrség</t>
  </si>
  <si>
    <t>TÖOSZ, Katasztrófavédelem, Leader</t>
  </si>
  <si>
    <t>Tagdíjak</t>
  </si>
  <si>
    <t xml:space="preserve">DAREH </t>
  </si>
  <si>
    <t>Körösi Vízgazdálkodási Társulat</t>
  </si>
  <si>
    <t>Lakosság</t>
  </si>
  <si>
    <t>Bursa Hungarica ösztöndíj</t>
  </si>
  <si>
    <t>Ösztöndíj</t>
  </si>
  <si>
    <t>Civil szervezetek</t>
  </si>
  <si>
    <t>Magyar Államkincstár</t>
  </si>
  <si>
    <t>Dr. Mester György Ált.Iskola pályázati támogatás visszafizetése</t>
  </si>
  <si>
    <t>Helyi védettségű épületek felújítás támogatása</t>
  </si>
  <si>
    <t>Szennnyvíz rákötés ösztönzés</t>
  </si>
  <si>
    <t>29.</t>
  </si>
  <si>
    <t>30.</t>
  </si>
  <si>
    <t>31.</t>
  </si>
  <si>
    <t>32.</t>
  </si>
  <si>
    <t>33.</t>
  </si>
  <si>
    <t>Nem kötelező!</t>
  </si>
  <si>
    <t>2019. ÉVI KÖLTSÉGVETÉSI ÉVET KÖVETŐ 3 ÉV TERVEZETT</t>
  </si>
  <si>
    <t>BEVÉTELEI, KIADÁSAI</t>
  </si>
  <si>
    <t>Önkormányzat működési támogatásai</t>
  </si>
  <si>
    <t xml:space="preserve">Működési bevételek </t>
  </si>
  <si>
    <t xml:space="preserve">Működési célú átvett pénzeszközök </t>
  </si>
  <si>
    <t xml:space="preserve">Felhalmozási célú átvett pénzeszközök </t>
  </si>
  <si>
    <t xml:space="preserve">FINANSZÍROZÁSI BEVÉTELEK ÖSSZESEN: </t>
  </si>
  <si>
    <t>KÖLTSÉGVETÉSI ÉS FINANSZÍROZÁSI BEVÉTELEK ÖSSZESEN: (9+10)</t>
  </si>
  <si>
    <t xml:space="preserve">   Működési költségvetés kiadásai </t>
  </si>
  <si>
    <t xml:space="preserve">   Felhalmozási költségvetés kiadásai (2.1.+2.2.+2.3.)</t>
  </si>
  <si>
    <t>FINANSZÍROZÁSI KIADÁSOK ÖSSZESEN:</t>
  </si>
  <si>
    <t>KIADÁSOK ÖSSZESEN: (3.+4.)</t>
  </si>
  <si>
    <t>8. tájékoztató tábla a … / 2019. (…...) önkormányzati rendelethez</t>
  </si>
  <si>
    <t>Elek Város  Önkormányzat likviditási terve
2019. évre</t>
  </si>
  <si>
    <t>Nyitó pénzkészlet</t>
  </si>
  <si>
    <t>-----</t>
  </si>
  <si>
    <t>Dologi kiadások</t>
  </si>
  <si>
    <t>Ellátottak pénzbeli juttatása</t>
  </si>
  <si>
    <t>Egyenleg (11-21)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</si>
</sst>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_-* #,##0.00\ _F_t_-;\-* #,##0.00\ _F_t_-;_-* \-??\ _F_t_-;_-@_-"/>
    <numFmt numFmtId="167" formatCode="mmm\ d/"/>
    <numFmt numFmtId="168" formatCode="yyyy\-mm\-dd"/>
    <numFmt numFmtId="169" formatCode="#,###"/>
    <numFmt numFmtId="170" formatCode="0\."/>
    <numFmt numFmtId="171" formatCode="_-* #,##0\ _F_t_-;\-* #,##0\ _F_t_-;_-* \-??\ _F_t_-;_-@_-"/>
  </numFmts>
  <fonts count="80">
    <font>
      <sz val="10"/>
      <name val="Times New Roman CE"/>
      <family val="1"/>
    </font>
    <font>
      <sz val="10"/>
      <name val="Arial"/>
      <family val="0"/>
    </font>
    <font>
      <u val="single"/>
      <sz val="12"/>
      <color indexed="12"/>
      <name val="Times New Roman CE"/>
      <family val="1"/>
    </font>
    <font>
      <u val="single"/>
      <sz val="12"/>
      <color indexed="20"/>
      <name val="Times New Roman CE"/>
      <family val="1"/>
    </font>
    <font>
      <sz val="12"/>
      <name val="Times New Roman CE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Times New Roman CE"/>
      <family val="1"/>
    </font>
    <font>
      <b/>
      <sz val="14"/>
      <name val="Times New Roman CE"/>
      <family val="1"/>
    </font>
    <font>
      <b/>
      <sz val="12"/>
      <name val="Times New Roman CE"/>
      <family val="1"/>
    </font>
    <font>
      <i/>
      <sz val="11"/>
      <name val="Times New Roman CE"/>
      <family val="1"/>
    </font>
    <font>
      <b/>
      <sz val="11"/>
      <name val="Times New Roman CE"/>
      <family val="1"/>
    </font>
    <font>
      <sz val="9"/>
      <name val="Times New Roman CE"/>
      <family val="1"/>
    </font>
    <font>
      <sz val="9"/>
      <color indexed="17"/>
      <name val="Times New Roman CE"/>
      <family val="1"/>
    </font>
    <font>
      <sz val="10"/>
      <color indexed="17"/>
      <name val="Times New Roman CE"/>
      <family val="1"/>
    </font>
    <font>
      <b/>
      <sz val="10"/>
      <name val="Times New Roman CE"/>
      <family val="1"/>
    </font>
    <font>
      <b/>
      <i/>
      <sz val="9"/>
      <name val="Times New Roman CE"/>
      <family val="1"/>
    </font>
    <font>
      <b/>
      <sz val="9"/>
      <name val="Times New Roman CE"/>
      <family val="1"/>
    </font>
    <font>
      <sz val="8"/>
      <name val="Times New Roman CE"/>
      <family val="1"/>
    </font>
    <font>
      <b/>
      <sz val="8"/>
      <name val="Times New Roman CE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color indexed="10"/>
      <name val="Times New Roman CE"/>
      <family val="1"/>
    </font>
    <font>
      <sz val="8"/>
      <color indexed="10"/>
      <name val="Times New Roman CE"/>
      <family val="1"/>
    </font>
    <font>
      <i/>
      <sz val="8"/>
      <name val="Times New Roman CE"/>
      <family val="1"/>
    </font>
    <font>
      <b/>
      <sz val="14"/>
      <color indexed="10"/>
      <name val="Times New Roman CE"/>
      <family val="1"/>
    </font>
    <font>
      <sz val="11"/>
      <name val="Times New Roman CE"/>
      <family val="1"/>
    </font>
    <font>
      <b/>
      <i/>
      <sz val="11"/>
      <name val="Times New Roman CE"/>
      <family val="1"/>
    </font>
    <font>
      <sz val="7"/>
      <name val="Times New Roman CE"/>
      <family val="1"/>
    </font>
    <font>
      <b/>
      <sz val="7"/>
      <name val="Times New Roman CE"/>
      <family val="1"/>
    </font>
    <font>
      <sz val="9"/>
      <name val="Times New Roman"/>
      <family val="1"/>
    </font>
    <font>
      <b/>
      <i/>
      <sz val="10"/>
      <name val="Times New Roman CE"/>
      <family val="1"/>
    </font>
    <font>
      <i/>
      <sz val="10"/>
      <name val="Times New Roman CE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0"/>
      <color indexed="10"/>
      <name val="Times New Roman CE"/>
      <family val="1"/>
    </font>
    <font>
      <b/>
      <sz val="9"/>
      <color indexed="8"/>
      <name val="Times New Roman"/>
      <family val="1"/>
    </font>
    <font>
      <b/>
      <i/>
      <sz val="12"/>
      <name val="Times New Roman CE"/>
      <family val="1"/>
    </font>
    <font>
      <sz val="12"/>
      <color indexed="10"/>
      <name val="Times New Roman CE"/>
      <family val="1"/>
    </font>
    <font>
      <b/>
      <sz val="12"/>
      <name val="Times New Roman"/>
      <family val="1"/>
    </font>
    <font>
      <sz val="6"/>
      <name val="Times New Roman CE"/>
      <family val="1"/>
    </font>
    <font>
      <b/>
      <sz val="6"/>
      <name val="Times New Roman CE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4" fillId="20" borderId="1" applyNumberFormat="0" applyAlignment="0" applyProtection="0"/>
    <xf numFmtId="0" fontId="65" fillId="0" borderId="0" applyNumberFormat="0" applyFill="0" applyBorder="0" applyAlignment="0" applyProtection="0"/>
    <xf numFmtId="0" fontId="66" fillId="0" borderId="2" applyNumberFormat="0" applyFill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8" fillId="0" borderId="0" applyNumberFormat="0" applyFill="0" applyBorder="0" applyAlignment="0" applyProtection="0"/>
    <xf numFmtId="0" fontId="69" fillId="21" borderId="5" applyNumberFormat="0" applyAlignment="0" applyProtection="0"/>
    <xf numFmtId="166" fontId="0" fillId="0" borderId="0" applyFill="0" applyBorder="0" applyAlignment="0" applyProtection="0"/>
    <xf numFmtId="164" fontId="1" fillId="0" borderId="0" applyFill="0" applyBorder="0" applyAlignment="0" applyProtection="0"/>
    <xf numFmtId="166" fontId="0" fillId="0" borderId="0" applyFill="0" applyBorder="0" applyAlignment="0" applyProtection="0"/>
    <xf numFmtId="0" fontId="7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0" fillId="22" borderId="7" applyNumberFormat="0" applyFont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2" fillId="26" borderId="0" applyNumberFormat="0" applyBorder="0" applyAlignment="0" applyProtection="0"/>
    <xf numFmtId="0" fontId="72" fillId="27" borderId="0" applyNumberFormat="0" applyBorder="0" applyAlignment="0" applyProtection="0"/>
    <xf numFmtId="0" fontId="72" fillId="28" borderId="0" applyNumberFormat="0" applyBorder="0" applyAlignment="0" applyProtection="0"/>
    <xf numFmtId="0" fontId="73" fillId="29" borderId="0" applyNumberFormat="0" applyBorder="0" applyAlignment="0" applyProtection="0"/>
    <xf numFmtId="0" fontId="74" fillId="30" borderId="8" applyNumberFormat="0" applyAlignment="0" applyProtection="0"/>
    <xf numFmtId="0" fontId="7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76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7" fillId="31" borderId="0" applyNumberFormat="0" applyBorder="0" applyAlignment="0" applyProtection="0"/>
    <xf numFmtId="0" fontId="78" fillId="32" borderId="0" applyNumberFormat="0" applyBorder="0" applyAlignment="0" applyProtection="0"/>
    <xf numFmtId="0" fontId="79" fillId="30" borderId="1" applyNumberFormat="0" applyAlignment="0" applyProtection="0"/>
    <xf numFmtId="9" fontId="1" fillId="0" borderId="0" applyFill="0" applyBorder="0" applyAlignment="0" applyProtection="0"/>
    <xf numFmtId="9" fontId="0" fillId="0" borderId="0" applyFill="0" applyBorder="0" applyAlignment="0" applyProtection="0"/>
  </cellStyleXfs>
  <cellXfs count="793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justify" vertical="top" wrapText="1"/>
    </xf>
    <xf numFmtId="0" fontId="7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center" vertical="top" wrapText="1"/>
    </xf>
    <xf numFmtId="0" fontId="8" fillId="0" borderId="0" xfId="0" applyFont="1" applyAlignment="1">
      <alignment/>
    </xf>
    <xf numFmtId="0" fontId="10" fillId="0" borderId="0" xfId="45" applyNumberFormat="1" applyFill="1" applyBorder="1" applyAlignment="1" applyProtection="1">
      <alignment/>
      <protection/>
    </xf>
    <xf numFmtId="167" fontId="8" fillId="0" borderId="0" xfId="0" applyNumberFormat="1" applyFont="1" applyAlignment="1">
      <alignment/>
    </xf>
    <xf numFmtId="168" fontId="8" fillId="0" borderId="0" xfId="0" applyNumberFormat="1" applyFont="1" applyAlignment="1">
      <alignment/>
    </xf>
    <xf numFmtId="0" fontId="8" fillId="0" borderId="0" xfId="0" applyFont="1" applyAlignment="1">
      <alignment wrapText="1"/>
    </xf>
    <xf numFmtId="0" fontId="0" fillId="0" borderId="0" xfId="0" applyAlignment="1" applyProtection="1">
      <alignment/>
      <protection locked="0"/>
    </xf>
    <xf numFmtId="0" fontId="13" fillId="0" borderId="0" xfId="0" applyFont="1" applyAlignment="1">
      <alignment/>
    </xf>
    <xf numFmtId="0" fontId="0" fillId="34" borderId="0" xfId="0" applyFont="1" applyFill="1" applyAlignment="1" applyProtection="1">
      <alignment horizontal="right"/>
      <protection locked="0"/>
    </xf>
    <xf numFmtId="0" fontId="0" fillId="34" borderId="0" xfId="0" applyFont="1" applyFill="1" applyAlignment="1" applyProtection="1">
      <alignment horizontal="center"/>
      <protection locked="0"/>
    </xf>
    <xf numFmtId="0" fontId="0" fillId="34" borderId="0" xfId="0" applyFont="1" applyFill="1" applyAlignment="1" applyProtection="1">
      <alignment/>
      <protection locked="0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 applyProtection="1">
      <alignment horizontal="center"/>
      <protection locked="0"/>
    </xf>
    <xf numFmtId="0" fontId="12" fillId="0" borderId="0" xfId="0" applyFont="1" applyAlignment="1">
      <alignment/>
    </xf>
    <xf numFmtId="0" fontId="15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7" fillId="0" borderId="0" xfId="0" applyFont="1" applyAlignment="1">
      <alignment/>
    </xf>
    <xf numFmtId="0" fontId="4" fillId="0" borderId="0" xfId="58" applyFont="1" applyFill="1" applyProtection="1">
      <alignment/>
      <protection/>
    </xf>
    <xf numFmtId="0" fontId="4" fillId="0" borderId="0" xfId="58" applyFont="1" applyFill="1" applyAlignment="1" applyProtection="1">
      <alignment horizontal="right" vertical="center" indent="1"/>
      <protection/>
    </xf>
    <xf numFmtId="0" fontId="4" fillId="0" borderId="0" xfId="58" applyFill="1" applyProtection="1">
      <alignment/>
      <protection/>
    </xf>
    <xf numFmtId="0" fontId="4" fillId="0" borderId="0" xfId="58" applyFont="1" applyFill="1" applyProtection="1">
      <alignment/>
      <protection locked="0"/>
    </xf>
    <xf numFmtId="0" fontId="12" fillId="0" borderId="0" xfId="58" applyFont="1" applyFill="1" applyAlignment="1" applyProtection="1">
      <alignment horizontal="center" wrapText="1"/>
      <protection locked="0"/>
    </xf>
    <xf numFmtId="0" fontId="12" fillId="0" borderId="0" xfId="0" applyFont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4" fillId="0" borderId="0" xfId="58" applyFont="1" applyFill="1" applyAlignment="1" applyProtection="1">
      <alignment horizontal="right" vertical="center" indent="1"/>
      <protection locked="0"/>
    </xf>
    <xf numFmtId="169" fontId="19" fillId="0" borderId="10" xfId="58" applyNumberFormat="1" applyFont="1" applyFill="1" applyBorder="1" applyAlignment="1" applyProtection="1">
      <alignment horizontal="left" vertical="center"/>
      <protection locked="0"/>
    </xf>
    <xf numFmtId="0" fontId="19" fillId="0" borderId="10" xfId="0" applyFont="1" applyFill="1" applyBorder="1" applyAlignment="1" applyProtection="1">
      <alignment horizontal="right" vertical="center"/>
      <protection locked="0"/>
    </xf>
    <xf numFmtId="0" fontId="20" fillId="0" borderId="11" xfId="58" applyFont="1" applyFill="1" applyBorder="1" applyAlignment="1" applyProtection="1">
      <alignment horizontal="center" vertical="center" wrapText="1"/>
      <protection locked="0"/>
    </xf>
    <xf numFmtId="0" fontId="20" fillId="0" borderId="12" xfId="58" applyFont="1" applyFill="1" applyBorder="1" applyAlignment="1" applyProtection="1">
      <alignment horizontal="center" vertical="center" wrapText="1"/>
      <protection locked="0"/>
    </xf>
    <xf numFmtId="0" fontId="20" fillId="0" borderId="13" xfId="58" applyFont="1" applyFill="1" applyBorder="1" applyAlignment="1" applyProtection="1">
      <alignment horizontal="center" vertical="center" wrapText="1"/>
      <protection locked="0"/>
    </xf>
    <xf numFmtId="0" fontId="20" fillId="0" borderId="14" xfId="58" applyFont="1" applyFill="1" applyBorder="1" applyAlignment="1" applyProtection="1">
      <alignment horizontal="center" vertical="center" wrapText="1"/>
      <protection/>
    </xf>
    <xf numFmtId="0" fontId="20" fillId="0" borderId="15" xfId="58" applyFont="1" applyFill="1" applyBorder="1" applyAlignment="1" applyProtection="1">
      <alignment horizontal="center" vertical="center" wrapText="1"/>
      <protection/>
    </xf>
    <xf numFmtId="0" fontId="20" fillId="0" borderId="16" xfId="58" applyFont="1" applyFill="1" applyBorder="1" applyAlignment="1" applyProtection="1">
      <alignment horizontal="center" vertical="center" wrapText="1"/>
      <protection/>
    </xf>
    <xf numFmtId="0" fontId="21" fillId="0" borderId="0" xfId="58" applyFont="1" applyFill="1" applyProtection="1">
      <alignment/>
      <protection/>
    </xf>
    <xf numFmtId="0" fontId="22" fillId="0" borderId="11" xfId="58" applyFont="1" applyFill="1" applyBorder="1" applyAlignment="1" applyProtection="1">
      <alignment horizontal="left" vertical="center" wrapText="1" indent="1"/>
      <protection/>
    </xf>
    <xf numFmtId="0" fontId="22" fillId="0" borderId="12" xfId="58" applyFont="1" applyFill="1" applyBorder="1" applyAlignment="1" applyProtection="1">
      <alignment horizontal="left" vertical="center" wrapText="1" indent="1"/>
      <protection/>
    </xf>
    <xf numFmtId="169" fontId="22" fillId="0" borderId="13" xfId="58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58" applyFont="1" applyFill="1" applyProtection="1">
      <alignment/>
      <protection/>
    </xf>
    <xf numFmtId="49" fontId="21" fillId="0" borderId="17" xfId="58" applyNumberFormat="1" applyFont="1" applyFill="1" applyBorder="1" applyAlignment="1" applyProtection="1">
      <alignment horizontal="left" vertical="center" wrapText="1" indent="1"/>
      <protection/>
    </xf>
    <xf numFmtId="0" fontId="23" fillId="0" borderId="18" xfId="0" applyFont="1" applyBorder="1" applyAlignment="1" applyProtection="1">
      <alignment horizontal="left" wrapText="1" indent="1"/>
      <protection/>
    </xf>
    <xf numFmtId="169" fontId="21" fillId="0" borderId="19" xfId="58" applyNumberFormat="1" applyFont="1" applyFill="1" applyBorder="1" applyAlignment="1" applyProtection="1">
      <alignment horizontal="right" vertical="center" wrapText="1" indent="1"/>
      <protection locked="0"/>
    </xf>
    <xf numFmtId="49" fontId="21" fillId="0" borderId="20" xfId="58" applyNumberFormat="1" applyFont="1" applyFill="1" applyBorder="1" applyAlignment="1" applyProtection="1">
      <alignment horizontal="left" vertical="center" wrapText="1" indent="1"/>
      <protection/>
    </xf>
    <xf numFmtId="0" fontId="23" fillId="0" borderId="21" xfId="0" applyFont="1" applyBorder="1" applyAlignment="1" applyProtection="1">
      <alignment horizontal="left" wrapText="1" indent="1"/>
      <protection/>
    </xf>
    <xf numFmtId="169" fontId="21" fillId="0" borderId="22" xfId="58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21" xfId="0" applyFont="1" applyBorder="1" applyAlignment="1" applyProtection="1">
      <alignment horizontal="left" vertical="center" wrapText="1" indent="1"/>
      <protection/>
    </xf>
    <xf numFmtId="49" fontId="21" fillId="0" borderId="23" xfId="58" applyNumberFormat="1" applyFont="1" applyFill="1" applyBorder="1" applyAlignment="1" applyProtection="1">
      <alignment horizontal="left" vertical="center" wrapText="1" indent="1"/>
      <protection/>
    </xf>
    <xf numFmtId="0" fontId="23" fillId="0" borderId="24" xfId="0" applyFont="1" applyBorder="1" applyAlignment="1" applyProtection="1">
      <alignment horizontal="left" vertical="center" wrapText="1" indent="1"/>
      <protection/>
    </xf>
    <xf numFmtId="0" fontId="24" fillId="0" borderId="12" xfId="0" applyFont="1" applyBorder="1" applyAlignment="1" applyProtection="1">
      <alignment horizontal="left" vertical="center" wrapText="1" indent="1"/>
      <protection/>
    </xf>
    <xf numFmtId="169" fontId="21" fillId="35" borderId="25" xfId="58" applyNumberFormat="1" applyFont="1" applyFill="1" applyBorder="1" applyAlignment="1" applyProtection="1">
      <alignment horizontal="right" vertical="center" wrapText="1" indent="1"/>
      <protection locked="0"/>
    </xf>
    <xf numFmtId="49" fontId="21" fillId="0" borderId="23" xfId="58" applyNumberFormat="1" applyFont="1" applyFill="1" applyBorder="1" applyAlignment="1" applyProtection="1">
      <alignment horizontal="left" vertical="center" wrapText="1"/>
      <protection/>
    </xf>
    <xf numFmtId="0" fontId="23" fillId="0" borderId="24" xfId="0" applyFont="1" applyBorder="1" applyAlignment="1" applyProtection="1">
      <alignment horizontal="left" vertical="center" wrapText="1"/>
      <protection/>
    </xf>
    <xf numFmtId="169" fontId="21" fillId="0" borderId="25" xfId="58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58" applyFont="1" applyFill="1" applyAlignment="1" applyProtection="1">
      <alignment vertical="center"/>
      <protection/>
    </xf>
    <xf numFmtId="0" fontId="23" fillId="0" borderId="24" xfId="0" applyFont="1" applyBorder="1" applyAlignment="1" applyProtection="1">
      <alignment horizontal="left" indent="1"/>
      <protection/>
    </xf>
    <xf numFmtId="169" fontId="21" fillId="0" borderId="25" xfId="58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24" xfId="0" applyFont="1" applyBorder="1" applyAlignment="1" applyProtection="1">
      <alignment horizontal="left" wrapText="1" indent="1"/>
      <protection/>
    </xf>
    <xf numFmtId="0" fontId="22" fillId="0" borderId="11" xfId="58" applyFont="1" applyFill="1" applyBorder="1" applyAlignment="1" applyProtection="1">
      <alignment horizontal="left" vertical="center" wrapText="1"/>
      <protection/>
    </xf>
    <xf numFmtId="0" fontId="24" fillId="0" borderId="11" xfId="0" applyFont="1" applyBorder="1" applyAlignment="1" applyProtection="1">
      <alignment vertical="center" wrapText="1"/>
      <protection/>
    </xf>
    <xf numFmtId="0" fontId="23" fillId="0" borderId="24" xfId="0" applyFont="1" applyBorder="1" applyAlignment="1" applyProtection="1">
      <alignment vertical="center" wrapText="1"/>
      <protection/>
    </xf>
    <xf numFmtId="49" fontId="21" fillId="0" borderId="11" xfId="58" applyNumberFormat="1" applyFont="1" applyFill="1" applyBorder="1" applyAlignment="1" applyProtection="1">
      <alignment horizontal="left" vertical="center" wrapText="1" indent="1"/>
      <protection/>
    </xf>
    <xf numFmtId="0" fontId="23" fillId="0" borderId="12" xfId="0" applyFont="1" applyBorder="1" applyAlignment="1" applyProtection="1">
      <alignment horizontal="left" vertical="center" wrapText="1" indent="1"/>
      <protection/>
    </xf>
    <xf numFmtId="169" fontId="21" fillId="0" borderId="13" xfId="58" applyNumberFormat="1" applyFont="1" applyFill="1" applyBorder="1" applyAlignment="1" applyProtection="1">
      <alignment horizontal="right" vertical="center" wrapText="1" indent="1"/>
      <protection locked="0"/>
    </xf>
    <xf numFmtId="49" fontId="21" fillId="0" borderId="26" xfId="58" applyNumberFormat="1" applyFont="1" applyFill="1" applyBorder="1" applyAlignment="1" applyProtection="1">
      <alignment horizontal="left" vertical="center" wrapText="1" indent="1"/>
      <protection/>
    </xf>
    <xf numFmtId="0" fontId="23" fillId="0" borderId="27" xfId="0" applyFont="1" applyBorder="1" applyAlignment="1" applyProtection="1">
      <alignment horizontal="left" wrapText="1" indent="1"/>
      <protection/>
    </xf>
    <xf numFmtId="49" fontId="21" fillId="0" borderId="28" xfId="58" applyNumberFormat="1" applyFont="1" applyFill="1" applyBorder="1" applyAlignment="1" applyProtection="1">
      <alignment horizontal="left" vertical="center" wrapText="1" indent="1"/>
      <protection/>
    </xf>
    <xf numFmtId="0" fontId="23" fillId="0" borderId="29" xfId="0" applyFont="1" applyBorder="1" applyAlignment="1" applyProtection="1">
      <alignment horizontal="left" vertical="center" wrapText="1" indent="1"/>
      <protection/>
    </xf>
    <xf numFmtId="169" fontId="21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17" xfId="0" applyFont="1" applyBorder="1" applyAlignment="1" applyProtection="1">
      <alignment wrapText="1"/>
      <protection/>
    </xf>
    <xf numFmtId="0" fontId="23" fillId="0" borderId="20" xfId="0" applyFont="1" applyBorder="1" applyAlignment="1" applyProtection="1">
      <alignment wrapText="1"/>
      <protection/>
    </xf>
    <xf numFmtId="0" fontId="23" fillId="0" borderId="23" xfId="0" applyFont="1" applyBorder="1" applyAlignment="1" applyProtection="1">
      <alignment wrapText="1"/>
      <protection/>
    </xf>
    <xf numFmtId="169" fontId="22" fillId="0" borderId="13" xfId="58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12" xfId="0" applyFont="1" applyBorder="1" applyAlignment="1" applyProtection="1">
      <alignment wrapText="1"/>
      <protection/>
    </xf>
    <xf numFmtId="0" fontId="24" fillId="0" borderId="31" xfId="0" applyFont="1" applyBorder="1" applyAlignment="1" applyProtection="1">
      <alignment vertical="center" wrapText="1"/>
      <protection/>
    </xf>
    <xf numFmtId="0" fontId="24" fillId="0" borderId="32" xfId="0" applyFont="1" applyBorder="1" applyAlignment="1" applyProtection="1">
      <alignment wrapText="1"/>
      <protection/>
    </xf>
    <xf numFmtId="0" fontId="12" fillId="0" borderId="0" xfId="58" applyFont="1" applyFill="1" applyBorder="1" applyAlignment="1" applyProtection="1">
      <alignment horizontal="center" vertical="center" wrapText="1"/>
      <protection/>
    </xf>
    <xf numFmtId="0" fontId="12" fillId="0" borderId="0" xfId="58" applyFont="1" applyFill="1" applyBorder="1" applyAlignment="1" applyProtection="1">
      <alignment vertical="center" wrapText="1"/>
      <protection/>
    </xf>
    <xf numFmtId="169" fontId="12" fillId="0" borderId="0" xfId="58" applyNumberFormat="1" applyFont="1" applyFill="1" applyBorder="1" applyAlignment="1" applyProtection="1">
      <alignment horizontal="right" vertical="center" wrapText="1" indent="1"/>
      <protection/>
    </xf>
    <xf numFmtId="0" fontId="19" fillId="0" borderId="10" xfId="0" applyFont="1" applyFill="1" applyBorder="1" applyAlignment="1" applyProtection="1">
      <alignment horizontal="right"/>
      <protection/>
    </xf>
    <xf numFmtId="0" fontId="4" fillId="0" borderId="0" xfId="58" applyFill="1" applyAlignment="1" applyProtection="1">
      <alignment/>
      <protection/>
    </xf>
    <xf numFmtId="0" fontId="18" fillId="0" borderId="11" xfId="58" applyFont="1" applyFill="1" applyBorder="1" applyAlignment="1" applyProtection="1">
      <alignment horizontal="center" vertical="center" wrapText="1"/>
      <protection/>
    </xf>
    <xf numFmtId="0" fontId="18" fillId="0" borderId="12" xfId="58" applyFont="1" applyFill="1" applyBorder="1" applyAlignment="1" applyProtection="1">
      <alignment horizontal="center" vertical="center" wrapText="1"/>
      <protection/>
    </xf>
    <xf numFmtId="0" fontId="18" fillId="0" borderId="13" xfId="58" applyFont="1" applyFill="1" applyBorder="1" applyAlignment="1" applyProtection="1">
      <alignment horizontal="center" vertical="center" wrapText="1"/>
      <protection/>
    </xf>
    <xf numFmtId="0" fontId="22" fillId="0" borderId="14" xfId="58" applyFont="1" applyFill="1" applyBorder="1" applyAlignment="1" applyProtection="1">
      <alignment horizontal="left" vertical="center" wrapText="1" indent="1"/>
      <protection/>
    </xf>
    <xf numFmtId="0" fontId="22" fillId="0" borderId="15" xfId="58" applyFont="1" applyFill="1" applyBorder="1" applyAlignment="1" applyProtection="1">
      <alignment vertical="center" wrapText="1"/>
      <protection/>
    </xf>
    <xf numFmtId="169" fontId="22" fillId="0" borderId="16" xfId="58" applyNumberFormat="1" applyFont="1" applyFill="1" applyBorder="1" applyAlignment="1" applyProtection="1">
      <alignment horizontal="right" vertical="center" wrapText="1" indent="1"/>
      <protection/>
    </xf>
    <xf numFmtId="49" fontId="21" fillId="0" borderId="33" xfId="58" applyNumberFormat="1" applyFont="1" applyFill="1" applyBorder="1" applyAlignment="1" applyProtection="1">
      <alignment horizontal="left" vertical="center" wrapText="1" indent="1"/>
      <protection/>
    </xf>
    <xf numFmtId="0" fontId="21" fillId="0" borderId="34" xfId="58" applyFont="1" applyFill="1" applyBorder="1" applyAlignment="1" applyProtection="1">
      <alignment horizontal="left" vertical="center" wrapText="1" indent="1"/>
      <protection/>
    </xf>
    <xf numFmtId="169" fontId="21" fillId="0" borderId="35" xfId="58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1" xfId="58" applyFont="1" applyFill="1" applyBorder="1" applyAlignment="1" applyProtection="1">
      <alignment horizontal="left" vertical="center" wrapText="1" indent="1"/>
      <protection/>
    </xf>
    <xf numFmtId="0" fontId="21" fillId="0" borderId="36" xfId="58" applyFont="1" applyFill="1" applyBorder="1" applyAlignment="1" applyProtection="1">
      <alignment horizontal="left" vertical="center" wrapText="1" indent="1"/>
      <protection/>
    </xf>
    <xf numFmtId="0" fontId="21" fillId="0" borderId="0" xfId="58" applyFont="1" applyFill="1" applyBorder="1" applyAlignment="1" applyProtection="1">
      <alignment horizontal="left" vertical="center" wrapText="1" indent="1"/>
      <protection/>
    </xf>
    <xf numFmtId="0" fontId="21" fillId="0" borderId="24" xfId="58" applyFont="1" applyFill="1" applyBorder="1" applyAlignment="1" applyProtection="1">
      <alignment horizontal="left" vertical="center" wrapText="1" indent="6"/>
      <protection/>
    </xf>
    <xf numFmtId="0" fontId="21" fillId="0" borderId="21" xfId="58" applyFont="1" applyFill="1" applyBorder="1" applyAlignment="1" applyProtection="1">
      <alignment horizontal="left" indent="6"/>
      <protection/>
    </xf>
    <xf numFmtId="0" fontId="21" fillId="0" borderId="21" xfId="58" applyFont="1" applyFill="1" applyBorder="1" applyAlignment="1" applyProtection="1">
      <alignment horizontal="left" vertical="center" wrapText="1" indent="6"/>
      <protection/>
    </xf>
    <xf numFmtId="0" fontId="21" fillId="0" borderId="29" xfId="58" applyFont="1" applyFill="1" applyBorder="1" applyAlignment="1" applyProtection="1">
      <alignment horizontal="left" vertical="center" wrapText="1" indent="7"/>
      <protection/>
    </xf>
    <xf numFmtId="0" fontId="22" fillId="0" borderId="31" xfId="58" applyFont="1" applyFill="1" applyBorder="1" applyAlignment="1" applyProtection="1">
      <alignment horizontal="left" vertical="center" wrapText="1" indent="1"/>
      <protection/>
    </xf>
    <xf numFmtId="0" fontId="22" fillId="0" borderId="32" xfId="58" applyFont="1" applyFill="1" applyBorder="1" applyAlignment="1" applyProtection="1">
      <alignment vertical="center" wrapText="1"/>
      <protection/>
    </xf>
    <xf numFmtId="169" fontId="22" fillId="0" borderId="37" xfId="58" applyNumberFormat="1" applyFont="1" applyFill="1" applyBorder="1" applyAlignment="1" applyProtection="1">
      <alignment horizontal="right" vertical="center" wrapText="1" indent="1"/>
      <protection/>
    </xf>
    <xf numFmtId="0" fontId="21" fillId="0" borderId="24" xfId="58" applyFont="1" applyFill="1" applyBorder="1" applyAlignment="1" applyProtection="1">
      <alignment horizontal="left" vertical="center" wrapText="1" indent="1"/>
      <protection/>
    </xf>
    <xf numFmtId="169" fontId="21" fillId="35" borderId="19" xfId="58" applyNumberFormat="1" applyFont="1" applyFill="1" applyBorder="1" applyAlignment="1" applyProtection="1">
      <alignment horizontal="right" vertical="center" wrapText="1" indent="1"/>
      <protection locked="0"/>
    </xf>
    <xf numFmtId="169" fontId="21" fillId="35" borderId="38" xfId="58" applyNumberFormat="1" applyFont="1" applyFill="1" applyBorder="1" applyAlignment="1" applyProtection="1">
      <alignment horizontal="right" vertical="center" wrapText="1" indent="1"/>
      <protection locked="0"/>
    </xf>
    <xf numFmtId="169" fontId="21" fillId="0" borderId="38" xfId="58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18" xfId="58" applyFont="1" applyFill="1" applyBorder="1" applyAlignment="1" applyProtection="1">
      <alignment horizontal="left" vertical="center" wrapText="1" indent="6"/>
      <protection/>
    </xf>
    <xf numFmtId="169" fontId="21" fillId="0" borderId="39" xfId="58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18" xfId="58" applyFont="1" applyFill="1" applyBorder="1" applyAlignment="1" applyProtection="1">
      <alignment horizontal="left" vertical="center" wrapText="1" indent="1"/>
      <protection/>
    </xf>
    <xf numFmtId="0" fontId="21" fillId="0" borderId="27" xfId="58" applyFont="1" applyFill="1" applyBorder="1" applyAlignment="1" applyProtection="1">
      <alignment horizontal="left" vertical="center" wrapText="1" indent="1"/>
      <protection/>
    </xf>
    <xf numFmtId="0" fontId="21" fillId="0" borderId="12" xfId="58" applyFont="1" applyFill="1" applyBorder="1" applyAlignment="1" applyProtection="1">
      <alignment horizontal="left" vertical="center" wrapText="1" indent="1"/>
      <protection/>
    </xf>
    <xf numFmtId="169" fontId="21" fillId="0" borderId="40" xfId="58" applyNumberFormat="1" applyFont="1" applyFill="1" applyBorder="1" applyAlignment="1" applyProtection="1">
      <alignment horizontal="right" vertical="center" wrapText="1" indent="1"/>
      <protection locked="0"/>
    </xf>
    <xf numFmtId="169" fontId="24" fillId="0" borderId="13" xfId="0" applyNumberFormat="1" applyFont="1" applyBorder="1" applyAlignment="1" applyProtection="1">
      <alignment horizontal="right" vertical="center" wrapText="1" indent="1"/>
      <protection/>
    </xf>
    <xf numFmtId="169" fontId="24" fillId="0" borderId="13" xfId="0" applyNumberFormat="1" applyFont="1" applyBorder="1" applyAlignment="1" applyProtection="1">
      <alignment horizontal="right" vertical="center" wrapText="1" indent="1"/>
      <protection locked="0"/>
    </xf>
    <xf numFmtId="0" fontId="25" fillId="0" borderId="0" xfId="58" applyFont="1" applyFill="1" applyProtection="1">
      <alignment/>
      <protection/>
    </xf>
    <xf numFmtId="0" fontId="12" fillId="0" borderId="0" xfId="58" applyFont="1" applyFill="1" applyProtection="1">
      <alignment/>
      <protection/>
    </xf>
    <xf numFmtId="0" fontId="24" fillId="0" borderId="31" xfId="0" applyFont="1" applyBorder="1" applyAlignment="1" applyProtection="1">
      <alignment horizontal="left" vertical="center" wrapText="1" indent="1"/>
      <protection/>
    </xf>
    <xf numFmtId="0" fontId="24" fillId="0" borderId="32" xfId="0" applyFont="1" applyBorder="1" applyAlignment="1" applyProtection="1">
      <alignment horizontal="left" vertical="center" wrapText="1" indent="1"/>
      <protection/>
    </xf>
    <xf numFmtId="0" fontId="21" fillId="0" borderId="0" xfId="58" applyFont="1" applyFill="1" applyProtection="1">
      <alignment/>
      <protection locked="0"/>
    </xf>
    <xf numFmtId="169" fontId="26" fillId="0" borderId="0" xfId="58" applyNumberFormat="1" applyFont="1" applyFill="1" applyAlignment="1" applyProtection="1">
      <alignment horizontal="right" vertical="center" indent="1"/>
      <protection/>
    </xf>
    <xf numFmtId="169" fontId="19" fillId="0" borderId="10" xfId="58" applyNumberFormat="1" applyFont="1" applyFill="1" applyBorder="1" applyAlignment="1" applyProtection="1">
      <alignment horizontal="left" vertical="center"/>
      <protection/>
    </xf>
    <xf numFmtId="0" fontId="19" fillId="0" borderId="10" xfId="0" applyFont="1" applyFill="1" applyBorder="1" applyAlignment="1" applyProtection="1">
      <alignment horizontal="right" vertical="center"/>
      <protection/>
    </xf>
    <xf numFmtId="0" fontId="22" fillId="0" borderId="12" xfId="58" applyFont="1" applyFill="1" applyBorder="1" applyAlignment="1" applyProtection="1">
      <alignment vertical="center" wrapText="1"/>
      <protection/>
    </xf>
    <xf numFmtId="0" fontId="4" fillId="0" borderId="0" xfId="58" applyFill="1" applyBorder="1" applyProtection="1">
      <alignment/>
      <protection/>
    </xf>
    <xf numFmtId="169" fontId="0" fillId="0" borderId="0" xfId="0" applyNumberFormat="1" applyFill="1" applyAlignment="1" applyProtection="1">
      <alignment vertical="center" wrapText="1"/>
      <protection/>
    </xf>
    <xf numFmtId="169" fontId="0" fillId="0" borderId="0" xfId="0" applyNumberFormat="1" applyFill="1" applyAlignment="1" applyProtection="1">
      <alignment horizontal="center" vertical="center" wrapText="1"/>
      <protection/>
    </xf>
    <xf numFmtId="169" fontId="19" fillId="0" borderId="0" xfId="0" applyNumberFormat="1" applyFont="1" applyFill="1" applyAlignment="1" applyProtection="1">
      <alignment horizontal="right" vertical="center"/>
      <protection/>
    </xf>
    <xf numFmtId="169" fontId="20" fillId="0" borderId="11" xfId="0" applyNumberFormat="1" applyFont="1" applyFill="1" applyBorder="1" applyAlignment="1" applyProtection="1">
      <alignment horizontal="center" vertical="center" wrapText="1"/>
      <protection/>
    </xf>
    <xf numFmtId="169" fontId="20" fillId="0" borderId="12" xfId="0" applyNumberFormat="1" applyFont="1" applyFill="1" applyBorder="1" applyAlignment="1" applyProtection="1">
      <alignment horizontal="center" vertical="center" wrapText="1"/>
      <protection/>
    </xf>
    <xf numFmtId="169" fontId="20" fillId="0" borderId="13" xfId="0" applyNumberFormat="1" applyFont="1" applyFill="1" applyBorder="1" applyAlignment="1" applyProtection="1">
      <alignment horizontal="center" vertical="center" wrapText="1"/>
      <protection/>
    </xf>
    <xf numFmtId="169" fontId="18" fillId="0" borderId="0" xfId="0" applyNumberFormat="1" applyFont="1" applyFill="1" applyAlignment="1" applyProtection="1">
      <alignment horizontal="center" vertical="center" wrapText="1"/>
      <protection/>
    </xf>
    <xf numFmtId="169" fontId="22" fillId="0" borderId="41" xfId="0" applyNumberFormat="1" applyFont="1" applyFill="1" applyBorder="1" applyAlignment="1" applyProtection="1">
      <alignment horizontal="center" vertical="center" wrapText="1"/>
      <protection/>
    </xf>
    <xf numFmtId="169" fontId="22" fillId="0" borderId="11" xfId="0" applyNumberFormat="1" applyFont="1" applyFill="1" applyBorder="1" applyAlignment="1" applyProtection="1">
      <alignment horizontal="center" vertical="center" wrapText="1"/>
      <protection/>
    </xf>
    <xf numFmtId="169" fontId="22" fillId="0" borderId="12" xfId="0" applyNumberFormat="1" applyFont="1" applyFill="1" applyBorder="1" applyAlignment="1" applyProtection="1">
      <alignment horizontal="center" vertical="center" wrapText="1"/>
      <protection/>
    </xf>
    <xf numFmtId="169" fontId="22" fillId="0" borderId="13" xfId="0" applyNumberFormat="1" applyFont="1" applyFill="1" applyBorder="1" applyAlignment="1" applyProtection="1">
      <alignment horizontal="center" vertical="center" wrapText="1"/>
      <protection/>
    </xf>
    <xf numFmtId="169" fontId="22" fillId="0" borderId="0" xfId="0" applyNumberFormat="1" applyFont="1" applyFill="1" applyAlignment="1" applyProtection="1">
      <alignment horizontal="center" vertical="center" wrapText="1"/>
      <protection/>
    </xf>
    <xf numFmtId="169" fontId="0" fillId="0" borderId="42" xfId="0" applyNumberFormat="1" applyFont="1" applyFill="1" applyBorder="1" applyAlignment="1" applyProtection="1">
      <alignment horizontal="left" vertical="center" wrapText="1" indent="1"/>
      <protection/>
    </xf>
    <xf numFmtId="169" fontId="21" fillId="0" borderId="17" xfId="0" applyNumberFormat="1" applyFont="1" applyFill="1" applyBorder="1" applyAlignment="1" applyProtection="1">
      <alignment horizontal="left" vertical="center" wrapText="1" indent="1"/>
      <protection/>
    </xf>
    <xf numFmtId="169" fontId="21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9" fontId="21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9" fontId="0" fillId="0" borderId="43" xfId="0" applyNumberFormat="1" applyFont="1" applyFill="1" applyBorder="1" applyAlignment="1" applyProtection="1">
      <alignment horizontal="left" vertical="center" wrapText="1" indent="1"/>
      <protection/>
    </xf>
    <xf numFmtId="169" fontId="21" fillId="0" borderId="20" xfId="0" applyNumberFormat="1" applyFont="1" applyFill="1" applyBorder="1" applyAlignment="1" applyProtection="1">
      <alignment horizontal="left" vertical="center" wrapText="1" indent="1"/>
      <protection/>
    </xf>
    <xf numFmtId="169" fontId="21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9" fontId="21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9" fontId="21" fillId="0" borderId="44" xfId="0" applyNumberFormat="1" applyFont="1" applyFill="1" applyBorder="1" applyAlignment="1" applyProtection="1">
      <alignment horizontal="left" vertical="center" wrapText="1" indent="1"/>
      <protection/>
    </xf>
    <xf numFmtId="169" fontId="21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9" fontId="21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169" fontId="21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9" fontId="21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169" fontId="21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9" fontId="21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9" fontId="18" fillId="0" borderId="41" xfId="0" applyNumberFormat="1" applyFont="1" applyFill="1" applyBorder="1" applyAlignment="1" applyProtection="1">
      <alignment horizontal="left" vertical="center" wrapText="1" indent="1"/>
      <protection/>
    </xf>
    <xf numFmtId="169" fontId="22" fillId="0" borderId="11" xfId="0" applyNumberFormat="1" applyFont="1" applyFill="1" applyBorder="1" applyAlignment="1" applyProtection="1">
      <alignment horizontal="left" vertical="center" wrapText="1" indent="1"/>
      <protection/>
    </xf>
    <xf numFmtId="169" fontId="22" fillId="0" borderId="12" xfId="0" applyNumberFormat="1" applyFont="1" applyFill="1" applyBorder="1" applyAlignment="1" applyProtection="1">
      <alignment horizontal="right" vertical="center" wrapText="1" indent="1"/>
      <protection/>
    </xf>
    <xf numFmtId="169" fontId="22" fillId="0" borderId="13" xfId="0" applyNumberFormat="1" applyFont="1" applyFill="1" applyBorder="1" applyAlignment="1" applyProtection="1">
      <alignment horizontal="right" vertical="center" wrapText="1" indent="1"/>
      <protection/>
    </xf>
    <xf numFmtId="169" fontId="0" fillId="0" borderId="46" xfId="0" applyNumberFormat="1" applyFont="1" applyFill="1" applyBorder="1" applyAlignment="1" applyProtection="1">
      <alignment horizontal="left" vertical="center" wrapText="1" indent="1"/>
      <protection/>
    </xf>
    <xf numFmtId="169" fontId="21" fillId="0" borderId="26" xfId="0" applyNumberFormat="1" applyFont="1" applyFill="1" applyBorder="1" applyAlignment="1" applyProtection="1">
      <alignment horizontal="left" vertical="center" wrapText="1" indent="1"/>
      <protection/>
    </xf>
    <xf numFmtId="169" fontId="27" fillId="0" borderId="27" xfId="0" applyNumberFormat="1" applyFont="1" applyFill="1" applyBorder="1" applyAlignment="1" applyProtection="1">
      <alignment horizontal="right" vertical="center" wrapText="1" indent="1"/>
      <protection/>
    </xf>
    <xf numFmtId="169" fontId="21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9" fontId="21" fillId="0" borderId="20" xfId="0" applyNumberFormat="1" applyFont="1" applyFill="1" applyBorder="1" applyAlignment="1" applyProtection="1">
      <alignment horizontal="left" vertical="center" wrapText="1" indent="2"/>
      <protection/>
    </xf>
    <xf numFmtId="169" fontId="27" fillId="0" borderId="21" xfId="0" applyNumberFormat="1" applyFont="1" applyFill="1" applyBorder="1" applyAlignment="1" applyProtection="1">
      <alignment horizontal="right" vertical="center" wrapText="1" indent="1"/>
      <protection/>
    </xf>
    <xf numFmtId="169" fontId="21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9" fontId="21" fillId="0" borderId="26" xfId="0" applyNumberFormat="1" applyFont="1" applyFill="1" applyBorder="1" applyAlignment="1" applyProtection="1">
      <alignment horizontal="left" vertical="center" wrapText="1" indent="1"/>
      <protection locked="0"/>
    </xf>
    <xf numFmtId="169" fontId="18" fillId="0" borderId="11" xfId="0" applyNumberFormat="1" applyFont="1" applyFill="1" applyBorder="1" applyAlignment="1" applyProtection="1">
      <alignment horizontal="left" vertical="center" wrapText="1" indent="1"/>
      <protection/>
    </xf>
    <xf numFmtId="169" fontId="18" fillId="0" borderId="40" xfId="0" applyNumberFormat="1" applyFont="1" applyFill="1" applyBorder="1" applyAlignment="1" applyProtection="1">
      <alignment horizontal="right" vertical="center" wrapText="1" indent="1"/>
      <protection/>
    </xf>
    <xf numFmtId="169" fontId="19" fillId="0" borderId="0" xfId="0" applyNumberFormat="1" applyFont="1" applyFill="1" applyAlignment="1" applyProtection="1">
      <alignment horizontal="right" vertical="center"/>
      <protection locked="0"/>
    </xf>
    <xf numFmtId="169" fontId="21" fillId="0" borderId="20" xfId="0" applyNumberFormat="1" applyFont="1" applyFill="1" applyBorder="1" applyAlignment="1" applyProtection="1">
      <alignment horizontal="left" vertical="center" wrapText="1" indent="6"/>
      <protection locked="0"/>
    </xf>
    <xf numFmtId="169" fontId="21" fillId="0" borderId="20" xfId="0" applyNumberFormat="1" applyFont="1" applyFill="1" applyBorder="1" applyAlignment="1" applyProtection="1">
      <alignment horizontal="left" vertical="center" wrapText="1" indent="3"/>
      <protection locked="0"/>
    </xf>
    <xf numFmtId="169" fontId="21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9" fontId="27" fillId="0" borderId="26" xfId="0" applyNumberFormat="1" applyFont="1" applyFill="1" applyBorder="1" applyAlignment="1" applyProtection="1">
      <alignment horizontal="left" vertical="center" wrapText="1" indent="1"/>
      <protection/>
    </xf>
    <xf numFmtId="169" fontId="27" fillId="0" borderId="18" xfId="0" applyNumberFormat="1" applyFont="1" applyFill="1" applyBorder="1" applyAlignment="1" applyProtection="1">
      <alignment horizontal="right" vertical="center" wrapText="1" indent="1"/>
      <protection/>
    </xf>
    <xf numFmtId="169" fontId="21" fillId="0" borderId="21" xfId="0" applyNumberFormat="1" applyFont="1" applyFill="1" applyBorder="1" applyAlignment="1" applyProtection="1">
      <alignment horizontal="left" vertical="center" wrapText="1" indent="2"/>
      <protection/>
    </xf>
    <xf numFmtId="169" fontId="27" fillId="0" borderId="21" xfId="0" applyNumberFormat="1" applyFont="1" applyFill="1" applyBorder="1" applyAlignment="1" applyProtection="1">
      <alignment horizontal="left" vertical="center" wrapText="1" indent="1"/>
      <protection/>
    </xf>
    <xf numFmtId="169" fontId="21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9" fontId="21" fillId="0" borderId="17" xfId="0" applyNumberFormat="1" applyFont="1" applyFill="1" applyBorder="1" applyAlignment="1" applyProtection="1">
      <alignment horizontal="left" vertical="center" wrapText="1" indent="2"/>
      <protection/>
    </xf>
    <xf numFmtId="169" fontId="21" fillId="0" borderId="23" xfId="0" applyNumberFormat="1" applyFont="1" applyFill="1" applyBorder="1" applyAlignment="1" applyProtection="1">
      <alignment horizontal="left" vertical="center" wrapText="1" indent="2"/>
      <protection/>
    </xf>
    <xf numFmtId="0" fontId="11" fillId="0" borderId="0" xfId="0" applyFont="1" applyAlignment="1">
      <alignment/>
    </xf>
    <xf numFmtId="0" fontId="25" fillId="0" borderId="0" xfId="0" applyFont="1" applyAlignment="1">
      <alignment horizontal="center"/>
    </xf>
    <xf numFmtId="3" fontId="15" fillId="0" borderId="0" xfId="0" applyNumberFormat="1" applyFont="1" applyFill="1" applyAlignment="1">
      <alignment horizontal="right" indent="1"/>
    </xf>
    <xf numFmtId="0" fontId="15" fillId="0" borderId="0" xfId="0" applyFont="1" applyFill="1" applyAlignment="1">
      <alignment horizontal="right" indent="1"/>
    </xf>
    <xf numFmtId="3" fontId="20" fillId="0" borderId="0" xfId="0" applyNumberFormat="1" applyFont="1" applyFill="1" applyAlignment="1">
      <alignment horizontal="right" indent="1"/>
    </xf>
    <xf numFmtId="0" fontId="15" fillId="0" borderId="0" xfId="0" applyFont="1" applyAlignment="1">
      <alignment/>
    </xf>
    <xf numFmtId="0" fontId="15" fillId="0" borderId="0" xfId="0" applyFont="1" applyAlignment="1">
      <alignment horizontal="right" indent="1"/>
    </xf>
    <xf numFmtId="0" fontId="29" fillId="0" borderId="0" xfId="58" applyFont="1" applyFill="1">
      <alignment/>
      <protection/>
    </xf>
    <xf numFmtId="0" fontId="29" fillId="0" borderId="0" xfId="58" applyFont="1" applyFill="1" applyProtection="1">
      <alignment/>
      <protection locked="0"/>
    </xf>
    <xf numFmtId="169" fontId="14" fillId="0" borderId="0" xfId="58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 applyProtection="1">
      <alignment horizontal="right"/>
      <protection locked="0"/>
    </xf>
    <xf numFmtId="0" fontId="30" fillId="0" borderId="0" xfId="0" applyFont="1" applyFill="1" applyBorder="1" applyAlignment="1" applyProtection="1">
      <alignment/>
      <protection/>
    </xf>
    <xf numFmtId="170" fontId="18" fillId="0" borderId="24" xfId="58" applyNumberFormat="1" applyFont="1" applyFill="1" applyBorder="1" applyAlignment="1">
      <alignment horizontal="center" vertical="center" wrapText="1"/>
      <protection/>
    </xf>
    <xf numFmtId="0" fontId="0" fillId="0" borderId="11" xfId="58" applyFont="1" applyFill="1" applyBorder="1" applyAlignment="1">
      <alignment horizontal="center" vertical="center"/>
      <protection/>
    </xf>
    <xf numFmtId="0" fontId="0" fillId="0" borderId="12" xfId="58" applyFont="1" applyFill="1" applyBorder="1" applyAlignment="1">
      <alignment horizontal="center" vertical="center"/>
      <protection/>
    </xf>
    <xf numFmtId="0" fontId="0" fillId="0" borderId="13" xfId="58" applyFont="1" applyFill="1" applyBorder="1" applyAlignment="1">
      <alignment horizontal="center" vertical="center"/>
      <protection/>
    </xf>
    <xf numFmtId="0" fontId="0" fillId="0" borderId="17" xfId="58" applyFont="1" applyFill="1" applyBorder="1" applyAlignment="1">
      <alignment horizontal="center" vertical="center"/>
      <protection/>
    </xf>
    <xf numFmtId="0" fontId="0" fillId="0" borderId="18" xfId="58" applyFont="1" applyFill="1" applyBorder="1" applyProtection="1">
      <alignment/>
      <protection locked="0"/>
    </xf>
    <xf numFmtId="171" fontId="31" fillId="0" borderId="18" xfId="40" applyNumberFormat="1" applyFont="1" applyFill="1" applyBorder="1" applyAlignment="1" applyProtection="1">
      <alignment/>
      <protection locked="0"/>
    </xf>
    <xf numFmtId="171" fontId="31" fillId="0" borderId="19" xfId="40" applyNumberFormat="1" applyFont="1" applyFill="1" applyBorder="1" applyAlignment="1" applyProtection="1">
      <alignment/>
      <protection/>
    </xf>
    <xf numFmtId="0" fontId="0" fillId="0" borderId="20" xfId="58" applyFont="1" applyFill="1" applyBorder="1" applyAlignment="1">
      <alignment horizontal="center" vertical="center"/>
      <protection/>
    </xf>
    <xf numFmtId="0" fontId="0" fillId="0" borderId="21" xfId="58" applyFont="1" applyFill="1" applyBorder="1" applyProtection="1">
      <alignment/>
      <protection locked="0"/>
    </xf>
    <xf numFmtId="171" fontId="31" fillId="0" borderId="21" xfId="40" applyNumberFormat="1" applyFont="1" applyFill="1" applyBorder="1" applyAlignment="1" applyProtection="1">
      <alignment/>
      <protection locked="0"/>
    </xf>
    <xf numFmtId="171" fontId="31" fillId="0" borderId="22" xfId="40" applyNumberFormat="1" applyFont="1" applyFill="1" applyBorder="1" applyAlignment="1" applyProtection="1">
      <alignment/>
      <protection/>
    </xf>
    <xf numFmtId="0" fontId="0" fillId="0" borderId="23" xfId="58" applyFont="1" applyFill="1" applyBorder="1" applyAlignment="1">
      <alignment horizontal="center" vertical="center"/>
      <protection/>
    </xf>
    <xf numFmtId="0" fontId="0" fillId="0" borderId="24" xfId="58" applyFont="1" applyFill="1" applyBorder="1" applyProtection="1">
      <alignment/>
      <protection locked="0"/>
    </xf>
    <xf numFmtId="171" fontId="31" fillId="0" borderId="24" xfId="40" applyNumberFormat="1" applyFont="1" applyFill="1" applyBorder="1" applyAlignment="1" applyProtection="1">
      <alignment/>
      <protection locked="0"/>
    </xf>
    <xf numFmtId="0" fontId="18" fillId="0" borderId="11" xfId="58" applyFont="1" applyFill="1" applyBorder="1" applyAlignment="1">
      <alignment horizontal="center" vertical="center"/>
      <protection/>
    </xf>
    <xf numFmtId="0" fontId="18" fillId="0" borderId="12" xfId="58" applyFont="1" applyFill="1" applyBorder="1">
      <alignment/>
      <protection/>
    </xf>
    <xf numFmtId="171" fontId="32" fillId="0" borderId="12" xfId="58" applyNumberFormat="1" applyFont="1" applyFill="1" applyBorder="1">
      <alignment/>
      <protection/>
    </xf>
    <xf numFmtId="171" fontId="32" fillId="0" borderId="13" xfId="58" applyNumberFormat="1" applyFont="1" applyFill="1" applyBorder="1">
      <alignment/>
      <protection/>
    </xf>
    <xf numFmtId="0" fontId="14" fillId="0" borderId="0" xfId="58" applyFont="1" applyFill="1">
      <alignment/>
      <protection/>
    </xf>
    <xf numFmtId="0" fontId="22" fillId="0" borderId="33" xfId="58" applyFont="1" applyFill="1" applyBorder="1" applyAlignment="1" applyProtection="1">
      <alignment horizontal="center" vertical="center" wrapText="1"/>
      <protection locked="0"/>
    </xf>
    <xf numFmtId="0" fontId="22" fillId="0" borderId="34" xfId="58" applyFont="1" applyFill="1" applyBorder="1" applyAlignment="1" applyProtection="1">
      <alignment horizontal="center" vertical="center" wrapText="1"/>
      <protection locked="0"/>
    </xf>
    <xf numFmtId="0" fontId="22" fillId="0" borderId="35" xfId="58" applyFont="1" applyFill="1" applyBorder="1" applyAlignment="1" applyProtection="1">
      <alignment horizontal="center" vertical="center" wrapText="1"/>
      <protection locked="0"/>
    </xf>
    <xf numFmtId="0" fontId="21" fillId="0" borderId="11" xfId="58" applyFont="1" applyFill="1" applyBorder="1" applyAlignment="1" applyProtection="1">
      <alignment horizontal="center" vertical="center"/>
      <protection/>
    </xf>
    <xf numFmtId="0" fontId="22" fillId="0" borderId="12" xfId="58" applyFont="1" applyFill="1" applyBorder="1" applyAlignment="1" applyProtection="1">
      <alignment horizontal="center" vertical="center"/>
      <protection/>
    </xf>
    <xf numFmtId="0" fontId="22" fillId="0" borderId="13" xfId="58" applyFont="1" applyFill="1" applyBorder="1" applyAlignment="1" applyProtection="1">
      <alignment horizontal="center" vertical="center"/>
      <protection/>
    </xf>
    <xf numFmtId="0" fontId="21" fillId="0" borderId="33" xfId="58" applyFont="1" applyFill="1" applyBorder="1" applyAlignment="1" applyProtection="1">
      <alignment horizontal="center" vertical="center"/>
      <protection/>
    </xf>
    <xf numFmtId="0" fontId="21" fillId="0" borderId="18" xfId="58" applyFont="1" applyFill="1" applyBorder="1" applyProtection="1">
      <alignment/>
      <protection/>
    </xf>
    <xf numFmtId="171" fontId="21" fillId="0" borderId="49" xfId="40" applyNumberFormat="1" applyFont="1" applyFill="1" applyBorder="1" applyAlignment="1" applyProtection="1">
      <alignment/>
      <protection locked="0"/>
    </xf>
    <xf numFmtId="0" fontId="21" fillId="0" borderId="20" xfId="58" applyFont="1" applyFill="1" applyBorder="1" applyAlignment="1" applyProtection="1">
      <alignment horizontal="center" vertical="center"/>
      <protection/>
    </xf>
    <xf numFmtId="0" fontId="33" fillId="0" borderId="21" xfId="0" applyFont="1" applyBorder="1" applyAlignment="1">
      <alignment horizontal="justify" wrapText="1"/>
    </xf>
    <xf numFmtId="171" fontId="21" fillId="0" borderId="38" xfId="40" applyNumberFormat="1" applyFont="1" applyFill="1" applyBorder="1" applyAlignment="1" applyProtection="1">
      <alignment/>
      <protection locked="0"/>
    </xf>
    <xf numFmtId="0" fontId="33" fillId="0" borderId="21" xfId="0" applyFont="1" applyBorder="1" applyAlignment="1">
      <alignment wrapText="1"/>
    </xf>
    <xf numFmtId="0" fontId="21" fillId="0" borderId="23" xfId="58" applyFont="1" applyFill="1" applyBorder="1" applyAlignment="1" applyProtection="1">
      <alignment horizontal="center" vertical="center"/>
      <protection/>
    </xf>
    <xf numFmtId="171" fontId="21" fillId="0" borderId="39" xfId="40" applyNumberFormat="1" applyFont="1" applyFill="1" applyBorder="1" applyAlignment="1" applyProtection="1">
      <alignment/>
      <protection locked="0"/>
    </xf>
    <xf numFmtId="0" fontId="33" fillId="0" borderId="29" xfId="0" applyFont="1" applyBorder="1" applyAlignment="1">
      <alignment wrapText="1"/>
    </xf>
    <xf numFmtId="171" fontId="22" fillId="0" borderId="13" xfId="40" applyNumberFormat="1" applyFont="1" applyFill="1" applyBorder="1" applyAlignment="1" applyProtection="1">
      <alignment/>
      <protection/>
    </xf>
    <xf numFmtId="0" fontId="21" fillId="0" borderId="34" xfId="58" applyFont="1" applyFill="1" applyBorder="1" applyProtection="1">
      <alignment/>
      <protection locked="0"/>
    </xf>
    <xf numFmtId="171" fontId="21" fillId="0" borderId="35" xfId="40" applyNumberFormat="1" applyFont="1" applyFill="1" applyBorder="1" applyAlignment="1" applyProtection="1">
      <alignment/>
      <protection locked="0"/>
    </xf>
    <xf numFmtId="0" fontId="21" fillId="0" borderId="21" xfId="58" applyFont="1" applyFill="1" applyBorder="1" applyProtection="1">
      <alignment/>
      <protection locked="0"/>
    </xf>
    <xf numFmtId="171" fontId="21" fillId="0" borderId="22" xfId="40" applyNumberFormat="1" applyFont="1" applyFill="1" applyBorder="1" applyAlignment="1" applyProtection="1">
      <alignment/>
      <protection locked="0"/>
    </xf>
    <xf numFmtId="0" fontId="21" fillId="0" borderId="24" xfId="58" applyFont="1" applyFill="1" applyBorder="1" applyProtection="1">
      <alignment/>
      <protection locked="0"/>
    </xf>
    <xf numFmtId="171" fontId="21" fillId="0" borderId="25" xfId="40" applyNumberFormat="1" applyFont="1" applyFill="1" applyBorder="1" applyAlignment="1" applyProtection="1">
      <alignment/>
      <protection locked="0"/>
    </xf>
    <xf numFmtId="0" fontId="22" fillId="0" borderId="11" xfId="58" applyFont="1" applyFill="1" applyBorder="1" applyAlignment="1" applyProtection="1">
      <alignment horizontal="center" vertical="center"/>
      <protection/>
    </xf>
    <xf numFmtId="0" fontId="22" fillId="0" borderId="12" xfId="58" applyFont="1" applyFill="1" applyBorder="1" applyAlignment="1" applyProtection="1">
      <alignment horizontal="left" vertical="center" wrapText="1"/>
      <protection/>
    </xf>
    <xf numFmtId="0" fontId="12" fillId="0" borderId="0" xfId="58" applyFont="1" applyFill="1">
      <alignment/>
      <protection/>
    </xf>
    <xf numFmtId="169" fontId="0" fillId="0" borderId="0" xfId="0" applyNumberFormat="1" applyFill="1" applyAlignment="1">
      <alignment horizontal="center" vertical="center" wrapText="1"/>
    </xf>
    <xf numFmtId="169" fontId="0" fillId="0" borderId="0" xfId="0" applyNumberFormat="1" applyFill="1" applyAlignment="1">
      <alignment vertical="center" wrapText="1"/>
    </xf>
    <xf numFmtId="169" fontId="0" fillId="0" borderId="0" xfId="0" applyNumberFormat="1" applyFill="1" applyAlignment="1" applyProtection="1">
      <alignment horizontal="center" vertical="center" wrapText="1"/>
      <protection locked="0"/>
    </xf>
    <xf numFmtId="169" fontId="0" fillId="0" borderId="0" xfId="0" applyNumberFormat="1" applyFill="1" applyAlignment="1" applyProtection="1">
      <alignment vertical="center" wrapText="1"/>
      <protection locked="0"/>
    </xf>
    <xf numFmtId="169" fontId="34" fillId="0" borderId="0" xfId="0" applyNumberFormat="1" applyFont="1" applyFill="1" applyAlignment="1" applyProtection="1">
      <alignment horizontal="right" wrapText="1"/>
      <protection locked="0"/>
    </xf>
    <xf numFmtId="169" fontId="20" fillId="0" borderId="11" xfId="0" applyNumberFormat="1" applyFont="1" applyFill="1" applyBorder="1" applyAlignment="1" applyProtection="1">
      <alignment horizontal="center" vertical="center" wrapText="1"/>
      <protection locked="0"/>
    </xf>
    <xf numFmtId="169" fontId="20" fillId="0" borderId="12" xfId="0" applyNumberFormat="1" applyFont="1" applyFill="1" applyBorder="1" applyAlignment="1" applyProtection="1">
      <alignment horizontal="center" vertical="center" wrapText="1"/>
      <protection locked="0"/>
    </xf>
    <xf numFmtId="169" fontId="20" fillId="0" borderId="13" xfId="0" applyNumberFormat="1" applyFont="1" applyFill="1" applyBorder="1" applyAlignment="1" applyProtection="1">
      <alignment horizontal="center" vertical="center" wrapText="1"/>
      <protection locked="0"/>
    </xf>
    <xf numFmtId="169" fontId="18" fillId="0" borderId="0" xfId="0" applyNumberFormat="1" applyFont="1" applyFill="1" applyAlignment="1">
      <alignment horizontal="center" vertical="center" wrapText="1"/>
    </xf>
    <xf numFmtId="169" fontId="22" fillId="0" borderId="31" xfId="0" applyNumberFormat="1" applyFont="1" applyFill="1" applyBorder="1" applyAlignment="1" applyProtection="1">
      <alignment horizontal="center" vertical="center" wrapText="1"/>
      <protection/>
    </xf>
    <xf numFmtId="169" fontId="22" fillId="0" borderId="32" xfId="0" applyNumberFormat="1" applyFont="1" applyFill="1" applyBorder="1" applyAlignment="1" applyProtection="1">
      <alignment horizontal="center" vertical="center" wrapText="1"/>
      <protection/>
    </xf>
    <xf numFmtId="169" fontId="22" fillId="0" borderId="37" xfId="0" applyNumberFormat="1" applyFont="1" applyFill="1" applyBorder="1" applyAlignment="1" applyProtection="1">
      <alignment horizontal="center" vertical="center" wrapText="1"/>
      <protection/>
    </xf>
    <xf numFmtId="169" fontId="21" fillId="0" borderId="20" xfId="0" applyNumberFormat="1" applyFont="1" applyFill="1" applyBorder="1" applyAlignment="1" applyProtection="1">
      <alignment horizontal="left" vertical="center" wrapText="1"/>
      <protection locked="0"/>
    </xf>
    <xf numFmtId="169" fontId="21" fillId="0" borderId="21" xfId="0" applyNumberFormat="1" applyFont="1" applyFill="1" applyBorder="1" applyAlignment="1" applyProtection="1">
      <alignment vertical="center" wrapText="1"/>
      <protection locked="0"/>
    </xf>
    <xf numFmtId="49" fontId="21" fillId="0" borderId="21" xfId="0" applyNumberFormat="1" applyFont="1" applyFill="1" applyBorder="1" applyAlignment="1" applyProtection="1">
      <alignment horizontal="center" vertical="center" wrapText="1"/>
      <protection locked="0"/>
    </xf>
    <xf numFmtId="169" fontId="21" fillId="0" borderId="22" xfId="0" applyNumberFormat="1" applyFont="1" applyFill="1" applyBorder="1" applyAlignment="1" applyProtection="1">
      <alignment vertical="center" wrapText="1"/>
      <protection/>
    </xf>
    <xf numFmtId="169" fontId="21" fillId="0" borderId="26" xfId="0" applyNumberFormat="1" applyFont="1" applyFill="1" applyBorder="1" applyAlignment="1" applyProtection="1">
      <alignment horizontal="left" vertical="center" wrapText="1"/>
      <protection locked="0"/>
    </xf>
    <xf numFmtId="169" fontId="0" fillId="0" borderId="26" xfId="0" applyNumberFormat="1" applyFill="1" applyBorder="1" applyAlignment="1" applyProtection="1">
      <alignment horizontal="left" vertical="center" wrapText="1"/>
      <protection locked="0"/>
    </xf>
    <xf numFmtId="169" fontId="21" fillId="0" borderId="24" xfId="0" applyNumberFormat="1" applyFont="1" applyFill="1" applyBorder="1" applyAlignment="1" applyProtection="1">
      <alignment vertical="center" wrapText="1"/>
      <protection locked="0"/>
    </xf>
    <xf numFmtId="49" fontId="21" fillId="0" borderId="24" xfId="0" applyNumberFormat="1" applyFont="1" applyFill="1" applyBorder="1" applyAlignment="1" applyProtection="1">
      <alignment horizontal="center" vertical="center" wrapText="1"/>
      <protection locked="0"/>
    </xf>
    <xf numFmtId="169" fontId="21" fillId="0" borderId="25" xfId="0" applyNumberFormat="1" applyFont="1" applyFill="1" applyBorder="1" applyAlignment="1" applyProtection="1">
      <alignment vertical="center" wrapText="1"/>
      <protection/>
    </xf>
    <xf numFmtId="169" fontId="20" fillId="0" borderId="11" xfId="0" applyNumberFormat="1" applyFont="1" applyFill="1" applyBorder="1" applyAlignment="1" applyProtection="1">
      <alignment horizontal="left" vertical="center" wrapText="1"/>
      <protection/>
    </xf>
    <xf numFmtId="169" fontId="22" fillId="0" borderId="12" xfId="0" applyNumberFormat="1" applyFont="1" applyFill="1" applyBorder="1" applyAlignment="1" applyProtection="1">
      <alignment vertical="center" wrapText="1"/>
      <protection/>
    </xf>
    <xf numFmtId="169" fontId="22" fillId="36" borderId="12" xfId="0" applyNumberFormat="1" applyFont="1" applyFill="1" applyBorder="1" applyAlignment="1" applyProtection="1">
      <alignment vertical="center" wrapText="1"/>
      <protection/>
    </xf>
    <xf numFmtId="169" fontId="22" fillId="0" borderId="13" xfId="0" applyNumberFormat="1" applyFont="1" applyFill="1" applyBorder="1" applyAlignment="1" applyProtection="1">
      <alignment vertical="center" wrapText="1"/>
      <protection/>
    </xf>
    <xf numFmtId="169" fontId="18" fillId="0" borderId="0" xfId="0" applyNumberFormat="1" applyFont="1" applyFill="1" applyAlignment="1">
      <alignment vertical="center" wrapText="1"/>
    </xf>
    <xf numFmtId="169" fontId="20" fillId="0" borderId="13" xfId="0" applyNumberFormat="1" applyFont="1" applyFill="1" applyBorder="1" applyAlignment="1" applyProtection="1">
      <alignment horizontal="center" wrapText="1"/>
      <protection locked="0"/>
    </xf>
    <xf numFmtId="49" fontId="15" fillId="0" borderId="21" xfId="0" applyNumberFormat="1" applyFont="1" applyFill="1" applyBorder="1" applyAlignment="1" applyProtection="1">
      <alignment horizontal="center" vertical="center" wrapText="1"/>
      <protection locked="0"/>
    </xf>
    <xf numFmtId="169" fontId="15" fillId="0" borderId="21" xfId="0" applyNumberFormat="1" applyFont="1" applyFill="1" applyBorder="1" applyAlignment="1" applyProtection="1">
      <alignment vertical="center" wrapText="1"/>
      <protection locked="0"/>
    </xf>
    <xf numFmtId="169" fontId="15" fillId="0" borderId="22" xfId="0" applyNumberFormat="1" applyFont="1" applyFill="1" applyBorder="1" applyAlignment="1" applyProtection="1">
      <alignment vertical="center" wrapText="1"/>
      <protection/>
    </xf>
    <xf numFmtId="169" fontId="15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169" fontId="15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169" fontId="15" fillId="0" borderId="24" xfId="0" applyNumberFormat="1" applyFont="1" applyFill="1" applyBorder="1" applyAlignment="1" applyProtection="1">
      <alignment vertical="center" wrapText="1"/>
      <protection locked="0"/>
    </xf>
    <xf numFmtId="49" fontId="15" fillId="0" borderId="24" xfId="0" applyNumberFormat="1" applyFont="1" applyFill="1" applyBorder="1" applyAlignment="1" applyProtection="1">
      <alignment horizontal="center" vertical="center" wrapText="1"/>
      <protection locked="0"/>
    </xf>
    <xf numFmtId="169" fontId="15" fillId="0" borderId="25" xfId="0" applyNumberFormat="1" applyFont="1" applyFill="1" applyBorder="1" applyAlignment="1" applyProtection="1">
      <alignment vertical="center" wrapText="1"/>
      <protection/>
    </xf>
    <xf numFmtId="169" fontId="20" fillId="0" borderId="12" xfId="0" applyNumberFormat="1" applyFont="1" applyFill="1" applyBorder="1" applyAlignment="1" applyProtection="1">
      <alignment vertical="center" wrapText="1"/>
      <protection/>
    </xf>
    <xf numFmtId="169" fontId="20" fillId="36" borderId="12" xfId="0" applyNumberFormat="1" applyFont="1" applyFill="1" applyBorder="1" applyAlignment="1" applyProtection="1">
      <alignment vertical="center" wrapText="1"/>
      <protection/>
    </xf>
    <xf numFmtId="169" fontId="20" fillId="0" borderId="13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/>
    </xf>
    <xf numFmtId="0" fontId="13" fillId="0" borderId="0" xfId="0" applyFont="1" applyFill="1" applyAlignment="1" applyProtection="1">
      <alignment horizontal="right"/>
      <protection locked="0"/>
    </xf>
    <xf numFmtId="0" fontId="35" fillId="0" borderId="0" xfId="0" applyFont="1" applyAlignment="1" applyProtection="1">
      <alignment horizontal="right"/>
      <protection locked="0"/>
    </xf>
    <xf numFmtId="0" fontId="1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20" fillId="0" borderId="14" xfId="0" applyFont="1" applyFill="1" applyBorder="1" applyAlignment="1" applyProtection="1">
      <alignment vertical="center"/>
      <protection locked="0"/>
    </xf>
    <xf numFmtId="0" fontId="20" fillId="0" borderId="15" xfId="0" applyFont="1" applyFill="1" applyBorder="1" applyAlignment="1" applyProtection="1">
      <alignment horizontal="center" vertical="center"/>
      <protection locked="0"/>
    </xf>
    <xf numFmtId="0" fontId="20" fillId="0" borderId="16" xfId="0" applyFont="1" applyFill="1" applyBorder="1" applyAlignment="1" applyProtection="1">
      <alignment horizontal="center" vertical="center"/>
      <protection locked="0"/>
    </xf>
    <xf numFmtId="49" fontId="21" fillId="0" borderId="33" xfId="0" applyNumberFormat="1" applyFont="1" applyFill="1" applyBorder="1" applyAlignment="1" applyProtection="1">
      <alignment vertical="center"/>
      <protection/>
    </xf>
    <xf numFmtId="3" fontId="21" fillId="35" borderId="34" xfId="0" applyNumberFormat="1" applyFont="1" applyFill="1" applyBorder="1" applyAlignment="1" applyProtection="1">
      <alignment vertical="center"/>
      <protection locked="0"/>
    </xf>
    <xf numFmtId="3" fontId="21" fillId="0" borderId="34" xfId="0" applyNumberFormat="1" applyFont="1" applyFill="1" applyBorder="1" applyAlignment="1" applyProtection="1">
      <alignment vertical="center"/>
      <protection locked="0"/>
    </xf>
    <xf numFmtId="3" fontId="21" fillId="0" borderId="35" xfId="0" applyNumberFormat="1" applyFont="1" applyFill="1" applyBorder="1" applyAlignment="1" applyProtection="1">
      <alignment vertical="center"/>
      <protection/>
    </xf>
    <xf numFmtId="49" fontId="27" fillId="0" borderId="20" xfId="0" applyNumberFormat="1" applyFont="1" applyFill="1" applyBorder="1" applyAlignment="1" applyProtection="1">
      <alignment horizontal="left" vertical="center" indent="1"/>
      <protection/>
    </xf>
    <xf numFmtId="3" fontId="27" fillId="0" borderId="21" xfId="0" applyNumberFormat="1" applyFont="1" applyFill="1" applyBorder="1" applyAlignment="1" applyProtection="1">
      <alignment vertical="center"/>
      <protection locked="0"/>
    </xf>
    <xf numFmtId="3" fontId="27" fillId="0" borderId="22" xfId="0" applyNumberFormat="1" applyFont="1" applyFill="1" applyBorder="1" applyAlignment="1" applyProtection="1">
      <alignment vertical="center"/>
      <protection/>
    </xf>
    <xf numFmtId="49" fontId="21" fillId="0" borderId="20" xfId="0" applyNumberFormat="1" applyFont="1" applyFill="1" applyBorder="1" applyAlignment="1" applyProtection="1">
      <alignment vertical="center"/>
      <protection/>
    </xf>
    <xf numFmtId="3" fontId="21" fillId="0" borderId="21" xfId="0" applyNumberFormat="1" applyFont="1" applyFill="1" applyBorder="1" applyAlignment="1" applyProtection="1">
      <alignment vertical="center"/>
      <protection locked="0"/>
    </xf>
    <xf numFmtId="3" fontId="21" fillId="0" borderId="22" xfId="0" applyNumberFormat="1" applyFont="1" applyFill="1" applyBorder="1" applyAlignment="1" applyProtection="1">
      <alignment vertical="center"/>
      <protection/>
    </xf>
    <xf numFmtId="49" fontId="21" fillId="0" borderId="23" xfId="0" applyNumberFormat="1" applyFont="1" applyFill="1" applyBorder="1" applyAlignment="1" applyProtection="1">
      <alignment vertical="center"/>
      <protection locked="0"/>
    </xf>
    <xf numFmtId="3" fontId="21" fillId="0" borderId="24" xfId="0" applyNumberFormat="1" applyFont="1" applyFill="1" applyBorder="1" applyAlignment="1" applyProtection="1">
      <alignment vertical="center"/>
      <protection locked="0"/>
    </xf>
    <xf numFmtId="49" fontId="20" fillId="0" borderId="11" xfId="0" applyNumberFormat="1" applyFont="1" applyFill="1" applyBorder="1" applyAlignment="1" applyProtection="1">
      <alignment vertical="center"/>
      <protection/>
    </xf>
    <xf numFmtId="3" fontId="21" fillId="0" borderId="12" xfId="0" applyNumberFormat="1" applyFont="1" applyFill="1" applyBorder="1" applyAlignment="1" applyProtection="1">
      <alignment vertical="center"/>
      <protection/>
    </xf>
    <xf numFmtId="3" fontId="21" fillId="0" borderId="13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20" fillId="0" borderId="14" xfId="0" applyFont="1" applyFill="1" applyBorder="1" applyAlignment="1" applyProtection="1">
      <alignment vertical="center"/>
      <protection/>
    </xf>
    <xf numFmtId="0" fontId="20" fillId="0" borderId="15" xfId="0" applyFont="1" applyFill="1" applyBorder="1" applyAlignment="1" applyProtection="1">
      <alignment horizontal="center" vertical="center"/>
      <protection/>
    </xf>
    <xf numFmtId="0" fontId="20" fillId="0" borderId="16" xfId="0" applyFont="1" applyFill="1" applyBorder="1" applyAlignment="1" applyProtection="1">
      <alignment horizontal="center" vertical="center"/>
      <protection/>
    </xf>
    <xf numFmtId="49" fontId="21" fillId="0" borderId="20" xfId="0" applyNumberFormat="1" applyFont="1" applyFill="1" applyBorder="1" applyAlignment="1" applyProtection="1">
      <alignment horizontal="left" vertical="center"/>
      <protection/>
    </xf>
    <xf numFmtId="49" fontId="21" fillId="0" borderId="20" xfId="0" applyNumberFormat="1" applyFont="1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/>
      <protection/>
    </xf>
    <xf numFmtId="49" fontId="20" fillId="0" borderId="0" xfId="0" applyNumberFormat="1" applyFont="1" applyFill="1" applyBorder="1" applyAlignment="1" applyProtection="1">
      <alignment vertical="center"/>
      <protection/>
    </xf>
    <xf numFmtId="3" fontId="21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ill="1" applyAlignment="1">
      <alignment vertical="center" wrapText="1"/>
    </xf>
    <xf numFmtId="169" fontId="4" fillId="0" borderId="0" xfId="0" applyNumberFormat="1" applyFont="1" applyFill="1" applyAlignment="1" applyProtection="1">
      <alignment horizontal="left" vertical="center" wrapText="1"/>
      <protection locked="0"/>
    </xf>
    <xf numFmtId="169" fontId="15" fillId="0" borderId="0" xfId="0" applyNumberFormat="1" applyFont="1" applyFill="1" applyAlignment="1" applyProtection="1">
      <alignment vertical="center" wrapText="1"/>
      <protection locked="0"/>
    </xf>
    <xf numFmtId="0" fontId="36" fillId="0" borderId="0" xfId="0" applyFont="1" applyAlignment="1" applyProtection="1">
      <alignment horizontal="right" vertical="top"/>
      <protection locked="0"/>
    </xf>
    <xf numFmtId="169" fontId="4" fillId="0" borderId="0" xfId="0" applyNumberFormat="1" applyFont="1" applyFill="1" applyAlignment="1">
      <alignment vertical="center" wrapText="1"/>
    </xf>
    <xf numFmtId="0" fontId="20" fillId="0" borderId="50" xfId="0" applyFont="1" applyFill="1" applyBorder="1" applyAlignment="1" applyProtection="1">
      <alignment horizontal="center" vertical="center" wrapText="1"/>
      <protection locked="0"/>
    </xf>
    <xf numFmtId="0" fontId="14" fillId="0" borderId="34" xfId="0" applyFont="1" applyFill="1" applyBorder="1" applyAlignment="1" applyProtection="1">
      <alignment horizontal="center" vertical="center"/>
      <protection locked="0"/>
    </xf>
    <xf numFmtId="0" fontId="20" fillId="0" borderId="35" xfId="0" applyFont="1" applyFill="1" applyBorder="1" applyAlignment="1" applyProtection="1">
      <alignment horizontal="right" vertical="center" indent="1"/>
      <protection locked="0"/>
    </xf>
    <xf numFmtId="0" fontId="12" fillId="0" borderId="0" xfId="0" applyFont="1" applyFill="1" applyAlignment="1">
      <alignment vertical="center"/>
    </xf>
    <xf numFmtId="0" fontId="20" fillId="0" borderId="51" xfId="0" applyFont="1" applyFill="1" applyBorder="1" applyAlignment="1" applyProtection="1">
      <alignment vertical="center"/>
      <protection locked="0"/>
    </xf>
    <xf numFmtId="0" fontId="14" fillId="0" borderId="29" xfId="0" applyFont="1" applyFill="1" applyBorder="1" applyAlignment="1" applyProtection="1">
      <alignment horizontal="center" vertical="center"/>
      <protection locked="0"/>
    </xf>
    <xf numFmtId="49" fontId="20" fillId="0" borderId="52" xfId="0" applyNumberFormat="1" applyFont="1" applyFill="1" applyBorder="1" applyAlignment="1" applyProtection="1">
      <alignment horizontal="right" vertical="center" indent="1"/>
      <protection locked="0"/>
    </xf>
    <xf numFmtId="0" fontId="20" fillId="0" borderId="0" xfId="0" applyFont="1" applyFill="1" applyAlignment="1" applyProtection="1">
      <alignment vertical="center"/>
      <protection locked="0"/>
    </xf>
    <xf numFmtId="0" fontId="34" fillId="0" borderId="0" xfId="0" applyFont="1" applyFill="1" applyAlignment="1" applyProtection="1">
      <alignment horizontal="right"/>
      <protection locked="0"/>
    </xf>
    <xf numFmtId="0" fontId="18" fillId="0" borderId="0" xfId="0" applyFont="1" applyFill="1" applyAlignment="1">
      <alignment vertical="center"/>
    </xf>
    <xf numFmtId="0" fontId="20" fillId="0" borderId="53" xfId="0" applyFont="1" applyFill="1" applyBorder="1" applyAlignment="1" applyProtection="1">
      <alignment horizontal="center" vertical="center" wrapText="1"/>
      <protection locked="0"/>
    </xf>
    <xf numFmtId="0" fontId="20" fillId="0" borderId="15" xfId="0" applyFont="1" applyFill="1" applyBorder="1" applyAlignment="1" applyProtection="1">
      <alignment horizontal="center" vertical="center" wrapText="1"/>
      <protection locked="0"/>
    </xf>
    <xf numFmtId="0" fontId="20" fillId="0" borderId="16" xfId="0" applyFont="1" applyFill="1" applyBorder="1" applyAlignment="1" applyProtection="1">
      <alignment horizontal="right" vertical="center" wrapText="1" inden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12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Alignment="1">
      <alignment horizontal="center" vertical="center" wrapText="1"/>
    </xf>
    <xf numFmtId="0" fontId="20" fillId="0" borderId="54" xfId="0" applyFont="1" applyFill="1" applyBorder="1" applyAlignment="1" applyProtection="1">
      <alignment horizontal="center" vertical="center" wrapText="1"/>
      <protection locked="0"/>
    </xf>
    <xf numFmtId="0" fontId="20" fillId="0" borderId="55" xfId="0" applyFont="1" applyFill="1" applyBorder="1" applyAlignment="1" applyProtection="1">
      <alignment horizontal="center" vertical="center" wrapText="1"/>
      <protection locked="0"/>
    </xf>
    <xf numFmtId="169" fontId="20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11" xfId="58" applyFont="1" applyFill="1" applyBorder="1" applyAlignment="1" applyProtection="1">
      <alignment horizontal="center" vertical="center" wrapText="1"/>
      <protection/>
    </xf>
    <xf numFmtId="49" fontId="21" fillId="0" borderId="17" xfId="58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Alignment="1">
      <alignment vertical="center" wrapText="1"/>
    </xf>
    <xf numFmtId="49" fontId="21" fillId="0" borderId="20" xfId="58" applyNumberFormat="1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Alignment="1">
      <alignment vertical="center" wrapText="1"/>
    </xf>
    <xf numFmtId="49" fontId="21" fillId="0" borderId="23" xfId="58" applyNumberFormat="1" applyFont="1" applyFill="1" applyBorder="1" applyAlignment="1" applyProtection="1">
      <alignment horizontal="center" vertical="center" wrapText="1"/>
      <protection/>
    </xf>
    <xf numFmtId="169" fontId="21" fillId="35" borderId="25" xfId="58" applyNumberFormat="1" applyFont="1" applyFill="1" applyBorder="1" applyAlignment="1" applyProtection="1">
      <alignment horizontal="right" vertical="center" wrapText="1"/>
      <protection locked="0"/>
    </xf>
    <xf numFmtId="169" fontId="21" fillId="0" borderId="19" xfId="58" applyNumberFormat="1" applyFont="1" applyFill="1" applyBorder="1" applyAlignment="1" applyProtection="1">
      <alignment horizontal="right" vertical="center" wrapText="1" indent="1"/>
      <protection/>
    </xf>
    <xf numFmtId="0" fontId="24" fillId="0" borderId="11" xfId="0" applyFont="1" applyBorder="1" applyAlignment="1" applyProtection="1">
      <alignment horizontal="center" wrapText="1"/>
      <protection/>
    </xf>
    <xf numFmtId="0" fontId="23" fillId="0" borderId="24" xfId="0" applyFont="1" applyBorder="1" applyAlignment="1" applyProtection="1">
      <alignment wrapText="1"/>
      <protection/>
    </xf>
    <xf numFmtId="0" fontId="23" fillId="0" borderId="17" xfId="0" applyFont="1" applyBorder="1" applyAlignment="1" applyProtection="1">
      <alignment horizontal="center" wrapText="1"/>
      <protection/>
    </xf>
    <xf numFmtId="0" fontId="23" fillId="0" borderId="20" xfId="0" applyFont="1" applyBorder="1" applyAlignment="1" applyProtection="1">
      <alignment horizontal="center" wrapText="1"/>
      <protection/>
    </xf>
    <xf numFmtId="0" fontId="23" fillId="0" borderId="23" xfId="0" applyFont="1" applyBorder="1" applyAlignment="1" applyProtection="1">
      <alignment horizontal="center" wrapText="1"/>
      <protection/>
    </xf>
    <xf numFmtId="0" fontId="24" fillId="0" borderId="31" xfId="0" applyFont="1" applyBorder="1" applyAlignment="1" applyProtection="1">
      <alignment horizontal="center" wrapText="1"/>
      <protection/>
    </xf>
    <xf numFmtId="0" fontId="21" fillId="0" borderId="0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left" vertical="center" wrapText="1" indent="1"/>
      <protection/>
    </xf>
    <xf numFmtId="169" fontId="22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2" fillId="0" borderId="53" xfId="0" applyFont="1" applyFill="1" applyBorder="1" applyAlignment="1" applyProtection="1">
      <alignment horizontal="center" vertical="center" wrapText="1"/>
      <protection/>
    </xf>
    <xf numFmtId="0" fontId="20" fillId="0" borderId="56" xfId="0" applyFont="1" applyFill="1" applyBorder="1" applyAlignment="1" applyProtection="1">
      <alignment horizontal="center" vertical="center" wrapText="1"/>
      <protection/>
    </xf>
    <xf numFmtId="169" fontId="22" fillId="0" borderId="40" xfId="0" applyNumberFormat="1" applyFont="1" applyFill="1" applyBorder="1" applyAlignment="1" applyProtection="1">
      <alignment horizontal="right" vertical="center" wrapText="1" indent="1"/>
      <protection/>
    </xf>
    <xf numFmtId="0" fontId="22" fillId="0" borderId="14" xfId="58" applyFont="1" applyFill="1" applyBorder="1" applyAlignment="1" applyProtection="1">
      <alignment horizontal="center" vertical="center" wrapText="1"/>
      <protection/>
    </xf>
    <xf numFmtId="0" fontId="35" fillId="0" borderId="0" xfId="0" applyFont="1" applyFill="1" applyAlignment="1">
      <alignment vertical="center" wrapText="1"/>
    </xf>
    <xf numFmtId="49" fontId="21" fillId="0" borderId="33" xfId="58" applyNumberFormat="1" applyFont="1" applyFill="1" applyBorder="1" applyAlignment="1" applyProtection="1">
      <alignment horizontal="center" vertical="center" wrapText="1"/>
      <protection/>
    </xf>
    <xf numFmtId="49" fontId="21" fillId="0" borderId="26" xfId="58" applyNumberFormat="1" applyFont="1" applyFill="1" applyBorder="1" applyAlignment="1" applyProtection="1">
      <alignment horizontal="center" vertical="center" wrapText="1"/>
      <protection/>
    </xf>
    <xf numFmtId="49" fontId="21" fillId="0" borderId="28" xfId="58" applyNumberFormat="1" applyFont="1" applyFill="1" applyBorder="1" applyAlignment="1" applyProtection="1">
      <alignment horizontal="center" vertical="center" wrapText="1"/>
      <protection/>
    </xf>
    <xf numFmtId="0" fontId="21" fillId="0" borderId="29" xfId="58" applyFont="1" applyFill="1" applyBorder="1" applyAlignment="1" applyProtection="1">
      <alignment horizontal="left" vertical="center" wrapText="1" indent="6"/>
      <protection/>
    </xf>
    <xf numFmtId="167" fontId="0" fillId="0" borderId="0" xfId="0" applyNumberFormat="1" applyFill="1" applyAlignment="1">
      <alignment vertical="center" wrapText="1"/>
    </xf>
    <xf numFmtId="49" fontId="22" fillId="0" borderId="11" xfId="58" applyNumberFormat="1" applyFont="1" applyFill="1" applyBorder="1" applyAlignment="1" applyProtection="1">
      <alignment horizontal="center" vertical="center" wrapText="1"/>
      <protection/>
    </xf>
    <xf numFmtId="169" fontId="37" fillId="0" borderId="13" xfId="0" applyNumberFormat="1" applyFont="1" applyBorder="1" applyAlignment="1" applyProtection="1">
      <alignment horizontal="right" vertical="center" wrapText="1" indent="1"/>
      <protection/>
    </xf>
    <xf numFmtId="0" fontId="24" fillId="0" borderId="31" xfId="0" applyFont="1" applyBorder="1" applyAlignment="1" applyProtection="1">
      <alignment horizontal="center" vertical="center" wrapText="1"/>
      <protection/>
    </xf>
    <xf numFmtId="0" fontId="37" fillId="0" borderId="32" xfId="0" applyFont="1" applyBorder="1" applyAlignment="1" applyProtection="1">
      <alignment horizontal="left" vertical="center" wrapText="1" indent="1"/>
      <protection/>
    </xf>
    <xf numFmtId="169" fontId="38" fillId="0" borderId="0" xfId="0" applyNumberFormat="1" applyFont="1" applyFill="1" applyAlignment="1" applyProtection="1">
      <alignment horizontal="right" vertical="center" wrapText="1" indent="1"/>
      <protection/>
    </xf>
    <xf numFmtId="0" fontId="18" fillId="0" borderId="11" xfId="0" applyFont="1" applyFill="1" applyBorder="1" applyAlignment="1" applyProtection="1">
      <alignment horizontal="left" vertical="center"/>
      <protection/>
    </xf>
    <xf numFmtId="0" fontId="18" fillId="0" borderId="57" xfId="0" applyFont="1" applyFill="1" applyBorder="1" applyAlignment="1" applyProtection="1">
      <alignment vertical="center" wrapText="1"/>
      <protection/>
    </xf>
    <xf numFmtId="3" fontId="18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3" fontId="18" fillId="35" borderId="13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ont="1" applyFill="1" applyAlignment="1" applyProtection="1">
      <alignment horizontal="left" vertical="center" wrapText="1"/>
      <protection locked="0"/>
    </xf>
    <xf numFmtId="0" fontId="0" fillId="0" borderId="0" xfId="0" applyFont="1" applyFill="1" applyAlignment="1" applyProtection="1">
      <alignment vertical="center" wrapText="1"/>
      <protection locked="0"/>
    </xf>
    <xf numFmtId="169" fontId="38" fillId="0" borderId="0" xfId="0" applyNumberFormat="1" applyFont="1" applyFill="1" applyAlignment="1" applyProtection="1">
      <alignment horizontal="right" vertical="center" wrapText="1" indent="1"/>
      <protection locked="0"/>
    </xf>
    <xf numFmtId="0" fontId="0" fillId="0" borderId="0" xfId="0" applyFont="1" applyFill="1" applyAlignment="1" applyProtection="1">
      <alignment horizontal="right" vertical="center" wrapText="1" indent="1"/>
      <protection locked="0"/>
    </xf>
    <xf numFmtId="0" fontId="12" fillId="0" borderId="0" xfId="0" applyFont="1" applyFill="1" applyBorder="1" applyAlignment="1">
      <alignment horizontal="center" vertical="center" wrapText="1"/>
    </xf>
    <xf numFmtId="0" fontId="20" fillId="0" borderId="54" xfId="0" applyFont="1" applyFill="1" applyBorder="1" applyAlignment="1" applyProtection="1">
      <alignment horizontal="center" vertical="center" wrapText="1"/>
      <protection/>
    </xf>
    <xf numFmtId="0" fontId="20" fillId="0" borderId="55" xfId="0" applyFont="1" applyFill="1" applyBorder="1" applyAlignment="1" applyProtection="1">
      <alignment horizontal="center" vertical="center" wrapText="1"/>
      <protection/>
    </xf>
    <xf numFmtId="169" fontId="20" fillId="0" borderId="39" xfId="0" applyNumberFormat="1" applyFont="1" applyFill="1" applyBorder="1" applyAlignment="1" applyProtection="1">
      <alignment horizontal="right" vertical="center" wrapText="1" indent="1"/>
      <protection/>
    </xf>
    <xf numFmtId="169" fontId="22" fillId="0" borderId="0" xfId="58" applyNumberFormat="1" applyFont="1" applyFill="1" applyBorder="1" applyAlignment="1" applyProtection="1">
      <alignment horizontal="right" vertical="center" wrapText="1" indent="1"/>
      <protection/>
    </xf>
    <xf numFmtId="169" fontId="21" fillId="0" borderId="0" xfId="58" applyNumberFormat="1" applyFont="1" applyFill="1" applyBorder="1" applyAlignment="1" applyProtection="1">
      <alignment horizontal="right" vertical="center" wrapText="1" indent="1"/>
      <protection locked="0"/>
    </xf>
    <xf numFmtId="169" fontId="22" fillId="0" borderId="0" xfId="58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0" xfId="0" applyFont="1" applyFill="1" applyBorder="1" applyAlignment="1">
      <alignment vertical="center" wrapText="1"/>
    </xf>
    <xf numFmtId="169" fontId="24" fillId="0" borderId="0" xfId="0" applyNumberFormat="1" applyFont="1" applyBorder="1" applyAlignment="1" applyProtection="1">
      <alignment horizontal="right" vertical="center" wrapText="1" indent="1"/>
      <protection/>
    </xf>
    <xf numFmtId="169" fontId="37" fillId="0" borderId="0" xfId="0" applyNumberFormat="1" applyFont="1" applyBorder="1" applyAlignment="1" applyProtection="1">
      <alignment horizontal="right" vertical="center" wrapText="1" indent="1"/>
      <protection/>
    </xf>
    <xf numFmtId="169" fontId="38" fillId="0" borderId="0" xfId="0" applyNumberFormat="1" applyFont="1" applyFill="1" applyBorder="1" applyAlignment="1" applyProtection="1">
      <alignment horizontal="right" vertical="center" wrapText="1" indent="1"/>
      <protection/>
    </xf>
    <xf numFmtId="3" fontId="18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Border="1" applyAlignment="1">
      <alignment vertical="center" wrapText="1"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169" fontId="4" fillId="0" borderId="0" xfId="0" applyNumberFormat="1" applyFont="1" applyFill="1" applyAlignment="1" applyProtection="1">
      <alignment vertical="center" wrapText="1"/>
      <protection/>
    </xf>
    <xf numFmtId="49" fontId="20" fillId="0" borderId="35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Font="1" applyFill="1" applyAlignment="1" applyProtection="1">
      <alignment vertical="center"/>
      <protection/>
    </xf>
    <xf numFmtId="0" fontId="20" fillId="0" borderId="51" xfId="0" applyFont="1" applyFill="1" applyBorder="1" applyAlignment="1" applyProtection="1">
      <alignment horizontal="center" vertical="center" wrapText="1"/>
      <protection locked="0"/>
    </xf>
    <xf numFmtId="49" fontId="20" fillId="0" borderId="52" xfId="0" applyNumberFormat="1" applyFont="1" applyFill="1" applyBorder="1" applyAlignment="1" applyProtection="1">
      <alignment horizontal="right" vertical="center"/>
      <protection locked="0"/>
    </xf>
    <xf numFmtId="0" fontId="18" fillId="0" borderId="0" xfId="0" applyFont="1" applyFill="1" applyAlignment="1" applyProtection="1">
      <alignment vertical="center"/>
      <protection/>
    </xf>
    <xf numFmtId="0" fontId="20" fillId="0" borderId="16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Alignment="1" applyProtection="1">
      <alignment horizontal="center" vertical="center" wrapText="1"/>
      <protection/>
    </xf>
    <xf numFmtId="169" fontId="20" fillId="0" borderId="39" xfId="0" applyNumberFormat="1" applyFont="1" applyFill="1" applyBorder="1" applyAlignment="1" applyProtection="1">
      <alignment horizontal="center" vertical="center" wrapText="1"/>
      <protection/>
    </xf>
    <xf numFmtId="0" fontId="22" fillId="0" borderId="11" xfId="0" applyFont="1" applyFill="1" applyBorder="1" applyAlignment="1" applyProtection="1">
      <alignment horizontal="center" vertical="center" wrapText="1"/>
      <protection/>
    </xf>
    <xf numFmtId="0" fontId="22" fillId="0" borderId="12" xfId="0" applyFont="1" applyFill="1" applyBorder="1" applyAlignment="1" applyProtection="1">
      <alignment horizontal="left" vertical="center" wrapText="1" indent="1"/>
      <protection/>
    </xf>
    <xf numFmtId="0" fontId="13" fillId="0" borderId="0" xfId="0" applyFont="1" applyFill="1" applyAlignment="1" applyProtection="1">
      <alignment vertical="center" wrapText="1"/>
      <protection/>
    </xf>
    <xf numFmtId="49" fontId="21" fillId="0" borderId="33" xfId="0" applyNumberFormat="1" applyFont="1" applyFill="1" applyBorder="1" applyAlignment="1" applyProtection="1">
      <alignment horizontal="center" vertical="center" wrapText="1"/>
      <protection/>
    </xf>
    <xf numFmtId="169" fontId="21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49" fontId="21" fillId="0" borderId="20" xfId="0" applyNumberFormat="1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Alignment="1" applyProtection="1">
      <alignment vertical="center" wrapText="1"/>
      <protection/>
    </xf>
    <xf numFmtId="169" fontId="22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49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1" fillId="0" borderId="32" xfId="58" applyFont="1" applyFill="1" applyBorder="1" applyAlignment="1" applyProtection="1">
      <alignment horizontal="left" vertical="center" wrapText="1" indent="1"/>
      <protection/>
    </xf>
    <xf numFmtId="169" fontId="21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9" fontId="22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11" xfId="0" applyFont="1" applyBorder="1" applyAlignment="1" applyProtection="1">
      <alignment horizontal="center" vertical="center" wrapText="1"/>
      <protection/>
    </xf>
    <xf numFmtId="0" fontId="39" fillId="0" borderId="57" xfId="0" applyFont="1" applyBorder="1" applyAlignment="1" applyProtection="1">
      <alignment horizontal="left" wrapText="1" indent="1"/>
      <protection/>
    </xf>
    <xf numFmtId="0" fontId="21" fillId="0" borderId="0" xfId="0" applyFont="1" applyFill="1" applyAlignment="1" applyProtection="1">
      <alignment horizontal="left" vertical="center" wrapText="1"/>
      <protection/>
    </xf>
    <xf numFmtId="0" fontId="21" fillId="0" borderId="0" xfId="0" applyFont="1" applyFill="1" applyAlignment="1" applyProtection="1">
      <alignment vertical="center" wrapText="1"/>
      <protection/>
    </xf>
    <xf numFmtId="0" fontId="21" fillId="0" borderId="0" xfId="0" applyFont="1" applyFill="1" applyAlignment="1" applyProtection="1">
      <alignment horizontal="right" vertical="center" wrapText="1" indent="1"/>
      <protection/>
    </xf>
    <xf numFmtId="0" fontId="35" fillId="0" borderId="0" xfId="0" applyFont="1" applyFill="1" applyAlignment="1" applyProtection="1">
      <alignment vertical="center" wrapText="1"/>
      <protection/>
    </xf>
    <xf numFmtId="0" fontId="20" fillId="0" borderId="12" xfId="0" applyFont="1" applyFill="1" applyBorder="1" applyAlignment="1" applyProtection="1">
      <alignment horizontal="left" vertical="center" wrapText="1" indent="1"/>
      <protection/>
    </xf>
    <xf numFmtId="169" fontId="38" fillId="0" borderId="0" xfId="0" applyNumberFormat="1" applyFont="1" applyFill="1" applyAlignment="1" applyProtection="1">
      <alignment vertical="center" wrapText="1"/>
      <protection/>
    </xf>
    <xf numFmtId="0" fontId="0" fillId="0" borderId="0" xfId="0" applyFill="1" applyAlignment="1" applyProtection="1">
      <alignment horizontal="left" vertical="center" wrapText="1"/>
      <protection locked="0"/>
    </xf>
    <xf numFmtId="0" fontId="0" fillId="0" borderId="0" xfId="0" applyFill="1" applyAlignment="1" applyProtection="1">
      <alignment vertical="center" wrapText="1"/>
      <protection locked="0"/>
    </xf>
    <xf numFmtId="169" fontId="4" fillId="0" borderId="0" xfId="0" applyNumberFormat="1" applyFont="1" applyFill="1" applyAlignment="1" applyProtection="1">
      <alignment horizontal="left" vertical="center" wrapText="1"/>
      <protection/>
    </xf>
    <xf numFmtId="169" fontId="15" fillId="0" borderId="0" xfId="0" applyNumberFormat="1" applyFont="1" applyFill="1" applyAlignment="1" applyProtection="1">
      <alignment vertical="center" wrapText="1"/>
      <protection/>
    </xf>
    <xf numFmtId="0" fontId="20" fillId="0" borderId="50" xfId="0" applyFont="1" applyFill="1" applyBorder="1" applyAlignment="1" applyProtection="1">
      <alignment horizontal="center" vertical="center" wrapText="1"/>
      <protection/>
    </xf>
    <xf numFmtId="0" fontId="14" fillId="0" borderId="34" xfId="0" applyFont="1" applyFill="1" applyBorder="1" applyAlignment="1" applyProtection="1">
      <alignment horizontal="center" vertical="center" wrapText="1"/>
      <protection/>
    </xf>
    <xf numFmtId="49" fontId="20" fillId="0" borderId="35" xfId="0" applyNumberFormat="1" applyFont="1" applyFill="1" applyBorder="1" applyAlignment="1" applyProtection="1">
      <alignment horizontal="right" vertical="center"/>
      <protection/>
    </xf>
    <xf numFmtId="0" fontId="20" fillId="0" borderId="51" xfId="0" applyFont="1" applyFill="1" applyBorder="1" applyAlignment="1" applyProtection="1">
      <alignment horizontal="center" vertical="center" wrapText="1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49" fontId="20" fillId="0" borderId="52" xfId="0" applyNumberFormat="1" applyFont="1" applyFill="1" applyBorder="1" applyAlignment="1" applyProtection="1">
      <alignment horizontal="right"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34" fillId="0" borderId="0" xfId="0" applyFont="1" applyFill="1" applyAlignment="1" applyProtection="1">
      <alignment horizontal="right"/>
      <protection/>
    </xf>
    <xf numFmtId="0" fontId="20" fillId="0" borderId="53" xfId="0" applyFont="1" applyFill="1" applyBorder="1" applyAlignment="1" applyProtection="1">
      <alignment horizontal="center" vertical="center" wrapText="1"/>
      <protection/>
    </xf>
    <xf numFmtId="0" fontId="20" fillId="0" borderId="15" xfId="0" applyFont="1" applyFill="1" applyBorder="1" applyAlignment="1" applyProtection="1">
      <alignment horizontal="center" vertical="center" wrapText="1"/>
      <protection/>
    </xf>
    <xf numFmtId="0" fontId="20" fillId="0" borderId="16" xfId="0" applyFont="1" applyFill="1" applyBorder="1" applyAlignment="1" applyProtection="1">
      <alignment horizontal="center" vertical="center" wrapText="1"/>
      <protection/>
    </xf>
    <xf numFmtId="0" fontId="22" fillId="0" borderId="12" xfId="0" applyFont="1" applyFill="1" applyBorder="1" applyAlignment="1" applyProtection="1">
      <alignment horizontal="center" vertical="center" wrapText="1"/>
      <protection/>
    </xf>
    <xf numFmtId="0" fontId="22" fillId="0" borderId="13" xfId="0" applyFont="1" applyFill="1" applyBorder="1" applyAlignment="1" applyProtection="1">
      <alignment horizontal="center" vertical="center" wrapText="1"/>
      <protection/>
    </xf>
    <xf numFmtId="0" fontId="14" fillId="0" borderId="34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 vertical="center" wrapText="1"/>
      <protection/>
    </xf>
    <xf numFmtId="169" fontId="21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169" fontId="13" fillId="0" borderId="0" xfId="0" applyNumberFormat="1" applyFont="1" applyFill="1" applyAlignment="1" applyProtection="1">
      <alignment vertical="center" wrapText="1"/>
      <protection/>
    </xf>
    <xf numFmtId="169" fontId="22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0" xfId="0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Border="1" applyAlignment="1" applyProtection="1">
      <alignment vertical="center" wrapText="1"/>
      <protection/>
    </xf>
    <xf numFmtId="0" fontId="40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14" fillId="0" borderId="0" xfId="0" applyFont="1" applyFill="1" applyAlignment="1" applyProtection="1">
      <alignment/>
      <protection locked="0"/>
    </xf>
    <xf numFmtId="0" fontId="29" fillId="0" borderId="0" xfId="0" applyFont="1" applyFill="1" applyAlignment="1" applyProtection="1">
      <alignment/>
      <protection locked="0"/>
    </xf>
    <xf numFmtId="0" fontId="29" fillId="0" borderId="0" xfId="0" applyFont="1" applyFill="1" applyAlignment="1">
      <alignment/>
    </xf>
    <xf numFmtId="0" fontId="30" fillId="0" borderId="0" xfId="0" applyFont="1" applyFill="1" applyAlignment="1" applyProtection="1">
      <alignment horizontal="right"/>
      <protection locked="0"/>
    </xf>
    <xf numFmtId="0" fontId="20" fillId="0" borderId="11" xfId="0" applyFont="1" applyFill="1" applyBorder="1" applyAlignment="1" applyProtection="1">
      <alignment horizontal="center" vertical="center" wrapText="1"/>
      <protection/>
    </xf>
    <xf numFmtId="0" fontId="20" fillId="0" borderId="12" xfId="0" applyFont="1" applyFill="1" applyBorder="1" applyAlignment="1" applyProtection="1">
      <alignment horizontal="center" vertical="center" wrapText="1"/>
      <protection/>
    </xf>
    <xf numFmtId="0" fontId="20" fillId="0" borderId="13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Alignment="1">
      <alignment horizontal="center" vertical="center" wrapText="1"/>
    </xf>
    <xf numFmtId="0" fontId="21" fillId="0" borderId="17" xfId="0" applyFont="1" applyFill="1" applyBorder="1" applyAlignment="1" applyProtection="1">
      <alignment horizontal="center" vertical="center"/>
      <protection/>
    </xf>
    <xf numFmtId="0" fontId="21" fillId="0" borderId="18" xfId="0" applyFont="1" applyFill="1" applyBorder="1" applyAlignment="1" applyProtection="1">
      <alignment vertical="center" wrapText="1"/>
      <protection/>
    </xf>
    <xf numFmtId="169" fontId="21" fillId="0" borderId="18" xfId="0" applyNumberFormat="1" applyFont="1" applyFill="1" applyBorder="1" applyAlignment="1" applyProtection="1">
      <alignment vertical="center"/>
      <protection locked="0"/>
    </xf>
    <xf numFmtId="169" fontId="22" fillId="0" borderId="19" xfId="0" applyNumberFormat="1" applyFont="1" applyFill="1" applyBorder="1" applyAlignment="1" applyProtection="1">
      <alignment vertical="center"/>
      <protection/>
    </xf>
    <xf numFmtId="0" fontId="21" fillId="0" borderId="20" xfId="0" applyFont="1" applyFill="1" applyBorder="1" applyAlignment="1" applyProtection="1">
      <alignment horizontal="center" vertical="center"/>
      <protection/>
    </xf>
    <xf numFmtId="0" fontId="21" fillId="0" borderId="21" xfId="0" applyFont="1" applyFill="1" applyBorder="1" applyAlignment="1" applyProtection="1">
      <alignment vertical="center" wrapText="1"/>
      <protection/>
    </xf>
    <xf numFmtId="169" fontId="21" fillId="0" borderId="21" xfId="0" applyNumberFormat="1" applyFont="1" applyFill="1" applyBorder="1" applyAlignment="1" applyProtection="1">
      <alignment vertical="center"/>
      <protection locked="0"/>
    </xf>
    <xf numFmtId="169" fontId="22" fillId="0" borderId="22" xfId="0" applyNumberFormat="1" applyFont="1" applyFill="1" applyBorder="1" applyAlignment="1" applyProtection="1">
      <alignment vertical="center"/>
      <protection/>
    </xf>
    <xf numFmtId="0" fontId="21" fillId="0" borderId="23" xfId="0" applyFont="1" applyFill="1" applyBorder="1" applyAlignment="1" applyProtection="1">
      <alignment horizontal="center" vertical="center"/>
      <protection/>
    </xf>
    <xf numFmtId="0" fontId="21" fillId="0" borderId="24" xfId="0" applyFont="1" applyFill="1" applyBorder="1" applyAlignment="1" applyProtection="1">
      <alignment vertical="center" wrapText="1"/>
      <protection/>
    </xf>
    <xf numFmtId="169" fontId="21" fillId="0" borderId="24" xfId="0" applyNumberFormat="1" applyFont="1" applyFill="1" applyBorder="1" applyAlignment="1" applyProtection="1">
      <alignment vertical="center"/>
      <protection locked="0"/>
    </xf>
    <xf numFmtId="169" fontId="22" fillId="0" borderId="25" xfId="0" applyNumberFormat="1" applyFont="1" applyFill="1" applyBorder="1" applyAlignment="1" applyProtection="1">
      <alignment vertical="center"/>
      <protection/>
    </xf>
    <xf numFmtId="0" fontId="22" fillId="0" borderId="11" xfId="0" applyFont="1" applyFill="1" applyBorder="1" applyAlignment="1" applyProtection="1">
      <alignment horizontal="center" vertical="center"/>
      <protection/>
    </xf>
    <xf numFmtId="0" fontId="20" fillId="0" borderId="12" xfId="0" applyFont="1" applyFill="1" applyBorder="1" applyAlignment="1" applyProtection="1">
      <alignment vertical="center" wrapText="1"/>
      <protection/>
    </xf>
    <xf numFmtId="169" fontId="22" fillId="0" borderId="12" xfId="0" applyNumberFormat="1" applyFont="1" applyFill="1" applyBorder="1" applyAlignment="1" applyProtection="1">
      <alignment vertical="center"/>
      <protection/>
    </xf>
    <xf numFmtId="169" fontId="22" fillId="0" borderId="13" xfId="0" applyNumberFormat="1" applyFont="1" applyFill="1" applyBorder="1" applyAlignment="1" applyProtection="1">
      <alignment vertical="center"/>
      <protection/>
    </xf>
    <xf numFmtId="0" fontId="18" fillId="0" borderId="0" xfId="0" applyFont="1" applyFill="1" applyAlignment="1">
      <alignment/>
    </xf>
    <xf numFmtId="0" fontId="0" fillId="0" borderId="58" xfId="0" applyFill="1" applyBorder="1" applyAlignment="1" applyProtection="1">
      <alignment/>
      <protection/>
    </xf>
    <xf numFmtId="0" fontId="34" fillId="0" borderId="58" xfId="0" applyFont="1" applyFill="1" applyBorder="1" applyAlignment="1" applyProtection="1">
      <alignment horizontal="center"/>
      <protection/>
    </xf>
    <xf numFmtId="0" fontId="0" fillId="0" borderId="0" xfId="0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4" fillId="0" borderId="0" xfId="58" applyFont="1" applyFill="1">
      <alignment/>
      <protection/>
    </xf>
    <xf numFmtId="0" fontId="4" fillId="0" borderId="0" xfId="58" applyFont="1" applyFill="1" applyAlignment="1">
      <alignment horizontal="right" vertical="center" indent="1"/>
      <protection/>
    </xf>
    <xf numFmtId="0" fontId="4" fillId="0" borderId="0" xfId="58" applyFill="1">
      <alignment/>
      <protection/>
    </xf>
    <xf numFmtId="0" fontId="13" fillId="0" borderId="0" xfId="58" applyFont="1" applyFill="1" applyAlignment="1" applyProtection="1">
      <alignment horizontal="right"/>
      <protection locked="0"/>
    </xf>
    <xf numFmtId="0" fontId="34" fillId="0" borderId="10" xfId="0" applyFont="1" applyFill="1" applyBorder="1" applyAlignment="1" applyProtection="1">
      <alignment horizontal="right" vertical="center"/>
      <protection locked="0"/>
    </xf>
    <xf numFmtId="0" fontId="20" fillId="0" borderId="57" xfId="58" applyFont="1" applyFill="1" applyBorder="1" applyAlignment="1" applyProtection="1">
      <alignment horizontal="center" vertical="center" wrapText="1"/>
      <protection locked="0"/>
    </xf>
    <xf numFmtId="0" fontId="20" fillId="0" borderId="40" xfId="58" applyFont="1" applyFill="1" applyBorder="1" applyAlignment="1" applyProtection="1">
      <alignment horizontal="center" vertical="center" wrapText="1"/>
      <protection locked="0"/>
    </xf>
    <xf numFmtId="0" fontId="22" fillId="0" borderId="12" xfId="58" applyFont="1" applyFill="1" applyBorder="1" applyAlignment="1" applyProtection="1">
      <alignment horizontal="center" vertical="center" wrapText="1"/>
      <protection/>
    </xf>
    <xf numFmtId="0" fontId="22" fillId="0" borderId="40" xfId="58" applyFont="1" applyFill="1" applyBorder="1" applyAlignment="1" applyProtection="1">
      <alignment horizontal="center" vertical="center" wrapText="1"/>
      <protection/>
    </xf>
    <xf numFmtId="0" fontId="21" fillId="0" borderId="0" xfId="58" applyFont="1" applyFill="1">
      <alignment/>
      <protection/>
    </xf>
    <xf numFmtId="169" fontId="22" fillId="0" borderId="12" xfId="58" applyNumberFormat="1" applyFont="1" applyFill="1" applyBorder="1" applyAlignment="1" applyProtection="1">
      <alignment horizontal="right" vertical="center" wrapText="1" indent="1"/>
      <protection/>
    </xf>
    <xf numFmtId="169" fontId="22" fillId="0" borderId="40" xfId="58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58" applyFont="1" applyFill="1">
      <alignment/>
      <protection/>
    </xf>
    <xf numFmtId="169" fontId="21" fillId="0" borderId="18" xfId="58" applyNumberFormat="1" applyFont="1" applyFill="1" applyBorder="1" applyAlignment="1" applyProtection="1">
      <alignment horizontal="right" vertical="center" wrapText="1" indent="1"/>
      <protection locked="0"/>
    </xf>
    <xf numFmtId="169" fontId="21" fillId="0" borderId="59" xfId="58" applyNumberFormat="1" applyFont="1" applyFill="1" applyBorder="1" applyAlignment="1" applyProtection="1">
      <alignment horizontal="right" vertical="center" wrapText="1" indent="1"/>
      <protection locked="0"/>
    </xf>
    <xf numFmtId="169" fontId="21" fillId="0" borderId="21" xfId="58" applyNumberFormat="1" applyFont="1" applyFill="1" applyBorder="1" applyAlignment="1" applyProtection="1">
      <alignment horizontal="right" vertical="center" wrapText="1" indent="1"/>
      <protection locked="0"/>
    </xf>
    <xf numFmtId="169" fontId="21" fillId="0" borderId="24" xfId="58" applyNumberFormat="1" applyFont="1" applyFill="1" applyBorder="1" applyAlignment="1" applyProtection="1">
      <alignment horizontal="right" vertical="center" wrapText="1" indent="1"/>
      <protection locked="0"/>
    </xf>
    <xf numFmtId="169" fontId="21" fillId="35" borderId="24" xfId="58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18" xfId="0" applyFont="1" applyBorder="1" applyAlignment="1">
      <alignment horizontal="left" wrapText="1" indent="1"/>
    </xf>
    <xf numFmtId="0" fontId="25" fillId="0" borderId="0" xfId="58" applyFont="1" applyFill="1">
      <alignment/>
      <protection/>
    </xf>
    <xf numFmtId="0" fontId="23" fillId="0" borderId="27" xfId="0" applyFont="1" applyBorder="1" applyAlignment="1">
      <alignment horizontal="left" vertical="center" wrapText="1" indent="1"/>
    </xf>
    <xf numFmtId="169" fontId="22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169" fontId="22" fillId="0" borderId="40" xfId="58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60" xfId="58" applyFont="1" applyFill="1" applyBorder="1" applyAlignment="1" applyProtection="1">
      <alignment horizontal="center" vertical="center" wrapText="1"/>
      <protection/>
    </xf>
    <xf numFmtId="0" fontId="12" fillId="0" borderId="60" xfId="58" applyFont="1" applyFill="1" applyBorder="1" applyAlignment="1" applyProtection="1">
      <alignment vertical="center" wrapText="1"/>
      <protection/>
    </xf>
    <xf numFmtId="169" fontId="12" fillId="0" borderId="60" xfId="58" applyNumberFormat="1" applyFont="1" applyFill="1" applyBorder="1" applyAlignment="1" applyProtection="1">
      <alignment horizontal="right" vertical="center" wrapText="1" indent="1"/>
      <protection/>
    </xf>
    <xf numFmtId="0" fontId="21" fillId="0" borderId="60" xfId="58" applyFont="1" applyFill="1" applyBorder="1" applyAlignment="1" applyProtection="1">
      <alignment horizontal="right" vertical="center" wrapText="1" indent="1"/>
      <protection locked="0"/>
    </xf>
    <xf numFmtId="169" fontId="21" fillId="0" borderId="60" xfId="58" applyNumberFormat="1" applyFont="1" applyFill="1" applyBorder="1" applyAlignment="1" applyProtection="1">
      <alignment horizontal="right" vertical="center" wrapText="1" indent="1"/>
      <protection locked="0"/>
    </xf>
    <xf numFmtId="0" fontId="34" fillId="0" borderId="10" xfId="0" applyFont="1" applyFill="1" applyBorder="1" applyAlignment="1" applyProtection="1">
      <alignment horizontal="right" vertical="center"/>
      <protection/>
    </xf>
    <xf numFmtId="0" fontId="20" fillId="0" borderId="11" xfId="58" applyFont="1" applyFill="1" applyBorder="1" applyAlignment="1" applyProtection="1">
      <alignment horizontal="center" vertical="center" wrapText="1"/>
      <protection/>
    </xf>
    <xf numFmtId="0" fontId="20" fillId="0" borderId="12" xfId="58" applyFont="1" applyFill="1" applyBorder="1" applyAlignment="1" applyProtection="1">
      <alignment horizontal="center" vertical="center" wrapText="1"/>
      <protection/>
    </xf>
    <xf numFmtId="0" fontId="20" fillId="0" borderId="40" xfId="58" applyFont="1" applyFill="1" applyBorder="1" applyAlignment="1" applyProtection="1">
      <alignment horizontal="center" vertical="center" wrapText="1"/>
      <protection/>
    </xf>
    <xf numFmtId="0" fontId="0" fillId="0" borderId="0" xfId="58" applyFont="1" applyFill="1" applyBorder="1">
      <alignment/>
      <protection/>
    </xf>
    <xf numFmtId="169" fontId="22" fillId="0" borderId="15" xfId="58" applyNumberFormat="1" applyFont="1" applyFill="1" applyBorder="1" applyAlignment="1" applyProtection="1">
      <alignment horizontal="right" vertical="center" wrapText="1" indent="1"/>
      <protection/>
    </xf>
    <xf numFmtId="169" fontId="22" fillId="0" borderId="61" xfId="58" applyNumberFormat="1" applyFont="1" applyFill="1" applyBorder="1" applyAlignment="1" applyProtection="1">
      <alignment horizontal="right" vertical="center" wrapText="1" indent="1"/>
      <protection/>
    </xf>
    <xf numFmtId="169" fontId="21" fillId="0" borderId="34" xfId="58" applyNumberFormat="1" applyFont="1" applyFill="1" applyBorder="1" applyAlignment="1" applyProtection="1">
      <alignment horizontal="right" vertical="center" wrapText="1" indent="1"/>
      <protection locked="0"/>
    </xf>
    <xf numFmtId="169" fontId="21" fillId="0" borderId="49" xfId="58" applyNumberFormat="1" applyFont="1" applyFill="1" applyBorder="1" applyAlignment="1" applyProtection="1">
      <alignment horizontal="right" vertical="center" wrapText="1" indent="1"/>
      <protection locked="0"/>
    </xf>
    <xf numFmtId="169" fontId="21" fillId="0" borderId="29" xfId="58" applyNumberFormat="1" applyFont="1" applyFill="1" applyBorder="1" applyAlignment="1" applyProtection="1">
      <alignment horizontal="right" vertical="center" wrapText="1" indent="1"/>
      <protection locked="0"/>
    </xf>
    <xf numFmtId="169" fontId="21" fillId="0" borderId="62" xfId="58" applyNumberFormat="1" applyFont="1" applyFill="1" applyBorder="1" applyAlignment="1" applyProtection="1">
      <alignment horizontal="right" vertical="center" wrapText="1" indent="1"/>
      <protection locked="0"/>
    </xf>
    <xf numFmtId="169" fontId="22" fillId="0" borderId="32" xfId="58" applyNumberFormat="1" applyFont="1" applyFill="1" applyBorder="1" applyAlignment="1" applyProtection="1">
      <alignment horizontal="right" vertical="center" wrapText="1" indent="1"/>
      <protection/>
    </xf>
    <xf numFmtId="169" fontId="22" fillId="0" borderId="52" xfId="58" applyNumberFormat="1" applyFont="1" applyFill="1" applyBorder="1" applyAlignment="1" applyProtection="1">
      <alignment horizontal="right" vertical="center" wrapText="1" indent="1"/>
      <protection/>
    </xf>
    <xf numFmtId="169" fontId="21" fillId="35" borderId="18" xfId="58" applyNumberFormat="1" applyFont="1" applyFill="1" applyBorder="1" applyAlignment="1" applyProtection="1">
      <alignment horizontal="right" vertical="center" wrapText="1" indent="1"/>
      <protection locked="0"/>
    </xf>
    <xf numFmtId="169" fontId="21" fillId="35" borderId="21" xfId="58" applyNumberFormat="1" applyFont="1" applyFill="1" applyBorder="1" applyAlignment="1" applyProtection="1">
      <alignment horizontal="right" vertical="center" wrapText="1" indent="1"/>
      <protection locked="0"/>
    </xf>
    <xf numFmtId="169" fontId="24" fillId="0" borderId="12" xfId="0" applyNumberFormat="1" applyFont="1" applyBorder="1" applyAlignment="1" applyProtection="1">
      <alignment horizontal="right" vertical="center" wrapText="1" indent="1"/>
      <protection/>
    </xf>
    <xf numFmtId="169" fontId="24" fillId="0" borderId="40" xfId="0" applyNumberFormat="1" applyFont="1" applyBorder="1" applyAlignment="1" applyProtection="1">
      <alignment horizontal="right" vertical="center" wrapText="1" indent="1"/>
      <protection/>
    </xf>
    <xf numFmtId="169" fontId="24" fillId="0" borderId="12" xfId="0" applyNumberFormat="1" applyFont="1" applyBorder="1" applyAlignment="1" applyProtection="1">
      <alignment horizontal="right" vertical="center" wrapText="1" indent="1"/>
      <protection locked="0"/>
    </xf>
    <xf numFmtId="169" fontId="24" fillId="0" borderId="40" xfId="0" applyNumberFormat="1" applyFont="1" applyBorder="1" applyAlignment="1" applyProtection="1">
      <alignment horizontal="right" vertical="center" wrapText="1" indent="1"/>
      <protection locked="0"/>
    </xf>
    <xf numFmtId="169" fontId="37" fillId="0" borderId="12" xfId="0" applyNumberFormat="1" applyFont="1" applyBorder="1" applyAlignment="1" applyProtection="1">
      <alignment horizontal="right" vertical="center" wrapText="1" indent="1"/>
      <protection/>
    </xf>
    <xf numFmtId="169" fontId="37" fillId="0" borderId="40" xfId="0" applyNumberFormat="1" applyFont="1" applyBorder="1" applyAlignment="1" applyProtection="1">
      <alignment horizontal="right" vertical="center" wrapText="1" indent="1"/>
      <protection/>
    </xf>
    <xf numFmtId="169" fontId="41" fillId="0" borderId="0" xfId="58" applyNumberFormat="1" applyFont="1" applyFill="1">
      <alignment/>
      <protection/>
    </xf>
    <xf numFmtId="169" fontId="34" fillId="0" borderId="0" xfId="0" applyNumberFormat="1" applyFont="1" applyFill="1" applyAlignment="1" applyProtection="1">
      <alignment horizontal="right"/>
      <protection/>
    </xf>
    <xf numFmtId="169" fontId="14" fillId="0" borderId="0" xfId="0" applyNumberFormat="1" applyFont="1" applyFill="1" applyAlignment="1" applyProtection="1">
      <alignment vertical="center"/>
      <protection/>
    </xf>
    <xf numFmtId="169" fontId="20" fillId="0" borderId="63" xfId="0" applyNumberFormat="1" applyFont="1" applyFill="1" applyBorder="1" applyAlignment="1" applyProtection="1">
      <alignment horizontal="center" vertical="center"/>
      <protection/>
    </xf>
    <xf numFmtId="169" fontId="20" fillId="0" borderId="30" xfId="0" applyNumberFormat="1" applyFont="1" applyFill="1" applyBorder="1" applyAlignment="1" applyProtection="1">
      <alignment horizontal="center" vertical="center" wrapText="1"/>
      <protection/>
    </xf>
    <xf numFmtId="169" fontId="14" fillId="0" borderId="0" xfId="0" applyNumberFormat="1" applyFont="1" applyFill="1" applyAlignment="1" applyProtection="1">
      <alignment horizontal="center" vertical="center"/>
      <protection/>
    </xf>
    <xf numFmtId="169" fontId="22" fillId="0" borderId="53" xfId="0" applyNumberFormat="1" applyFont="1" applyFill="1" applyBorder="1" applyAlignment="1" applyProtection="1">
      <alignment horizontal="center" vertical="center" wrapText="1"/>
      <protection/>
    </xf>
    <xf numFmtId="169" fontId="22" fillId="0" borderId="64" xfId="0" applyNumberFormat="1" applyFont="1" applyFill="1" applyBorder="1" applyAlignment="1" applyProtection="1">
      <alignment horizontal="center" vertical="center" wrapText="1"/>
      <protection/>
    </xf>
    <xf numFmtId="169" fontId="22" fillId="0" borderId="46" xfId="0" applyNumberFormat="1" applyFont="1" applyFill="1" applyBorder="1" applyAlignment="1" applyProtection="1">
      <alignment horizontal="center" vertical="center" wrapText="1"/>
      <protection/>
    </xf>
    <xf numFmtId="169" fontId="14" fillId="0" borderId="0" xfId="0" applyNumberFormat="1" applyFont="1" applyFill="1" applyAlignment="1" applyProtection="1">
      <alignment horizontal="center" vertical="center" wrapText="1"/>
      <protection/>
    </xf>
    <xf numFmtId="169" fontId="22" fillId="0" borderId="41" xfId="0" applyNumberFormat="1" applyFont="1" applyFill="1" applyBorder="1" applyAlignment="1" applyProtection="1">
      <alignment horizontal="left" vertical="center" wrapText="1" indent="1"/>
      <protection/>
    </xf>
    <xf numFmtId="49" fontId="31" fillId="0" borderId="12" xfId="0" applyNumberFormat="1" applyFont="1" applyFill="1" applyBorder="1" applyAlignment="1" applyProtection="1">
      <alignment horizontal="center" vertical="center" wrapText="1"/>
      <protection locked="0"/>
    </xf>
    <xf numFmtId="169" fontId="31" fillId="0" borderId="41" xfId="0" applyNumberFormat="1" applyFont="1" applyFill="1" applyBorder="1" applyAlignment="1" applyProtection="1">
      <alignment vertical="center" wrapText="1"/>
      <protection/>
    </xf>
    <xf numFmtId="169" fontId="21" fillId="0" borderId="41" xfId="0" applyNumberFormat="1" applyFont="1" applyFill="1" applyBorder="1" applyAlignment="1" applyProtection="1">
      <alignment vertical="center" wrapText="1"/>
      <protection/>
    </xf>
    <xf numFmtId="169" fontId="22" fillId="0" borderId="20" xfId="0" applyNumberFormat="1" applyFont="1" applyFill="1" applyBorder="1" applyAlignment="1" applyProtection="1">
      <alignment horizontal="center" vertical="center" wrapText="1"/>
      <protection/>
    </xf>
    <xf numFmtId="169" fontId="21" fillId="0" borderId="43" xfId="0" applyNumberFormat="1" applyFont="1" applyFill="1" applyBorder="1" applyAlignment="1" applyProtection="1">
      <alignment horizontal="left" vertical="center" wrapText="1" indent="1"/>
      <protection locked="0"/>
    </xf>
    <xf numFmtId="49" fontId="31" fillId="0" borderId="21" xfId="0" applyNumberFormat="1" applyFont="1" applyFill="1" applyBorder="1" applyAlignment="1" applyProtection="1">
      <alignment horizontal="center" vertical="center" wrapText="1"/>
      <protection locked="0"/>
    </xf>
    <xf numFmtId="169" fontId="31" fillId="35" borderId="43" xfId="0" applyNumberFormat="1" applyFont="1" applyFill="1" applyBorder="1" applyAlignment="1" applyProtection="1">
      <alignment vertical="center" wrapText="1"/>
      <protection locked="0"/>
    </xf>
    <xf numFmtId="169" fontId="31" fillId="35" borderId="20" xfId="0" applyNumberFormat="1" applyFont="1" applyFill="1" applyBorder="1" applyAlignment="1" applyProtection="1">
      <alignment vertical="center" wrapText="1"/>
      <protection locked="0"/>
    </xf>
    <xf numFmtId="169" fontId="31" fillId="35" borderId="21" xfId="0" applyNumberFormat="1" applyFont="1" applyFill="1" applyBorder="1" applyAlignment="1" applyProtection="1">
      <alignment vertical="center" wrapText="1"/>
      <protection locked="0"/>
    </xf>
    <xf numFmtId="169" fontId="31" fillId="35" borderId="22" xfId="0" applyNumberFormat="1" applyFont="1" applyFill="1" applyBorder="1" applyAlignment="1" applyProtection="1">
      <alignment vertical="center" wrapText="1"/>
      <protection locked="0"/>
    </xf>
    <xf numFmtId="169" fontId="21" fillId="0" borderId="43" xfId="0" applyNumberFormat="1" applyFont="1" applyFill="1" applyBorder="1" applyAlignment="1" applyProtection="1">
      <alignment vertical="center" wrapText="1"/>
      <protection/>
    </xf>
    <xf numFmtId="169" fontId="31" fillId="0" borderId="43" xfId="0" applyNumberFormat="1" applyFont="1" applyFill="1" applyBorder="1" applyAlignment="1" applyProtection="1">
      <alignment vertical="center" wrapText="1"/>
      <protection locked="0"/>
    </xf>
    <xf numFmtId="169" fontId="31" fillId="0" borderId="20" xfId="0" applyNumberFormat="1" applyFont="1" applyFill="1" applyBorder="1" applyAlignment="1" applyProtection="1">
      <alignment vertical="center" wrapText="1"/>
      <protection locked="0"/>
    </xf>
    <xf numFmtId="169" fontId="31" fillId="0" borderId="21" xfId="0" applyNumberFormat="1" applyFont="1" applyFill="1" applyBorder="1" applyAlignment="1" applyProtection="1">
      <alignment vertical="center" wrapText="1"/>
      <protection locked="0"/>
    </xf>
    <xf numFmtId="169" fontId="31" fillId="0" borderId="22" xfId="0" applyNumberFormat="1" applyFont="1" applyFill="1" applyBorder="1" applyAlignment="1" applyProtection="1">
      <alignment vertical="center" wrapText="1"/>
      <protection locked="0"/>
    </xf>
    <xf numFmtId="169" fontId="22" fillId="0" borderId="26" xfId="0" applyNumberFormat="1" applyFont="1" applyFill="1" applyBorder="1" applyAlignment="1" applyProtection="1">
      <alignment horizontal="center" vertical="center" wrapText="1"/>
      <protection/>
    </xf>
    <xf numFmtId="169" fontId="21" fillId="0" borderId="46" xfId="0" applyNumberFormat="1" applyFont="1" applyFill="1" applyBorder="1" applyAlignment="1" applyProtection="1">
      <alignment horizontal="left" vertical="center" wrapText="1" indent="1"/>
      <protection locked="0"/>
    </xf>
    <xf numFmtId="49" fontId="31" fillId="0" borderId="27" xfId="0" applyNumberFormat="1" applyFont="1" applyFill="1" applyBorder="1" applyAlignment="1" applyProtection="1">
      <alignment horizontal="center" vertical="center" wrapText="1"/>
      <protection locked="0"/>
    </xf>
    <xf numFmtId="169" fontId="31" fillId="0" borderId="46" xfId="0" applyNumberFormat="1" applyFont="1" applyFill="1" applyBorder="1" applyAlignment="1" applyProtection="1">
      <alignment vertical="center" wrapText="1"/>
      <protection locked="0"/>
    </xf>
    <xf numFmtId="169" fontId="31" fillId="0" borderId="26" xfId="0" applyNumberFormat="1" applyFont="1" applyFill="1" applyBorder="1" applyAlignment="1" applyProtection="1">
      <alignment vertical="center" wrapText="1"/>
      <protection locked="0"/>
    </xf>
    <xf numFmtId="169" fontId="31" fillId="0" borderId="27" xfId="0" applyNumberFormat="1" applyFont="1" applyFill="1" applyBorder="1" applyAlignment="1" applyProtection="1">
      <alignment vertical="center" wrapText="1"/>
      <protection locked="0"/>
    </xf>
    <xf numFmtId="169" fontId="31" fillId="0" borderId="47" xfId="0" applyNumberFormat="1" applyFont="1" applyFill="1" applyBorder="1" applyAlignment="1" applyProtection="1">
      <alignment vertical="center" wrapText="1"/>
      <protection locked="0"/>
    </xf>
    <xf numFmtId="169" fontId="31" fillId="0" borderId="11" xfId="0" applyNumberFormat="1" applyFont="1" applyFill="1" applyBorder="1" applyAlignment="1" applyProtection="1">
      <alignment vertical="center" wrapText="1"/>
      <protection/>
    </xf>
    <xf numFmtId="169" fontId="31" fillId="0" borderId="12" xfId="0" applyNumberFormat="1" applyFont="1" applyFill="1" applyBorder="1" applyAlignment="1" applyProtection="1">
      <alignment vertical="center" wrapText="1"/>
      <protection/>
    </xf>
    <xf numFmtId="169" fontId="31" fillId="0" borderId="13" xfId="0" applyNumberFormat="1" applyFont="1" applyFill="1" applyBorder="1" applyAlignment="1" applyProtection="1">
      <alignment vertical="center" wrapText="1"/>
      <protection/>
    </xf>
    <xf numFmtId="169" fontId="21" fillId="0" borderId="46" xfId="0" applyNumberFormat="1" applyFont="1" applyFill="1" applyBorder="1" applyAlignment="1" applyProtection="1">
      <alignment horizontal="left" vertical="center" wrapText="1" indent="1"/>
      <protection/>
    </xf>
    <xf numFmtId="169" fontId="31" fillId="0" borderId="46" xfId="0" applyNumberFormat="1" applyFont="1" applyFill="1" applyBorder="1" applyAlignment="1" applyProtection="1">
      <alignment vertical="center" wrapText="1"/>
      <protection/>
    </xf>
    <xf numFmtId="169" fontId="31" fillId="0" borderId="26" xfId="0" applyNumberFormat="1" applyFont="1" applyFill="1" applyBorder="1" applyAlignment="1" applyProtection="1">
      <alignment vertical="center" wrapText="1"/>
      <protection/>
    </xf>
    <xf numFmtId="169" fontId="31" fillId="0" borderId="27" xfId="0" applyNumberFormat="1" applyFont="1" applyFill="1" applyBorder="1" applyAlignment="1" applyProtection="1">
      <alignment vertical="center" wrapText="1"/>
      <protection/>
    </xf>
    <xf numFmtId="169" fontId="31" fillId="0" borderId="47" xfId="0" applyNumberFormat="1" applyFont="1" applyFill="1" applyBorder="1" applyAlignment="1" applyProtection="1">
      <alignment vertical="center" wrapText="1"/>
      <protection/>
    </xf>
    <xf numFmtId="169" fontId="22" fillId="0" borderId="23" xfId="0" applyNumberFormat="1" applyFont="1" applyFill="1" applyBorder="1" applyAlignment="1" applyProtection="1">
      <alignment horizontal="center" vertical="center" wrapText="1"/>
      <protection/>
    </xf>
    <xf numFmtId="169" fontId="21" fillId="0" borderId="65" xfId="0" applyNumberFormat="1" applyFont="1" applyFill="1" applyBorder="1" applyAlignment="1" applyProtection="1">
      <alignment horizontal="left" vertical="center" wrapText="1" indent="1"/>
      <protection locked="0"/>
    </xf>
    <xf numFmtId="49" fontId="31" fillId="0" borderId="24" xfId="0" applyNumberFormat="1" applyFont="1" applyFill="1" applyBorder="1" applyAlignment="1" applyProtection="1">
      <alignment horizontal="center" vertical="center" wrapText="1"/>
      <protection locked="0"/>
    </xf>
    <xf numFmtId="169" fontId="31" fillId="0" borderId="65" xfId="0" applyNumberFormat="1" applyFont="1" applyFill="1" applyBorder="1" applyAlignment="1" applyProtection="1">
      <alignment vertical="center" wrapText="1"/>
      <protection locked="0"/>
    </xf>
    <xf numFmtId="169" fontId="31" fillId="0" borderId="23" xfId="0" applyNumberFormat="1" applyFont="1" applyFill="1" applyBorder="1" applyAlignment="1" applyProtection="1">
      <alignment vertical="center" wrapText="1"/>
      <protection locked="0"/>
    </xf>
    <xf numFmtId="169" fontId="31" fillId="0" borderId="24" xfId="0" applyNumberFormat="1" applyFont="1" applyFill="1" applyBorder="1" applyAlignment="1" applyProtection="1">
      <alignment vertical="center" wrapText="1"/>
      <protection locked="0"/>
    </xf>
    <xf numFmtId="169" fontId="31" fillId="0" borderId="25" xfId="0" applyNumberFormat="1" applyFont="1" applyFill="1" applyBorder="1" applyAlignment="1" applyProtection="1">
      <alignment vertical="center" wrapText="1"/>
      <protection locked="0"/>
    </xf>
    <xf numFmtId="169" fontId="21" fillId="0" borderId="65" xfId="0" applyNumberFormat="1" applyFont="1" applyFill="1" applyBorder="1" applyAlignment="1" applyProtection="1">
      <alignment vertical="center" wrapText="1"/>
      <protection/>
    </xf>
    <xf numFmtId="169" fontId="21" fillId="0" borderId="42" xfId="0" applyNumberFormat="1" applyFont="1" applyFill="1" applyBorder="1" applyAlignment="1" applyProtection="1">
      <alignment horizontal="left" vertical="center" wrapText="1" indent="1"/>
      <protection locked="0"/>
    </xf>
    <xf numFmtId="49" fontId="31" fillId="0" borderId="48" xfId="0" applyNumberFormat="1" applyFont="1" applyFill="1" applyBorder="1" applyAlignment="1" applyProtection="1">
      <alignment horizontal="center" vertical="center" wrapText="1"/>
      <protection locked="0"/>
    </xf>
    <xf numFmtId="169" fontId="21" fillId="0" borderId="46" xfId="0" applyNumberFormat="1" applyFont="1" applyFill="1" applyBorder="1" applyAlignment="1" applyProtection="1">
      <alignment vertical="center" wrapText="1"/>
      <protection/>
    </xf>
    <xf numFmtId="169" fontId="31" fillId="36" borderId="64" xfId="0" applyNumberFormat="1" applyFont="1" applyFill="1" applyBorder="1" applyAlignment="1" applyProtection="1">
      <alignment horizontal="left" vertical="center" wrapText="1" indent="2"/>
      <protection/>
    </xf>
    <xf numFmtId="0" fontId="0" fillId="0" borderId="0" xfId="0" applyFill="1" applyAlignment="1">
      <alignment horizontal="center" vertical="center" wrapText="1"/>
    </xf>
    <xf numFmtId="0" fontId="13" fillId="0" borderId="0" xfId="0" applyFont="1" applyFill="1" applyAlignment="1">
      <alignment horizontal="right" vertical="center"/>
    </xf>
    <xf numFmtId="169" fontId="13" fillId="0" borderId="0" xfId="0" applyNumberFormat="1" applyFont="1" applyFill="1" applyAlignment="1">
      <alignment horizontal="center" vertical="center" wrapText="1"/>
    </xf>
    <xf numFmtId="0" fontId="42" fillId="0" borderId="0" xfId="0" applyFont="1" applyAlignment="1">
      <alignment horizontal="center" wrapText="1"/>
    </xf>
    <xf numFmtId="169" fontId="13" fillId="0" borderId="0" xfId="0" applyNumberFormat="1" applyFont="1" applyFill="1" applyAlignment="1">
      <alignment vertical="center" wrapText="1"/>
    </xf>
    <xf numFmtId="169" fontId="34" fillId="0" borderId="0" xfId="0" applyNumberFormat="1" applyFont="1" applyFill="1" applyAlignment="1">
      <alignment horizontal="right" vertical="center"/>
    </xf>
    <xf numFmtId="0" fontId="20" fillId="0" borderId="11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1" fillId="0" borderId="33" xfId="0" applyFont="1" applyFill="1" applyBorder="1" applyAlignment="1">
      <alignment horizontal="center" vertical="center" wrapText="1"/>
    </xf>
    <xf numFmtId="0" fontId="23" fillId="0" borderId="66" xfId="0" applyFont="1" applyFill="1" applyBorder="1" applyAlignment="1" applyProtection="1">
      <alignment horizontal="left" vertical="center" wrapText="1" indent="1"/>
      <protection/>
    </xf>
    <xf numFmtId="169" fontId="21" fillId="0" borderId="66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>
      <alignment horizontal="center" vertical="center" wrapText="1"/>
    </xf>
    <xf numFmtId="0" fontId="23" fillId="0" borderId="36" xfId="0" applyFont="1" applyFill="1" applyBorder="1" applyAlignment="1" applyProtection="1">
      <alignment horizontal="left" vertical="center" wrapText="1" indent="1"/>
      <protection/>
    </xf>
    <xf numFmtId="169" fontId="21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36" xfId="0" applyFont="1" applyFill="1" applyBorder="1" applyAlignment="1" applyProtection="1">
      <alignment horizontal="left" vertical="center" wrapText="1" indent="8"/>
      <protection/>
    </xf>
    <xf numFmtId="0" fontId="21" fillId="0" borderId="18" xfId="0" applyFont="1" applyFill="1" applyBorder="1" applyAlignment="1" applyProtection="1">
      <alignment vertical="center" wrapText="1"/>
      <protection locked="0"/>
    </xf>
    <xf numFmtId="0" fontId="21" fillId="0" borderId="21" xfId="0" applyFont="1" applyFill="1" applyBorder="1" applyAlignment="1" applyProtection="1">
      <alignment vertical="center" wrapText="1"/>
      <protection locked="0"/>
    </xf>
    <xf numFmtId="0" fontId="21" fillId="0" borderId="23" xfId="0" applyFont="1" applyFill="1" applyBorder="1" applyAlignment="1">
      <alignment horizontal="center" vertical="center" wrapText="1"/>
    </xf>
    <xf numFmtId="0" fontId="21" fillId="0" borderId="29" xfId="0" applyFont="1" applyFill="1" applyBorder="1" applyAlignment="1" applyProtection="1">
      <alignment vertical="center" wrapText="1"/>
      <protection locked="0"/>
    </xf>
    <xf numFmtId="169" fontId="21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32" xfId="0" applyFont="1" applyFill="1" applyBorder="1" applyAlignment="1" applyProtection="1">
      <alignment vertical="center" wrapText="1"/>
      <protection/>
    </xf>
    <xf numFmtId="169" fontId="22" fillId="0" borderId="32" xfId="0" applyNumberFormat="1" applyFont="1" applyFill="1" applyBorder="1" applyAlignment="1" applyProtection="1">
      <alignment vertical="center" wrapText="1"/>
      <protection/>
    </xf>
    <xf numFmtId="169" fontId="22" fillId="0" borderId="37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 horizontal="right" vertical="center" wrapText="1"/>
    </xf>
    <xf numFmtId="0" fontId="4" fillId="0" borderId="0" xfId="59" applyFill="1" applyProtection="1">
      <alignment/>
      <protection/>
    </xf>
    <xf numFmtId="0" fontId="4" fillId="0" borderId="0" xfId="59" applyFill="1" applyProtection="1">
      <alignment/>
      <protection locked="0"/>
    </xf>
    <xf numFmtId="0" fontId="30" fillId="0" borderId="0" xfId="59" applyFont="1" applyFill="1" applyAlignment="1" applyProtection="1">
      <alignment/>
      <protection locked="0"/>
    </xf>
    <xf numFmtId="0" fontId="0" fillId="0" borderId="0" xfId="0" applyAlignment="1">
      <alignment/>
    </xf>
    <xf numFmtId="0" fontId="34" fillId="0" borderId="0" xfId="0" applyFont="1" applyFill="1" applyAlignment="1">
      <alignment horizontal="right"/>
    </xf>
    <xf numFmtId="0" fontId="20" fillId="0" borderId="14" xfId="59" applyFont="1" applyFill="1" applyBorder="1" applyAlignment="1" applyProtection="1">
      <alignment horizontal="center" vertical="center" wrapText="1"/>
      <protection/>
    </xf>
    <xf numFmtId="0" fontId="20" fillId="0" borderId="15" xfId="59" applyFont="1" applyFill="1" applyBorder="1" applyAlignment="1" applyProtection="1">
      <alignment horizontal="center" vertical="center"/>
      <protection/>
    </xf>
    <xf numFmtId="0" fontId="20" fillId="0" borderId="16" xfId="59" applyFont="1" applyFill="1" applyBorder="1" applyAlignment="1" applyProtection="1">
      <alignment horizontal="center" vertical="center"/>
      <protection/>
    </xf>
    <xf numFmtId="0" fontId="21" fillId="0" borderId="11" xfId="59" applyFont="1" applyFill="1" applyBorder="1" applyAlignment="1" applyProtection="1">
      <alignment horizontal="left" vertical="center" indent="1"/>
      <protection/>
    </xf>
    <xf numFmtId="0" fontId="4" fillId="0" borderId="0" xfId="59" applyFill="1" applyAlignment="1" applyProtection="1">
      <alignment vertical="center"/>
      <protection/>
    </xf>
    <xf numFmtId="0" fontId="21" fillId="0" borderId="26" xfId="59" applyFont="1" applyFill="1" applyBorder="1" applyAlignment="1" applyProtection="1">
      <alignment horizontal="left" vertical="center" indent="1"/>
      <protection/>
    </xf>
    <xf numFmtId="0" fontId="21" fillId="0" borderId="27" xfId="59" applyFont="1" applyFill="1" applyBorder="1" applyAlignment="1" applyProtection="1">
      <alignment horizontal="left" vertical="center" wrapText="1" indent="1"/>
      <protection/>
    </xf>
    <xf numFmtId="169" fontId="43" fillId="0" borderId="27" xfId="59" applyNumberFormat="1" applyFont="1" applyFill="1" applyBorder="1" applyAlignment="1" applyProtection="1">
      <alignment vertical="center"/>
      <protection locked="0"/>
    </xf>
    <xf numFmtId="169" fontId="21" fillId="0" borderId="47" xfId="59" applyNumberFormat="1" applyFont="1" applyFill="1" applyBorder="1" applyAlignment="1" applyProtection="1">
      <alignment vertical="center"/>
      <protection/>
    </xf>
    <xf numFmtId="0" fontId="4" fillId="0" borderId="0" xfId="59" applyFill="1" applyAlignment="1" applyProtection="1">
      <alignment vertical="center" wrapText="1"/>
      <protection/>
    </xf>
    <xf numFmtId="0" fontId="21" fillId="0" borderId="20" xfId="59" applyFont="1" applyFill="1" applyBorder="1" applyAlignment="1" applyProtection="1">
      <alignment horizontal="left" vertical="center" indent="1"/>
      <protection/>
    </xf>
    <xf numFmtId="0" fontId="21" fillId="0" borderId="21" xfId="59" applyFont="1" applyFill="1" applyBorder="1" applyAlignment="1" applyProtection="1">
      <alignment horizontal="left" vertical="center" wrapText="1" indent="1"/>
      <protection/>
    </xf>
    <xf numFmtId="169" fontId="43" fillId="0" borderId="21" xfId="59" applyNumberFormat="1" applyFont="1" applyFill="1" applyBorder="1" applyAlignment="1" applyProtection="1">
      <alignment vertical="center"/>
      <protection locked="0"/>
    </xf>
    <xf numFmtId="169" fontId="21" fillId="0" borderId="22" xfId="59" applyNumberFormat="1" applyFont="1" applyFill="1" applyBorder="1" applyAlignment="1" applyProtection="1">
      <alignment vertical="center"/>
      <protection/>
    </xf>
    <xf numFmtId="0" fontId="4" fillId="0" borderId="0" xfId="59" applyFill="1" applyAlignment="1" applyProtection="1">
      <alignment vertical="center"/>
      <protection locked="0"/>
    </xf>
    <xf numFmtId="0" fontId="21" fillId="0" borderId="18" xfId="59" applyFont="1" applyFill="1" applyBorder="1" applyAlignment="1" applyProtection="1">
      <alignment horizontal="left" vertical="center" wrapText="1" indent="1"/>
      <protection/>
    </xf>
    <xf numFmtId="169" fontId="43" fillId="0" borderId="18" xfId="59" applyNumberFormat="1" applyFont="1" applyFill="1" applyBorder="1" applyAlignment="1" applyProtection="1">
      <alignment vertical="center"/>
      <protection locked="0"/>
    </xf>
    <xf numFmtId="169" fontId="21" fillId="0" borderId="19" xfId="59" applyNumberFormat="1" applyFont="1" applyFill="1" applyBorder="1" applyAlignment="1" applyProtection="1">
      <alignment vertical="center"/>
      <protection/>
    </xf>
    <xf numFmtId="0" fontId="21" fillId="0" borderId="21" xfId="59" applyFont="1" applyFill="1" applyBorder="1" applyAlignment="1" applyProtection="1">
      <alignment horizontal="left" vertical="center" indent="1"/>
      <protection/>
    </xf>
    <xf numFmtId="0" fontId="20" fillId="0" borderId="12" xfId="59" applyFont="1" applyFill="1" applyBorder="1" applyAlignment="1" applyProtection="1">
      <alignment horizontal="left" vertical="center" indent="1"/>
      <protection/>
    </xf>
    <xf numFmtId="169" fontId="44" fillId="0" borderId="12" xfId="59" applyNumberFormat="1" applyFont="1" applyFill="1" applyBorder="1" applyAlignment="1" applyProtection="1">
      <alignment vertical="center"/>
      <protection/>
    </xf>
    <xf numFmtId="169" fontId="22" fillId="0" borderId="13" xfId="59" applyNumberFormat="1" applyFont="1" applyFill="1" applyBorder="1" applyAlignment="1" applyProtection="1">
      <alignment vertical="center"/>
      <protection/>
    </xf>
    <xf numFmtId="0" fontId="21" fillId="0" borderId="17" xfId="59" applyFont="1" applyFill="1" applyBorder="1" applyAlignment="1" applyProtection="1">
      <alignment horizontal="left" vertical="center" indent="1"/>
      <protection/>
    </xf>
    <xf numFmtId="0" fontId="21" fillId="0" borderId="18" xfId="59" applyFont="1" applyFill="1" applyBorder="1" applyAlignment="1" applyProtection="1">
      <alignment horizontal="left" vertical="center" indent="1"/>
      <protection/>
    </xf>
    <xf numFmtId="0" fontId="22" fillId="0" borderId="11" xfId="59" applyFont="1" applyFill="1" applyBorder="1" applyAlignment="1" applyProtection="1">
      <alignment horizontal="left" vertical="center" indent="1"/>
      <protection/>
    </xf>
    <xf numFmtId="0" fontId="20" fillId="0" borderId="12" xfId="59" applyFont="1" applyFill="1" applyBorder="1" applyAlignment="1" applyProtection="1">
      <alignment horizontal="left" indent="1"/>
      <protection/>
    </xf>
    <xf numFmtId="169" fontId="44" fillId="0" borderId="12" xfId="59" applyNumberFormat="1" applyFont="1" applyFill="1" applyBorder="1" applyProtection="1">
      <alignment/>
      <protection/>
    </xf>
    <xf numFmtId="169" fontId="22" fillId="0" borderId="13" xfId="59" applyNumberFormat="1" applyFont="1" applyFill="1" applyBorder="1" applyProtection="1">
      <alignment/>
      <protection/>
    </xf>
    <xf numFmtId="0" fontId="0" fillId="0" borderId="0" xfId="59" applyFont="1" applyFill="1" applyProtection="1">
      <alignment/>
      <protection/>
    </xf>
    <xf numFmtId="0" fontId="14" fillId="0" borderId="0" xfId="59" applyFont="1" applyFill="1" applyProtection="1">
      <alignment/>
      <protection locked="0"/>
    </xf>
    <xf numFmtId="0" fontId="12" fillId="0" borderId="0" xfId="59" applyFont="1" applyFill="1" applyProtection="1">
      <alignment/>
      <protection locked="0"/>
    </xf>
    <xf numFmtId="0" fontId="0" fillId="0" borderId="0" xfId="0" applyFill="1" applyAlignment="1">
      <alignment horizontal="left"/>
    </xf>
    <xf numFmtId="0" fontId="42" fillId="0" borderId="0" xfId="0" applyFont="1" applyFill="1" applyBorder="1" applyAlignment="1" applyProtection="1">
      <alignment horizontal="center" vertical="center"/>
      <protection/>
    </xf>
    <xf numFmtId="0" fontId="45" fillId="0" borderId="0" xfId="0" applyFont="1" applyFill="1" applyBorder="1" applyAlignment="1" applyProtection="1">
      <alignment horizontal="right"/>
      <protection/>
    </xf>
    <xf numFmtId="0" fontId="18" fillId="0" borderId="41" xfId="0" applyFont="1" applyFill="1" applyBorder="1" applyAlignment="1">
      <alignment horizontal="center" vertical="center" wrapText="1"/>
    </xf>
    <xf numFmtId="0" fontId="37" fillId="0" borderId="14" xfId="0" applyFont="1" applyFill="1" applyBorder="1" applyAlignment="1" applyProtection="1">
      <alignment horizontal="center" vertical="center" wrapText="1"/>
      <protection/>
    </xf>
    <xf numFmtId="0" fontId="37" fillId="0" borderId="16" xfId="0" applyFont="1" applyFill="1" applyBorder="1" applyAlignment="1" applyProtection="1">
      <alignment horizontal="center" vertical="center" wrapText="1"/>
      <protection/>
    </xf>
    <xf numFmtId="0" fontId="22" fillId="0" borderId="41" xfId="0" applyFont="1" applyFill="1" applyBorder="1" applyAlignment="1">
      <alignment horizontal="center" vertical="center"/>
    </xf>
    <xf numFmtId="0" fontId="24" fillId="0" borderId="11" xfId="0" applyFont="1" applyFill="1" applyBorder="1" applyAlignment="1" applyProtection="1">
      <alignment horizontal="center" vertical="center" wrapText="1"/>
      <protection/>
    </xf>
    <xf numFmtId="0" fontId="24" fillId="0" borderId="13" xfId="0" applyFont="1" applyFill="1" applyBorder="1" applyAlignment="1" applyProtection="1">
      <alignment horizontal="center" vertical="center" wrapText="1"/>
      <protection/>
    </xf>
    <xf numFmtId="0" fontId="35" fillId="0" borderId="0" xfId="0" applyFont="1" applyFill="1" applyAlignment="1">
      <alignment vertical="center"/>
    </xf>
    <xf numFmtId="0" fontId="0" fillId="35" borderId="67" xfId="0" applyFont="1" applyFill="1" applyBorder="1" applyAlignment="1">
      <alignment/>
    </xf>
    <xf numFmtId="0" fontId="23" fillId="35" borderId="68" xfId="0" applyFont="1" applyFill="1" applyBorder="1" applyAlignment="1" applyProtection="1">
      <alignment horizontal="left" vertical="center" wrapText="1"/>
      <protection locked="0"/>
    </xf>
    <xf numFmtId="169" fontId="23" fillId="0" borderId="69" xfId="0" applyNumberFormat="1" applyFont="1" applyFill="1" applyBorder="1" applyAlignment="1" applyProtection="1">
      <alignment horizontal="right" vertical="center" wrapText="1"/>
      <protection locked="0"/>
    </xf>
    <xf numFmtId="0" fontId="0" fillId="35" borderId="70" xfId="0" applyFont="1" applyFill="1" applyBorder="1" applyAlignment="1">
      <alignment/>
    </xf>
    <xf numFmtId="0" fontId="23" fillId="35" borderId="71" xfId="0" applyFont="1" applyFill="1" applyBorder="1" applyAlignment="1" applyProtection="1">
      <alignment horizontal="left" vertical="center" wrapText="1"/>
      <protection locked="0"/>
    </xf>
    <xf numFmtId="0" fontId="21" fillId="35" borderId="0" xfId="0" applyFont="1" applyFill="1" applyAlignment="1" applyProtection="1">
      <alignment/>
      <protection locked="0"/>
    </xf>
    <xf numFmtId="0" fontId="23" fillId="35" borderId="72" xfId="0" applyFont="1" applyFill="1" applyBorder="1" applyAlignment="1" applyProtection="1">
      <alignment horizontal="left" vertical="center" wrapText="1"/>
      <protection locked="0"/>
    </xf>
    <xf numFmtId="0" fontId="23" fillId="35" borderId="26" xfId="0" applyFont="1" applyFill="1" applyBorder="1" applyAlignment="1" applyProtection="1">
      <alignment horizontal="left" vertical="center" wrapText="1"/>
      <protection locked="0"/>
    </xf>
    <xf numFmtId="0" fontId="0" fillId="35" borderId="73" xfId="0" applyFont="1" applyFill="1" applyBorder="1" applyAlignment="1">
      <alignment/>
    </xf>
    <xf numFmtId="0" fontId="0" fillId="35" borderId="74" xfId="0" applyFont="1" applyFill="1" applyBorder="1" applyAlignment="1">
      <alignment/>
    </xf>
    <xf numFmtId="0" fontId="0" fillId="35" borderId="41" xfId="0" applyFill="1" applyBorder="1" applyAlignment="1" applyProtection="1">
      <alignment vertical="center"/>
      <protection/>
    </xf>
    <xf numFmtId="0" fontId="37" fillId="35" borderId="11" xfId="0" applyFont="1" applyFill="1" applyBorder="1" applyAlignment="1" applyProtection="1">
      <alignment vertical="center" wrapText="1"/>
      <protection/>
    </xf>
    <xf numFmtId="169" fontId="24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35" borderId="0" xfId="0" applyFill="1" applyAlignment="1">
      <alignment/>
    </xf>
    <xf numFmtId="0" fontId="30" fillId="0" borderId="0" xfId="0" applyFont="1" applyAlignment="1">
      <alignment/>
    </xf>
    <xf numFmtId="0" fontId="13" fillId="0" borderId="0" xfId="0" applyFont="1" applyAlignment="1">
      <alignment horizontal="right"/>
    </xf>
    <xf numFmtId="0" fontId="12" fillId="0" borderId="0" xfId="0" applyFont="1" applyAlignment="1">
      <alignment horizontal="center" wrapText="1"/>
    </xf>
    <xf numFmtId="0" fontId="0" fillId="0" borderId="0" xfId="0" applyAlignment="1" applyProtection="1">
      <alignment/>
      <protection/>
    </xf>
    <xf numFmtId="0" fontId="18" fillId="0" borderId="14" xfId="0" applyFont="1" applyBorder="1" applyAlignment="1" applyProtection="1">
      <alignment horizontal="center" vertical="center" wrapText="1"/>
      <protection/>
    </xf>
    <xf numFmtId="0" fontId="18" fillId="0" borderId="15" xfId="0" applyFont="1" applyBorder="1" applyAlignment="1" applyProtection="1">
      <alignment horizontal="center" vertical="center"/>
      <protection/>
    </xf>
    <xf numFmtId="0" fontId="18" fillId="0" borderId="16" xfId="0" applyFont="1" applyBorder="1" applyAlignment="1" applyProtection="1">
      <alignment horizontal="center" vertical="center" wrapText="1"/>
      <protection/>
    </xf>
    <xf numFmtId="0" fontId="21" fillId="0" borderId="33" xfId="0" applyFont="1" applyBorder="1" applyAlignment="1" applyProtection="1">
      <alignment horizontal="right" vertical="center" indent="1"/>
      <protection/>
    </xf>
    <xf numFmtId="0" fontId="15" fillId="0" borderId="21" xfId="0" applyFont="1" applyBorder="1" applyAlignment="1" applyProtection="1">
      <alignment horizontal="left" vertical="center" indent="1"/>
      <protection locked="0"/>
    </xf>
    <xf numFmtId="0" fontId="15" fillId="0" borderId="21" xfId="0" applyFont="1" applyBorder="1" applyAlignment="1" applyProtection="1">
      <alignment/>
      <protection locked="0"/>
    </xf>
    <xf numFmtId="3" fontId="31" fillId="0" borderId="22" xfId="0" applyNumberFormat="1" applyFont="1" applyBorder="1" applyAlignment="1" applyProtection="1">
      <alignment horizontal="right" vertical="center" indent="1"/>
      <protection locked="0"/>
    </xf>
    <xf numFmtId="0" fontId="21" fillId="0" borderId="20" xfId="0" applyFont="1" applyBorder="1" applyAlignment="1" applyProtection="1">
      <alignment horizontal="right" vertical="center" indent="1"/>
      <protection/>
    </xf>
    <xf numFmtId="0" fontId="15" fillId="0" borderId="18" xfId="0" applyFont="1" applyBorder="1" applyAlignment="1" applyProtection="1">
      <alignment horizontal="left" vertical="center" indent="1"/>
      <protection locked="0"/>
    </xf>
    <xf numFmtId="0" fontId="15" fillId="0" borderId="18" xfId="0" applyFont="1" applyBorder="1" applyAlignment="1" applyProtection="1">
      <alignment/>
      <protection locked="0"/>
    </xf>
    <xf numFmtId="0" fontId="15" fillId="0" borderId="21" xfId="0" applyFont="1" applyBorder="1" applyAlignment="1" applyProtection="1">
      <alignment wrapText="1"/>
      <protection locked="0"/>
    </xf>
    <xf numFmtId="0" fontId="21" fillId="0" borderId="21" xfId="0" applyFont="1" applyBorder="1" applyAlignment="1" applyProtection="1">
      <alignment horizontal="left" vertical="center" indent="1"/>
      <protection locked="0"/>
    </xf>
    <xf numFmtId="0" fontId="15" fillId="0" borderId="21" xfId="0" applyFont="1" applyBorder="1" applyAlignment="1" applyProtection="1">
      <alignment vertical="center"/>
      <protection locked="0"/>
    </xf>
    <xf numFmtId="3" fontId="31" fillId="0" borderId="22" xfId="0" applyNumberFormat="1" applyFont="1" applyFill="1" applyBorder="1" applyAlignment="1" applyProtection="1">
      <alignment horizontal="right" vertical="center" indent="1"/>
      <protection locked="0"/>
    </xf>
    <xf numFmtId="0" fontId="21" fillId="0" borderId="23" xfId="0" applyFont="1" applyBorder="1" applyAlignment="1" applyProtection="1">
      <alignment horizontal="right" vertical="center" indent="1"/>
      <protection/>
    </xf>
    <xf numFmtId="0" fontId="21" fillId="0" borderId="24" xfId="0" applyFont="1" applyBorder="1" applyAlignment="1" applyProtection="1">
      <alignment horizontal="left" vertical="center" indent="1"/>
      <protection locked="0"/>
    </xf>
    <xf numFmtId="3" fontId="31" fillId="0" borderId="25" xfId="0" applyNumberFormat="1" applyFont="1" applyFill="1" applyBorder="1" applyAlignment="1" applyProtection="1">
      <alignment horizontal="right" vertical="center" indent="1"/>
      <protection locked="0"/>
    </xf>
    <xf numFmtId="169" fontId="0" fillId="37" borderId="41" xfId="0" applyNumberFormat="1" applyFont="1" applyFill="1" applyBorder="1" applyAlignment="1" applyProtection="1">
      <alignment horizontal="left" vertical="center" wrapText="1" indent="2"/>
      <protection/>
    </xf>
    <xf numFmtId="3" fontId="32" fillId="0" borderId="13" xfId="0" applyNumberFormat="1" applyFont="1" applyFill="1" applyBorder="1" applyAlignment="1" applyProtection="1">
      <alignment horizontal="right" vertical="center" indent="1"/>
      <protection/>
    </xf>
    <xf numFmtId="0" fontId="30" fillId="0" borderId="0" xfId="58" applyFont="1" applyFill="1" applyAlignment="1" applyProtection="1">
      <alignment vertical="center"/>
      <protection/>
    </xf>
    <xf numFmtId="0" fontId="20" fillId="0" borderId="57" xfId="58" applyFont="1" applyFill="1" applyBorder="1" applyAlignment="1" applyProtection="1">
      <alignment horizontal="center" vertical="center" wrapText="1"/>
      <protection/>
    </xf>
    <xf numFmtId="0" fontId="21" fillId="0" borderId="60" xfId="58" applyFont="1" applyFill="1" applyBorder="1" applyAlignment="1" applyProtection="1">
      <alignment horizontal="right" vertical="center" wrapText="1" indent="1"/>
      <protection/>
    </xf>
    <xf numFmtId="169" fontId="21" fillId="0" borderId="60" xfId="58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58" applyFont="1" applyFill="1" applyBorder="1" applyProtection="1">
      <alignment/>
      <protection/>
    </xf>
    <xf numFmtId="0" fontId="22" fillId="0" borderId="15" xfId="58" applyFont="1" applyFill="1" applyBorder="1" applyAlignment="1" applyProtection="1">
      <alignment horizontal="center" vertical="center" wrapText="1"/>
      <protection/>
    </xf>
    <xf numFmtId="0" fontId="22" fillId="0" borderId="61" xfId="58" applyFont="1" applyFill="1" applyBorder="1" applyAlignment="1" applyProtection="1">
      <alignment horizontal="center" vertical="center" wrapText="1"/>
      <protection/>
    </xf>
    <xf numFmtId="169" fontId="37" fillId="0" borderId="12" xfId="0" applyNumberFormat="1" applyFont="1" applyBorder="1" applyAlignment="1" applyProtection="1">
      <alignment horizontal="right" vertical="center" wrapText="1" indent="1"/>
      <protection locked="0"/>
    </xf>
    <xf numFmtId="169" fontId="37" fillId="0" borderId="40" xfId="0" applyNumberFormat="1" applyFont="1" applyBorder="1" applyAlignment="1" applyProtection="1">
      <alignment horizontal="right" vertical="center" wrapText="1" indent="1"/>
      <protection locked="0"/>
    </xf>
    <xf numFmtId="169" fontId="41" fillId="0" borderId="0" xfId="58" applyNumberFormat="1" applyFont="1" applyFill="1" applyProtection="1">
      <alignment/>
      <protection/>
    </xf>
    <xf numFmtId="0" fontId="12" fillId="0" borderId="0" xfId="59" applyFont="1" applyBorder="1" applyAlignment="1" applyProtection="1">
      <alignment horizontal="center" wrapText="1"/>
      <protection locked="0"/>
    </xf>
    <xf numFmtId="0" fontId="12" fillId="0" borderId="0" xfId="59" applyFont="1" applyAlignment="1" applyProtection="1">
      <alignment horizontal="center" wrapText="1"/>
      <protection locked="0"/>
    </xf>
    <xf numFmtId="0" fontId="4" fillId="0" borderId="0" xfId="59">
      <alignment/>
      <protection/>
    </xf>
    <xf numFmtId="0" fontId="4" fillId="0" borderId="0" xfId="59" applyProtection="1">
      <alignment/>
      <protection locked="0"/>
    </xf>
    <xf numFmtId="0" fontId="34" fillId="0" borderId="0" xfId="0" applyFont="1" applyAlignment="1">
      <alignment horizontal="right"/>
    </xf>
    <xf numFmtId="0" fontId="20" fillId="0" borderId="14" xfId="59" applyFont="1" applyBorder="1" applyAlignment="1">
      <alignment horizontal="center" vertical="center" wrapText="1"/>
      <protection/>
    </xf>
    <xf numFmtId="0" fontId="20" fillId="0" borderId="15" xfId="59" applyFont="1" applyBorder="1" applyAlignment="1">
      <alignment horizontal="center" vertical="center"/>
      <protection/>
    </xf>
    <xf numFmtId="0" fontId="20" fillId="0" borderId="16" xfId="59" applyFont="1" applyBorder="1" applyAlignment="1">
      <alignment horizontal="center" vertical="center"/>
      <protection/>
    </xf>
    <xf numFmtId="0" fontId="21" fillId="0" borderId="11" xfId="59" applyFont="1" applyBorder="1" applyAlignment="1">
      <alignment horizontal="left" vertical="center" indent="1"/>
      <protection/>
    </xf>
    <xf numFmtId="0" fontId="21" fillId="0" borderId="26" xfId="59" applyFont="1" applyBorder="1" applyAlignment="1">
      <alignment horizontal="left" vertical="center" indent="1"/>
      <protection/>
    </xf>
    <xf numFmtId="0" fontId="21" fillId="0" borderId="27" xfId="59" applyFont="1" applyBorder="1" applyAlignment="1">
      <alignment horizontal="left" vertical="center" wrapText="1" indent="1"/>
      <protection/>
    </xf>
    <xf numFmtId="169" fontId="43" fillId="0" borderId="27" xfId="59" applyNumberFormat="1" applyFont="1" applyBorder="1" applyAlignment="1" applyProtection="1">
      <alignment vertical="center"/>
      <protection locked="0"/>
    </xf>
    <xf numFmtId="169" fontId="43" fillId="0" borderId="27" xfId="59" applyNumberFormat="1" applyFont="1" applyBorder="1" applyAlignment="1">
      <alignment vertical="center"/>
      <protection/>
    </xf>
    <xf numFmtId="169" fontId="21" fillId="0" borderId="47" xfId="59" applyNumberFormat="1" applyFont="1" applyBorder="1" applyAlignment="1">
      <alignment horizontal="center" vertical="center"/>
      <protection/>
    </xf>
    <xf numFmtId="0" fontId="21" fillId="0" borderId="20" xfId="59" applyFont="1" applyBorder="1" applyAlignment="1">
      <alignment horizontal="left" vertical="center" indent="1"/>
      <protection/>
    </xf>
    <xf numFmtId="0" fontId="21" fillId="0" borderId="21" xfId="59" applyFont="1" applyBorder="1" applyAlignment="1">
      <alignment horizontal="left" vertical="center" wrapText="1" indent="1"/>
      <protection/>
    </xf>
    <xf numFmtId="169" fontId="43" fillId="0" borderId="21" xfId="59" applyNumberFormat="1" applyFont="1" applyBorder="1" applyAlignment="1" applyProtection="1">
      <alignment vertical="center"/>
      <protection locked="0"/>
    </xf>
    <xf numFmtId="169" fontId="21" fillId="0" borderId="22" xfId="59" applyNumberFormat="1" applyFont="1" applyBorder="1" applyAlignment="1">
      <alignment vertical="center"/>
      <protection/>
    </xf>
    <xf numFmtId="0" fontId="21" fillId="0" borderId="18" xfId="59" applyFont="1" applyBorder="1" applyAlignment="1">
      <alignment horizontal="left" vertical="center" wrapText="1" indent="1"/>
      <protection/>
    </xf>
    <xf numFmtId="169" fontId="43" fillId="0" borderId="18" xfId="59" applyNumberFormat="1" applyFont="1" applyBorder="1" applyAlignment="1" applyProtection="1">
      <alignment vertical="center"/>
      <protection locked="0"/>
    </xf>
    <xf numFmtId="0" fontId="21" fillId="0" borderId="21" xfId="59" applyFont="1" applyBorder="1" applyAlignment="1">
      <alignment horizontal="left" vertical="center" indent="1"/>
      <protection/>
    </xf>
    <xf numFmtId="0" fontId="20" fillId="0" borderId="12" xfId="59" applyFont="1" applyBorder="1" applyAlignment="1">
      <alignment horizontal="left" vertical="center" indent="1"/>
      <protection/>
    </xf>
    <xf numFmtId="169" fontId="44" fillId="0" borderId="12" xfId="59" applyNumberFormat="1" applyFont="1" applyBorder="1" applyAlignment="1">
      <alignment vertical="center"/>
      <protection/>
    </xf>
    <xf numFmtId="169" fontId="22" fillId="0" borderId="13" xfId="59" applyNumberFormat="1" applyFont="1" applyBorder="1" applyAlignment="1">
      <alignment horizontal="right" vertical="center"/>
      <protection/>
    </xf>
    <xf numFmtId="0" fontId="21" fillId="0" borderId="17" xfId="59" applyFont="1" applyBorder="1" applyAlignment="1">
      <alignment horizontal="left" vertical="center" indent="1"/>
      <protection/>
    </xf>
    <xf numFmtId="0" fontId="21" fillId="0" borderId="18" xfId="59" applyFont="1" applyBorder="1" applyAlignment="1">
      <alignment horizontal="left" vertical="center" indent="1"/>
      <protection/>
    </xf>
    <xf numFmtId="169" fontId="21" fillId="0" borderId="19" xfId="59" applyNumberFormat="1" applyFont="1" applyBorder="1" applyAlignment="1">
      <alignment vertical="center"/>
      <protection/>
    </xf>
    <xf numFmtId="0" fontId="22" fillId="0" borderId="11" xfId="59" applyFont="1" applyBorder="1" applyAlignment="1">
      <alignment horizontal="left" vertical="center" indent="1"/>
      <protection/>
    </xf>
    <xf numFmtId="169" fontId="22" fillId="0" borderId="13" xfId="59" applyNumberFormat="1" applyFont="1" applyBorder="1" applyAlignment="1">
      <alignment vertical="center"/>
      <protection/>
    </xf>
    <xf numFmtId="0" fontId="20" fillId="0" borderId="12" xfId="59" applyFont="1" applyBorder="1" applyAlignment="1">
      <alignment horizontal="left" indent="1"/>
      <protection/>
    </xf>
    <xf numFmtId="169" fontId="44" fillId="0" borderId="12" xfId="59" applyNumberFormat="1" applyFont="1" applyBorder="1">
      <alignment/>
      <protection/>
    </xf>
    <xf numFmtId="169" fontId="22" fillId="0" borderId="13" xfId="59" applyNumberFormat="1" applyFont="1" applyBorder="1" applyAlignment="1">
      <alignment horizontal="center"/>
      <protection/>
    </xf>
    <xf numFmtId="0" fontId="9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14" fillId="34" borderId="0" xfId="0" applyFont="1" applyFill="1" applyBorder="1" applyAlignment="1" applyProtection="1">
      <alignment horizontal="center"/>
      <protection locked="0"/>
    </xf>
    <xf numFmtId="0" fontId="11" fillId="0" borderId="0" xfId="0" applyFont="1" applyBorder="1" applyAlignment="1">
      <alignment horizontal="center"/>
    </xf>
    <xf numFmtId="0" fontId="12" fillId="34" borderId="0" xfId="0" applyFont="1" applyFill="1" applyBorder="1" applyAlignment="1" applyProtection="1">
      <alignment horizontal="center"/>
      <protection locked="0"/>
    </xf>
    <xf numFmtId="169" fontId="19" fillId="0" borderId="10" xfId="58" applyNumberFormat="1" applyFont="1" applyFill="1" applyBorder="1" applyAlignment="1" applyProtection="1">
      <alignment horizontal="left" vertical="center"/>
      <protection/>
    </xf>
    <xf numFmtId="0" fontId="13" fillId="0" borderId="0" xfId="58" applyFont="1" applyFill="1" applyBorder="1" applyAlignment="1" applyProtection="1">
      <alignment horizontal="right"/>
      <protection locked="0"/>
    </xf>
    <xf numFmtId="169" fontId="12" fillId="0" borderId="0" xfId="58" applyNumberFormat="1" applyFont="1" applyFill="1" applyBorder="1" applyAlignment="1" applyProtection="1">
      <alignment horizontal="center" vertical="center"/>
      <protection locked="0"/>
    </xf>
    <xf numFmtId="169" fontId="19" fillId="0" borderId="10" xfId="58" applyNumberFormat="1" applyFont="1" applyFill="1" applyBorder="1" applyAlignment="1" applyProtection="1">
      <alignment horizontal="left" vertical="center"/>
      <protection locked="0"/>
    </xf>
    <xf numFmtId="169" fontId="12" fillId="0" borderId="0" xfId="58" applyNumberFormat="1" applyFont="1" applyFill="1" applyBorder="1" applyAlignment="1" applyProtection="1">
      <alignment horizontal="center" vertical="center"/>
      <protection/>
    </xf>
    <xf numFmtId="169" fontId="19" fillId="0" borderId="10" xfId="58" applyNumberFormat="1" applyFont="1" applyFill="1" applyBorder="1" applyAlignment="1" applyProtection="1">
      <alignment horizontal="left"/>
      <protection/>
    </xf>
    <xf numFmtId="0" fontId="22" fillId="0" borderId="0" xfId="58" applyFont="1" applyFill="1" applyBorder="1" applyAlignment="1" applyProtection="1">
      <alignment horizontal="center"/>
      <protection/>
    </xf>
    <xf numFmtId="169" fontId="28" fillId="0" borderId="60" xfId="0" applyNumberFormat="1" applyFont="1" applyFill="1" applyBorder="1" applyAlignment="1" applyProtection="1">
      <alignment horizontal="center" vertical="center" wrapText="1"/>
      <protection/>
    </xf>
    <xf numFmtId="169" fontId="12" fillId="0" borderId="0" xfId="0" applyNumberFormat="1" applyFont="1" applyFill="1" applyBorder="1" applyAlignment="1" applyProtection="1">
      <alignment horizontal="center" vertical="center" wrapText="1"/>
      <protection/>
    </xf>
    <xf numFmtId="169" fontId="13" fillId="0" borderId="0" xfId="0" applyNumberFormat="1" applyFont="1" applyFill="1" applyBorder="1" applyAlignment="1" applyProtection="1">
      <alignment horizontal="center" textRotation="180" wrapText="1"/>
      <protection/>
    </xf>
    <xf numFmtId="169" fontId="20" fillId="0" borderId="41" xfId="0" applyNumberFormat="1" applyFont="1" applyFill="1" applyBorder="1" applyAlignment="1" applyProtection="1">
      <alignment horizontal="center" vertical="center" wrapText="1"/>
      <protection/>
    </xf>
    <xf numFmtId="169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58" applyFont="1" applyFill="1" applyBorder="1" applyAlignment="1">
      <alignment horizontal="center" vertical="center" wrapText="1"/>
      <protection/>
    </xf>
    <xf numFmtId="0" fontId="18" fillId="0" borderId="15" xfId="58" applyFont="1" applyFill="1" applyBorder="1" applyAlignment="1">
      <alignment horizontal="center" vertical="center" wrapText="1"/>
      <protection/>
    </xf>
    <xf numFmtId="0" fontId="18" fillId="0" borderId="34" xfId="58" applyFont="1" applyFill="1" applyBorder="1" applyAlignment="1">
      <alignment horizontal="center" vertical="center" wrapText="1"/>
      <protection/>
    </xf>
    <xf numFmtId="0" fontId="18" fillId="0" borderId="16" xfId="58" applyFont="1" applyFill="1" applyBorder="1" applyAlignment="1">
      <alignment horizontal="center" vertical="center" wrapText="1"/>
      <protection/>
    </xf>
    <xf numFmtId="169" fontId="14" fillId="0" borderId="0" xfId="58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Fill="1" applyBorder="1" applyAlignment="1" applyProtection="1">
      <alignment horizontal="right"/>
      <protection locked="0"/>
    </xf>
    <xf numFmtId="0" fontId="19" fillId="0" borderId="0" xfId="0" applyFont="1" applyFill="1" applyBorder="1" applyAlignment="1" applyProtection="1">
      <alignment horizontal="right"/>
      <protection locked="0"/>
    </xf>
    <xf numFmtId="169" fontId="12" fillId="0" borderId="0" xfId="58" applyNumberFormat="1" applyFont="1" applyFill="1" applyBorder="1" applyAlignment="1" applyProtection="1">
      <alignment horizontal="center" vertical="center" wrapText="1"/>
      <protection locked="0"/>
    </xf>
    <xf numFmtId="0" fontId="20" fillId="0" borderId="11" xfId="58" applyFont="1" applyFill="1" applyBorder="1" applyAlignment="1" applyProtection="1">
      <alignment horizontal="left"/>
      <protection/>
    </xf>
    <xf numFmtId="0" fontId="21" fillId="0" borderId="60" xfId="58" applyFont="1" applyFill="1" applyBorder="1" applyAlignment="1">
      <alignment horizontal="justify" vertical="center" wrapText="1"/>
      <protection/>
    </xf>
    <xf numFmtId="169" fontId="13" fillId="0" borderId="0" xfId="0" applyNumberFormat="1" applyFont="1" applyFill="1" applyBorder="1" applyAlignment="1" applyProtection="1">
      <alignment horizontal="right" vertical="center" wrapText="1"/>
      <protection locked="0"/>
    </xf>
    <xf numFmtId="169" fontId="1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1" xfId="0" applyFont="1" applyFill="1" applyBorder="1" applyAlignment="1" applyProtection="1">
      <alignment horizontal="left" indent="1"/>
      <protection/>
    </xf>
    <xf numFmtId="0" fontId="22" fillId="0" borderId="13" xfId="0" applyFont="1" applyFill="1" applyBorder="1" applyAlignment="1" applyProtection="1">
      <alignment horizontal="right" indent="1"/>
      <protection/>
    </xf>
    <xf numFmtId="0" fontId="20" fillId="0" borderId="14" xfId="0" applyFont="1" applyFill="1" applyBorder="1" applyAlignment="1" applyProtection="1">
      <alignment horizontal="center"/>
      <protection/>
    </xf>
    <xf numFmtId="0" fontId="20" fillId="0" borderId="16" xfId="0" applyFont="1" applyFill="1" applyBorder="1" applyAlignment="1" applyProtection="1">
      <alignment horizontal="center"/>
      <protection/>
    </xf>
    <xf numFmtId="0" fontId="21" fillId="0" borderId="33" xfId="0" applyFont="1" applyFill="1" applyBorder="1" applyAlignment="1" applyProtection="1">
      <alignment horizontal="left" indent="1"/>
      <protection locked="0"/>
    </xf>
    <xf numFmtId="0" fontId="21" fillId="0" borderId="35" xfId="0" applyFont="1" applyFill="1" applyBorder="1" applyAlignment="1" applyProtection="1">
      <alignment horizontal="right" indent="1"/>
      <protection locked="0"/>
    </xf>
    <xf numFmtId="0" fontId="21" fillId="0" borderId="23" xfId="0" applyFont="1" applyFill="1" applyBorder="1" applyAlignment="1" applyProtection="1">
      <alignment horizontal="left" indent="1"/>
      <protection locked="0"/>
    </xf>
    <xf numFmtId="0" fontId="21" fillId="0" borderId="25" xfId="0" applyFont="1" applyFill="1" applyBorder="1" applyAlignment="1" applyProtection="1">
      <alignment horizontal="right" indent="1"/>
      <protection locked="0"/>
    </xf>
    <xf numFmtId="0" fontId="34" fillId="0" borderId="0" xfId="0" applyFont="1" applyFill="1" applyBorder="1" applyAlignment="1" applyProtection="1">
      <alignment horizontal="right"/>
      <protection/>
    </xf>
    <xf numFmtId="0" fontId="18" fillId="35" borderId="0" xfId="0" applyFont="1" applyFill="1" applyBorder="1" applyAlignment="1" applyProtection="1">
      <alignment horizontal="center" wrapText="1"/>
      <protection locked="0"/>
    </xf>
    <xf numFmtId="0" fontId="14" fillId="0" borderId="0" xfId="0" applyNumberFormat="1" applyFont="1" applyFill="1" applyBorder="1" applyAlignment="1" applyProtection="1">
      <alignment horizontal="left" vertical="center"/>
      <protection locked="0"/>
    </xf>
    <xf numFmtId="0" fontId="34" fillId="0" borderId="0" xfId="0" applyFont="1" applyFill="1" applyBorder="1" applyAlignment="1" applyProtection="1">
      <alignment horizontal="right"/>
      <protection locked="0"/>
    </xf>
    <xf numFmtId="0" fontId="13" fillId="0" borderId="0" xfId="0" applyFont="1" applyFill="1" applyBorder="1" applyAlignment="1" applyProtection="1">
      <alignment horizontal="right"/>
      <protection locked="0"/>
    </xf>
    <xf numFmtId="0" fontId="12" fillId="0" borderId="0" xfId="0" applyFont="1" applyFill="1" applyBorder="1" applyAlignment="1" applyProtection="1">
      <alignment horizontal="center"/>
      <protection locked="0"/>
    </xf>
    <xf numFmtId="2" fontId="18" fillId="35" borderId="0" xfId="0" applyNumberFormat="1" applyFont="1" applyFill="1" applyBorder="1" applyAlignment="1" applyProtection="1">
      <alignment horizontal="center" wrapText="1"/>
      <protection locked="0"/>
    </xf>
    <xf numFmtId="0" fontId="13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 applyProtection="1">
      <alignment horizontal="left"/>
      <protection locked="0"/>
    </xf>
    <xf numFmtId="0" fontId="14" fillId="0" borderId="0" xfId="58" applyFont="1" applyFill="1" applyBorder="1" applyAlignment="1" applyProtection="1">
      <alignment horizontal="center"/>
      <protection locked="0"/>
    </xf>
    <xf numFmtId="169" fontId="13" fillId="0" borderId="0" xfId="0" applyNumberFormat="1" applyFont="1" applyFill="1" applyBorder="1" applyAlignment="1" applyProtection="1">
      <alignment horizontal="right" textRotation="180" wrapText="1"/>
      <protection/>
    </xf>
    <xf numFmtId="169" fontId="20" fillId="0" borderId="41" xfId="0" applyNumberFormat="1" applyFont="1" applyFill="1" applyBorder="1" applyAlignment="1" applyProtection="1">
      <alignment horizontal="center" vertical="center"/>
      <protection/>
    </xf>
    <xf numFmtId="169" fontId="20" fillId="0" borderId="75" xfId="0" applyNumberFormat="1" applyFont="1" applyFill="1" applyBorder="1" applyAlignment="1" applyProtection="1">
      <alignment horizontal="center" vertical="center"/>
      <protection/>
    </xf>
    <xf numFmtId="169" fontId="20" fillId="0" borderId="41" xfId="0" applyNumberFormat="1" applyFont="1" applyFill="1" applyBorder="1" applyAlignment="1" applyProtection="1">
      <alignment horizontal="left" vertical="center" wrapText="1" indent="2"/>
      <protection/>
    </xf>
    <xf numFmtId="0" fontId="42" fillId="0" borderId="0" xfId="0" applyFont="1" applyBorder="1" applyAlignment="1" applyProtection="1">
      <alignment horizontal="center" wrapText="1"/>
      <protection locked="0"/>
    </xf>
    <xf numFmtId="0" fontId="21" fillId="0" borderId="60" xfId="0" applyFont="1" applyFill="1" applyBorder="1" applyAlignment="1">
      <alignment horizontal="justify" vertical="center" wrapText="1"/>
    </xf>
    <xf numFmtId="0" fontId="12" fillId="0" borderId="0" xfId="59" applyFont="1" applyFill="1" applyBorder="1" applyAlignment="1" applyProtection="1">
      <alignment horizontal="center" wrapText="1"/>
      <protection/>
    </xf>
    <xf numFmtId="0" fontId="19" fillId="0" borderId="13" xfId="59" applyFont="1" applyFill="1" applyBorder="1" applyAlignment="1" applyProtection="1">
      <alignment horizontal="left" vertical="center" indent="1"/>
      <protection/>
    </xf>
    <xf numFmtId="0" fontId="42" fillId="0" borderId="0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>
      <alignment horizontal="center" textRotation="180"/>
    </xf>
    <xf numFmtId="0" fontId="35" fillId="35" borderId="60" xfId="0" applyFont="1" applyFill="1" applyBorder="1" applyAlignment="1">
      <alignment/>
    </xf>
    <xf numFmtId="0" fontId="12" fillId="0" borderId="0" xfId="0" applyFont="1" applyBorder="1" applyAlignment="1" applyProtection="1">
      <alignment horizontal="center" wrapText="1"/>
      <protection locked="0"/>
    </xf>
    <xf numFmtId="0" fontId="19" fillId="0" borderId="0" xfId="0" applyFont="1" applyBorder="1" applyAlignment="1" applyProtection="1">
      <alignment horizontal="right"/>
      <protection/>
    </xf>
    <xf numFmtId="0" fontId="20" fillId="0" borderId="11" xfId="0" applyFont="1" applyBorder="1" applyAlignment="1" applyProtection="1">
      <alignment horizontal="left" vertical="center" indent="2"/>
      <protection/>
    </xf>
    <xf numFmtId="0" fontId="14" fillId="0" borderId="0" xfId="58" applyFont="1" applyFill="1" applyBorder="1" applyAlignment="1" applyProtection="1">
      <alignment horizontal="center"/>
      <protection/>
    </xf>
    <xf numFmtId="0" fontId="12" fillId="0" borderId="0" xfId="59" applyFont="1" applyBorder="1" applyAlignment="1" applyProtection="1">
      <alignment horizontal="center" wrapText="1"/>
      <protection locked="0"/>
    </xf>
    <xf numFmtId="0" fontId="19" fillId="0" borderId="13" xfId="59" applyFont="1" applyBorder="1" applyAlignment="1">
      <alignment horizontal="left" vertical="center" indent="1"/>
      <protection/>
    </xf>
  </cellXfs>
  <cellStyles count="5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iperhivatkozás" xfId="44"/>
    <cellStyle name="Hyperlink" xfId="45"/>
    <cellStyle name="Hivatkozott cella" xfId="46"/>
    <cellStyle name="Jegyzet" xfId="47"/>
    <cellStyle name="Jelölőszín 1" xfId="48"/>
    <cellStyle name="Jelölőszín 2" xfId="49"/>
    <cellStyle name="Jelölőszín 3" xfId="50"/>
    <cellStyle name="Jelölőszín 4" xfId="51"/>
    <cellStyle name="Jelölőszín 5" xfId="52"/>
    <cellStyle name="Jelölőszín 6" xfId="53"/>
    <cellStyle name="Jó" xfId="54"/>
    <cellStyle name="Kimenet" xfId="55"/>
    <cellStyle name="Magyarázó szöveg" xfId="56"/>
    <cellStyle name="Már látott hiperhivatkozás" xfId="57"/>
    <cellStyle name="Normál_KVRENMUNKA" xfId="58"/>
    <cellStyle name="Normál_SEGEDLETEK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  <cellStyle name="Százalék 2" xfId="67"/>
  </cellStyles>
  <dxfs count="7"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10"/>
      </font>
    </dxf>
    <dxf>
      <font>
        <b val="0"/>
        <color rgb="FFFF0000"/>
      </font>
      <border/>
    </dxf>
    <dxf>
      <font>
        <b val="0"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C96"/>
  <sheetViews>
    <sheetView zoomScale="120" zoomScaleNormal="120" zoomScalePageLayoutView="0" workbookViewId="0" topLeftCell="A13">
      <selection activeCell="C24" sqref="C24"/>
    </sheetView>
  </sheetViews>
  <sheetFormatPr defaultColWidth="9.00390625" defaultRowHeight="12.75"/>
  <cols>
    <col min="1" max="1" width="35.375" style="0" customWidth="1"/>
    <col min="2" max="2" width="83.00390625" style="0" customWidth="1"/>
    <col min="3" max="3" width="34.50390625" style="0" customWidth="1"/>
  </cols>
  <sheetData>
    <row r="2" spans="1:3" ht="18.75" customHeight="1">
      <c r="A2" s="728" t="s">
        <v>0</v>
      </c>
      <c r="B2" s="728"/>
      <c r="C2" s="728"/>
    </row>
    <row r="3" spans="1:3" ht="15">
      <c r="A3" s="1"/>
      <c r="B3" s="2"/>
      <c r="C3" s="1"/>
    </row>
    <row r="4" spans="1:3" ht="14.25">
      <c r="A4" s="3" t="s">
        <v>1</v>
      </c>
      <c r="B4" s="4" t="s">
        <v>2</v>
      </c>
      <c r="C4" s="3" t="s">
        <v>3</v>
      </c>
    </row>
    <row r="5" spans="1:3" ht="12.75">
      <c r="A5" s="5"/>
      <c r="B5" s="5"/>
      <c r="C5" s="5"/>
    </row>
    <row r="6" spans="1:3" ht="18.75">
      <c r="A6" s="727" t="s">
        <v>4</v>
      </c>
      <c r="B6" s="727"/>
      <c r="C6" s="727"/>
    </row>
    <row r="7" spans="1:3" ht="12.75">
      <c r="A7" s="5" t="s">
        <v>5</v>
      </c>
      <c r="B7" s="5" t="s">
        <v>6</v>
      </c>
      <c r="C7" s="6" t="str">
        <f ca="1">HYPERLINK(SUBSTITUTE(CELL("address",ALAPADATOK!A1),"'",""),SUBSTITUTE(MID(CELL("address",ALAPADATOK!A1),SEARCH("]",CELL("address",ALAPADATOK!A1),1)+1,LEN(CELL("address",ALAPADATOK!A1))-SEARCH("]",CELL("address",ALAPADATOK!A1),1)),"'",""))</f>
        <v>ALAPADATOK!$A$1</v>
      </c>
    </row>
    <row r="8" spans="1:3" ht="12.75">
      <c r="A8" s="5" t="s">
        <v>7</v>
      </c>
      <c r="B8" s="5" t="s">
        <v>8</v>
      </c>
      <c r="C8" s="6" t="str">
        <f ca="1">HYPERLINK(SUBSTITUTE(CELL("address",KV_ÖSSZEFÜGGÉSEK!A1),"'",""),SUBSTITUTE(MID(CELL("address",KV_ÖSSZEFÜGGÉSEK!A1),SEARCH("]",CELL("address",KV_ÖSSZEFÜGGÉSEK!A1),1)+1,LEN(CELL("address",KV_ÖSSZEFÜGGÉSEK!A1))-SEARCH("]",CELL("address",KV_ÖSSZEFÜGGÉSEK!A1),1)),"'",""))</f>
        <v>KV_ÖSSZEFÜGGÉSEK!$A$1</v>
      </c>
    </row>
    <row r="9" spans="1:3" ht="12.75">
      <c r="A9" s="5" t="s">
        <v>9</v>
      </c>
      <c r="B9" s="5" t="s">
        <v>10</v>
      </c>
      <c r="C9" s="6" t="str">
        <f ca="1">HYPERLINK(SUBSTITUTE(CELL("address",'KV_1.1.sz.mell.'!A1),"'",""),SUBSTITUTE(MID(CELL("address",'KV_1.1.sz.mell.'!A1),SEARCH("]",CELL("address",'KV_1.1.sz.mell.'!A1),1)+1,LEN(CELL("address",'KV_1.1.sz.mell.'!A1))-SEARCH("]",CELL("address",'KV_1.1.sz.mell.'!A1),1)),"'",""))</f>
        <v>KV_1.1.sz.mell.!$A$1</v>
      </c>
    </row>
    <row r="10" spans="1:3" ht="12.75">
      <c r="A10" s="5" t="s">
        <v>11</v>
      </c>
      <c r="B10" s="5" t="s">
        <v>12</v>
      </c>
      <c r="C10" s="6" t="str">
        <f ca="1">HYPERLINK(SUBSTITUTE(CELL("address",'KV_1.2.sz.mell.'!A1),"'",""),SUBSTITUTE(MID(CELL("address",'KV_1.2.sz.mell.'!A1),SEARCH("]",CELL("address",'KV_1.2.sz.mell.'!A1),1)+1,LEN(CELL("address",'KV_1.2.sz.mell.'!A1))-SEARCH("]",CELL("address",'KV_1.2.sz.mell.'!A1),1)),"'",""))</f>
        <v>KV_1.2.sz.mell.!$A$1</v>
      </c>
    </row>
    <row r="11" spans="1:3" ht="12.75">
      <c r="A11" s="5" t="s">
        <v>13</v>
      </c>
      <c r="B11" s="5" t="s">
        <v>14</v>
      </c>
      <c r="C11" s="6" t="str">
        <f ca="1">HYPERLINK(SUBSTITUTE(CELL("address",'KV_1.3.sz.mell.'!A1),"'",""),SUBSTITUTE(MID(CELL("address",'KV_1.3.sz.mell.'!A1),SEARCH("]",CELL("address",'KV_1.3.sz.mell.'!A1),1)+1,LEN(CELL("address",'KV_1.3.sz.mell.'!A1))-SEARCH("]",CELL("address",'KV_1.3.sz.mell.'!A1),1)),"'",""))</f>
        <v>KV_1.3.sz.mell.!$A$1</v>
      </c>
    </row>
    <row r="12" spans="1:3" ht="12.75">
      <c r="A12" s="5" t="s">
        <v>15</v>
      </c>
      <c r="B12" s="5" t="s">
        <v>16</v>
      </c>
      <c r="C12" s="6" t="str">
        <f ca="1">HYPERLINK(SUBSTITUTE(CELL("address",'KV_1.4.sz.mell.'!A1),"'",""),SUBSTITUTE(MID(CELL("address",'KV_1.4.sz.mell.'!A1),SEARCH("]",CELL("address",'KV_1.4.sz.mell.'!A1),1)+1,LEN(CELL("address",'KV_1.4.sz.mell.'!A1))-SEARCH("]",CELL("address",'KV_1.4.sz.mell.'!A1),1)),"'",""))</f>
        <v>KV_1.4.sz.mell.!$A$1</v>
      </c>
    </row>
    <row r="13" spans="1:3" ht="12.75">
      <c r="A13" s="5" t="s">
        <v>17</v>
      </c>
      <c r="B13" s="5" t="s">
        <v>18</v>
      </c>
      <c r="C13" s="6" t="str">
        <f ca="1">HYPERLINK(SUBSTITUTE(CELL("address",'KV_2.1.sz.mell.'!A1),"'",""),SUBSTITUTE(MID(CELL("address",'KV_2.1.sz.mell.'!A1),SEARCH("]",CELL("address",'KV_2.1.sz.mell.'!A1),1)+1,LEN(CELL("address",'KV_2.1.sz.mell.'!A1))-SEARCH("]",CELL("address",'KV_2.1.sz.mell.'!A1),1)),"'",""))</f>
        <v>KV_2.1.sz.mell.!$A$1</v>
      </c>
    </row>
    <row r="14" spans="1:3" ht="12.75">
      <c r="A14" s="5" t="s">
        <v>19</v>
      </c>
      <c r="B14" s="5" t="s">
        <v>20</v>
      </c>
      <c r="C14" s="6" t="str">
        <f ca="1">HYPERLINK(SUBSTITUTE(CELL("address",'KV_2.2.sz.mell.'!A1),"'",""),SUBSTITUTE(MID(CELL("address",'KV_2.2.sz.mell.'!A1),SEARCH("]",CELL("address",'KV_2.2.sz.mell.'!A1),1)+1,LEN(CELL("address",'KV_2.2.sz.mell.'!A1))-SEARCH("]",CELL("address",'KV_2.2.sz.mell.'!A1),1)),"'",""))</f>
        <v>KV_2.2.sz.mell.!$A$1</v>
      </c>
    </row>
    <row r="15" spans="1:3" ht="12.75">
      <c r="A15" s="5" t="s">
        <v>21</v>
      </c>
      <c r="B15" s="5" t="s">
        <v>22</v>
      </c>
      <c r="C15" s="6" t="str">
        <f ca="1">HYPERLINK(SUBSTITUTE(CELL("address",KV_ELLENŐRZÉS!A1),"'",""),SUBSTITUTE(MID(CELL("address",KV_ELLENŐRZÉS!A1),SEARCH("]",CELL("address",KV_ELLENŐRZÉS!A1),1)+1,LEN(CELL("address",KV_ELLENŐRZÉS!A1))-SEARCH("]",CELL("address",KV_ELLENŐRZÉS!A1),1)),"'",""))</f>
        <v>KV_ELLENŐRZÉS!$A$1</v>
      </c>
    </row>
    <row r="16" spans="1:3" ht="12.75">
      <c r="A16" s="5" t="s">
        <v>23</v>
      </c>
      <c r="B16" s="5" t="s">
        <v>24</v>
      </c>
      <c r="C16" s="6" t="str">
        <f ca="1">HYPERLINK(SUBSTITUTE(CELL("address",'KV_3.sz.mell.'!A1),"'",""),SUBSTITUTE(MID(CELL("address",'KV_3.sz.mell.'!A1),SEARCH("]",CELL("address",'KV_3.sz.mell.'!A1),1)+1,LEN(CELL("address",'KV_3.sz.mell.'!A1))-SEARCH("]",CELL("address",'KV_3.sz.mell.'!A1),1)),"'",""))</f>
        <v>KV_3.sz.mell.!$A$1</v>
      </c>
    </row>
    <row r="17" spans="1:3" ht="12.75">
      <c r="A17" s="5" t="s">
        <v>25</v>
      </c>
      <c r="B17" s="5" t="s">
        <v>26</v>
      </c>
      <c r="C17" s="6" t="str">
        <f ca="1">HYPERLINK(SUBSTITUTE(CELL("address",'KV_4.sz.mell.'!A1),"'",""),SUBSTITUTE(MID(CELL("address",'KV_4.sz.mell.'!A1),SEARCH("]",CELL("address",'KV_4.sz.mell.'!A1),1)+1,LEN(CELL("address",'KV_4.sz.mell.'!A1))-SEARCH("]",CELL("address",'KV_4.sz.mell.'!A1),1)),"'",""))</f>
        <v>KV_4.sz.mell.!$A$1</v>
      </c>
    </row>
    <row r="18" spans="1:3" ht="12.75">
      <c r="A18" s="5" t="s">
        <v>27</v>
      </c>
      <c r="B18" s="5" t="s">
        <v>28</v>
      </c>
      <c r="C18" s="6" t="str">
        <f ca="1">HYPERLINK(SUBSTITUTE(CELL("address",'KV_5.sz.mell.'!A1),"'",""),SUBSTITUTE(MID(CELL("address",'KV_5.sz.mell.'!A1),SEARCH("]",CELL("address",'KV_5.sz.mell.'!A1),1)+1,LEN(CELL("address",'KV_5.sz.mell.'!A1))-SEARCH("]",CELL("address",'KV_5.sz.mell.'!A1),1)),"'",""))</f>
        <v>KV_5.sz.mell.!$A$1</v>
      </c>
    </row>
    <row r="19" spans="1:3" ht="12.75">
      <c r="A19" s="5" t="s">
        <v>29</v>
      </c>
      <c r="B19" s="5" t="s">
        <v>30</v>
      </c>
      <c r="C19" s="6" t="str">
        <f ca="1">HYPERLINK(SUBSTITUTE(CELL("address",'KV_6.sz.mell.'!A1),"'",""),SUBSTITUTE(MID(CELL("address",'KV_6.sz.mell.'!A1),SEARCH("]",CELL("address",'KV_6.sz.mell.'!A1),1)+1,LEN(CELL("address",'KV_6.sz.mell.'!A1))-SEARCH("]",CELL("address",'KV_6.sz.mell.'!A1),1)),"'",""))</f>
        <v>KV_6.sz.mell.!$A$1</v>
      </c>
    </row>
    <row r="20" spans="1:3" ht="12.75">
      <c r="A20" s="5" t="s">
        <v>31</v>
      </c>
      <c r="B20" s="5" t="s">
        <v>32</v>
      </c>
      <c r="C20" s="6" t="str">
        <f ca="1">HYPERLINK(SUBSTITUTE(CELL("address",'KV_7.sz.mell.'!A1),"'",""),SUBSTITUTE(MID(CELL("address",'KV_7.sz.mell.'!A1),SEARCH("]",CELL("address",'KV_7.sz.mell.'!A1),1)+1,LEN(CELL("address",'KV_7.sz.mell.'!A1))-SEARCH("]",CELL("address",'KV_7.sz.mell.'!A1),1)),"'",""))</f>
        <v>KV_7.sz.mell.!$A$1</v>
      </c>
    </row>
    <row r="21" spans="1:3" ht="12.75">
      <c r="A21" s="5" t="s">
        <v>33</v>
      </c>
      <c r="B21" s="5" t="s">
        <v>34</v>
      </c>
      <c r="C21" s="6" t="str">
        <f ca="1">HYPERLINK(SUBSTITUTE(CELL("address",'KV_8.sz.mell.'!A1),"'",""),SUBSTITUTE(MID(CELL("address",'KV_8.sz.mell.'!A1),SEARCH("]",CELL("address",'KV_8.sz.mell.'!A1),1)+1,LEN(CELL("address",'KV_8.sz.mell.'!A1))-SEARCH("]",CELL("address",'KV_8.sz.mell.'!A1),1)),"'",""))</f>
        <v>KV_8.sz.mell.!$A$1</v>
      </c>
    </row>
    <row r="22" spans="1:3" ht="12.75">
      <c r="A22" s="7" t="s">
        <v>35</v>
      </c>
      <c r="B22" s="5" t="s">
        <v>36</v>
      </c>
      <c r="C22" s="6" t="str">
        <f ca="1">HYPERLINK(SUBSTITUTE(CELL("address",'KV_9.1.sz.mell'!A1),"'",""),SUBSTITUTE(MID(CELL("address",'KV_9.1.sz.mell'!A1),SEARCH("]",CELL("address",'KV_9.1.sz.mell'!A1),1)+1,LEN(CELL("address",'KV_9.1.sz.mell'!A1))-SEARCH("]",CELL("address",'KV_9.1.sz.mell'!A1),1)),"'",""))</f>
        <v>KV_9.1.sz.mell!$A$1</v>
      </c>
    </row>
    <row r="23" spans="1:3" ht="12.75">
      <c r="A23" s="8" t="s">
        <v>37</v>
      </c>
      <c r="B23" s="5" t="s">
        <v>38</v>
      </c>
      <c r="C23" s="6" t="str">
        <f ca="1">HYPERLINK(SUBSTITUTE(CELL("address",'KV_9.1.1.sz.mell'!A1),"'",""),SUBSTITUTE(MID(CELL("address",'KV_9.1.1.sz.mell'!A1),SEARCH("]",CELL("address",'KV_9.1.1.sz.mell'!A1),1)+1,LEN(CELL("address",'KV_9.1.1.sz.mell'!A1))-SEARCH("]",CELL("address",'KV_9.1.1.sz.mell'!A1),1)),"'",""))</f>
        <v>KV_9.1.1.sz.mell!$A$1</v>
      </c>
    </row>
    <row r="24" spans="1:3" ht="12.75">
      <c r="A24" s="5" t="s">
        <v>39</v>
      </c>
      <c r="B24" s="5" t="s">
        <v>40</v>
      </c>
      <c r="C24" s="6" t="str">
        <f ca="1">HYPERLINK(SUBSTITUTE(CELL("address",'KV_9.1.2.sz.mell.'!A1),"'",""),SUBSTITUTE(MID(CELL("address",'KV_9.1.2.sz.mell.'!A1),SEARCH("]",CELL("address",'KV_9.1.2.sz.mell.'!A1),1)+1,LEN(CELL("address",'KV_9.1.2.sz.mell.'!A1))-SEARCH("]",CELL("address",'KV_9.1.2.sz.mell.'!A1),1)),"'",""))</f>
        <v>KV_9.1.2.sz.mell.!$A$1</v>
      </c>
    </row>
    <row r="25" spans="1:3" ht="12.75">
      <c r="A25" s="5" t="s">
        <v>41</v>
      </c>
      <c r="B25" s="5" t="s">
        <v>42</v>
      </c>
      <c r="C25" s="6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6" spans="1:3" ht="12.75">
      <c r="A26" s="5" t="s">
        <v>43</v>
      </c>
      <c r="B26" s="5" t="s">
        <v>44</v>
      </c>
      <c r="C26" s="6" t="str">
        <f ca="1">HYPERLINK(SUBSTITUTE(CELL("address",'KV_9.2.sz.mell'!A1),"'",""),SUBSTITUTE(MID(CELL("address",'KV_9.2.sz.mell'!A1),SEARCH("]",CELL("address",'KV_9.2.sz.mell'!A1),1)+1,LEN(CELL("address",'KV_9.2.sz.mell'!A1))-SEARCH("]",CELL("address",'KV_9.2.sz.mell'!A1),1)),"'",""))</f>
        <v>KV_9.2.sz.mell!$A$1</v>
      </c>
    </row>
    <row r="27" spans="1:3" ht="12.75">
      <c r="A27" s="5" t="s">
        <v>45</v>
      </c>
      <c r="B27" s="5" t="str">
        <f>CONCATENATE(ALAPADATOK!B13)</f>
        <v>Elek Város Óvoda-Bölcsőde</v>
      </c>
      <c r="C27" s="6" t="str">
        <f ca="1">HYPERLINK(SUBSTITUTE(CELL("address",'KV_9.3.sz.mell'!A1),"'",""),SUBSTITUTE(MID(CELL("address",'KV_9.3.sz.mell'!A1),SEARCH("]",CELL("address",'KV_9.3.sz.mell'!A1),1)+1,LEN(CELL("address",'KV_9.3.sz.mell'!A1))-SEARCH("]",CELL("address",'KV_9.3.sz.mell'!A1),1)),"'",""))</f>
        <v>KV_9.3.sz.mell!$A$1</v>
      </c>
    </row>
    <row r="28" spans="1:3" ht="12.75">
      <c r="A28" s="5" t="s">
        <v>46</v>
      </c>
      <c r="B28" s="5" t="str">
        <f>CONCATENATE(ALAPADATOK!B15)</f>
        <v>Reibel Mihály Városi Művelődési Központ és Könyvtár</v>
      </c>
      <c r="C28" s="6" t="str">
        <f ca="1">HYPERLINK(SUBSTITUTE(CELL("address",'KV_9.4.sz.mell'!A1),"'",""),SUBSTITUTE(MID(CELL("address",'KV_9.4.sz.mell'!A1),SEARCH("]",CELL("address",'KV_9.4.sz.mell'!A1),1)+1,LEN(CELL("address",'KV_9.4.sz.mell'!A1))-SEARCH("]",CELL("address",'KV_9.4.sz.mell'!A1),1)),"'",""))</f>
        <v>KV_9.4.sz.mell!$A$1</v>
      </c>
    </row>
    <row r="29" spans="1:3" ht="12.75">
      <c r="A29" s="5" t="s">
        <v>47</v>
      </c>
      <c r="B29" s="5" t="str">
        <f>CONCATENATE(ALAPADATOK!B17)</f>
        <v>Naplemente Idősek Otthona</v>
      </c>
      <c r="C29" s="6" t="str">
        <f ca="1">HYPERLINK(SUBSTITUTE(CELL("address",'KV_9.5.sz.mell'!A1),"'",""),SUBSTITUTE(MID(CELL("address",'KV_9.5.sz.mell'!A1),SEARCH("]",CELL("address",'KV_9.5.sz.mell'!A1),1)+1,LEN(CELL("address",'KV_9.5.sz.mell'!A1))-SEARCH("]",CELL("address",'KV_9.5.sz.mell'!A1),1)),"'",""))</f>
        <v>KV_9.5.sz.mell!$A$1</v>
      </c>
    </row>
    <row r="30" spans="1:3" ht="12.75">
      <c r="A30" s="5" t="s">
        <v>48</v>
      </c>
      <c r="B30" s="5" t="s">
        <v>49</v>
      </c>
      <c r="C30" s="6" t="str">
        <f ca="1">HYPERLINK(SUBSTITUTE(CELL("address",'KV_10.sz.mell'!A1),"'",""),SUBSTITUTE(MID(CELL("address",'KV_10.sz.mell'!A1),SEARCH("]",CELL("address",'KV_10.sz.mell'!A1),1)+1,LEN(CELL("address",'KV_10.sz.mell'!A1))-SEARCH("]",CELL("address",'KV_10.sz.mell'!A1),1)),"'",""))</f>
        <v>KV_10.sz.mell!$A$1</v>
      </c>
    </row>
    <row r="31" spans="1:3" ht="12.75">
      <c r="A31" s="5" t="s">
        <v>50</v>
      </c>
      <c r="B31" s="5" t="s">
        <v>51</v>
      </c>
      <c r="C31" s="6" t="str">
        <f ca="1">HYPERLINK(SUBSTITUTE(CELL("address",'KV_1.sz.tájékoztató_t.'!A1),"'",""),SUBSTITUTE(MID(CELL("address",'KV_1.sz.tájékoztató_t.'!A1),SEARCH("]",CELL("address",'KV_1.sz.tájékoztató_t.'!A1),1)+1,LEN(CELL("address",'KV_1.sz.tájékoztató_t.'!A1))-SEARCH("]",CELL("address",'KV_1.sz.tájékoztató_t.'!A1),1)),"'",""))</f>
        <v>KV_1.sz.tájékoztató_t.!$A$1</v>
      </c>
    </row>
    <row r="32" spans="1:3" ht="25.5">
      <c r="A32" s="5" t="s">
        <v>52</v>
      </c>
      <c r="B32" s="9" t="s">
        <v>53</v>
      </c>
      <c r="C32" s="6" t="str">
        <f ca="1">HYPERLINK(SUBSTITUTE(CELL("address",'KV_2.sz.tájékoztató_t.'!A1),"'",""),SUBSTITUTE(MID(CELL("address",'KV_2.sz.tájékoztató_t.'!A1),SEARCH("]",CELL("address",'KV_2.sz.tájékoztató_t.'!A1),1)+1,LEN(CELL("address",'KV_2.sz.tájékoztató_t.'!A1))-SEARCH("]",CELL("address",'KV_2.sz.tájékoztató_t.'!A1),1)),"'",""))</f>
        <v>KV_2.sz.tájékoztató_t.!$A$1</v>
      </c>
    </row>
    <row r="33" spans="1:3" ht="12.75">
      <c r="A33" s="5" t="s">
        <v>54</v>
      </c>
      <c r="B33" s="5" t="s">
        <v>55</v>
      </c>
      <c r="C33" s="6" t="str">
        <f ca="1">HYPERLINK(SUBSTITUTE(CELL("address",'KV_3.sz.tájékoztató_t.'!A1),"'",""),SUBSTITUTE(MID(CELL("address",'KV_3.sz.tájékoztató_t.'!A1),SEARCH("]",CELL("address",'KV_3.sz.tájékoztató_t.'!A1),1)+1,LEN(CELL("address",'KV_3.sz.tájékoztató_t.'!A1))-SEARCH("]",CELL("address",'KV_3.sz.tájékoztató_t.'!A1),1)),"'",""))</f>
        <v>KV_3.sz.tájékoztató_t.!$A$1</v>
      </c>
    </row>
    <row r="34" spans="1:3" ht="12.75">
      <c r="A34" s="5" t="s">
        <v>56</v>
      </c>
      <c r="B34" s="5" t="s">
        <v>57</v>
      </c>
      <c r="C34" s="6" t="str">
        <f ca="1">HYPERLINK(SUBSTITUTE(CELL("address",'KV_4.sz.tájékoztató_t.'!A1),"'",""),SUBSTITUTE(MID(CELL("address",'KV_4.sz.tájékoztató_t.'!A1),SEARCH("]",CELL("address",'KV_4.sz.tájékoztató_t.'!A1),1)+1,LEN(CELL("address",'KV_4.sz.tájékoztató_t.'!A1))-SEARCH("]",CELL("address",'KV_4.sz.tájékoztató_t.'!A1),1)),"'",""))</f>
        <v>KV_4.sz.tájékoztató_t.!$A$1</v>
      </c>
    </row>
    <row r="35" spans="1:3" ht="12.75">
      <c r="A35" s="5" t="s">
        <v>58</v>
      </c>
      <c r="B35" s="5" t="s">
        <v>59</v>
      </c>
      <c r="C35" s="6" t="str">
        <f ca="1">HYPERLINK(SUBSTITUTE(CELL("address",'KV_5.sz.tájékoztató_t'!A1),"'",""),SUBSTITUTE(MID(CELL("address",'KV_5.sz.tájékoztató_t'!A1),SEARCH("]",CELL("address",'KV_5.sz.tájékoztató_t'!A1),1)+1,LEN(CELL("address",'KV_5.sz.tájékoztató_t'!A1))-SEARCH("]",CELL("address",'KV_5.sz.tájékoztató_t'!A1),1)),"'",""))</f>
        <v>KV_5.sz.tájékoztató_t!$A$1</v>
      </c>
    </row>
    <row r="36" spans="1:3" ht="12.75">
      <c r="A36" s="5" t="s">
        <v>60</v>
      </c>
      <c r="B36" s="5" t="s">
        <v>61</v>
      </c>
      <c r="C36" s="6" t="str">
        <f ca="1">HYPERLINK(SUBSTITUTE(CELL("address",'KV_6.sz.tájékoztató_t.'!A1),"'",""),SUBSTITUTE(MID(CELL("address",'KV_6.sz.tájékoztató_t.'!A1),SEARCH("]",CELL("address",'KV_6.sz.tájékoztató_t.'!A1),1)+1,LEN(CELL("address",'KV_6.sz.tájékoztató_t.'!A1))-SEARCH("]",CELL("address",'KV_6.sz.tájékoztató_t.'!A1),1)),"'",""))</f>
        <v>KV_6.sz.tájékoztató_t.!$A$1</v>
      </c>
    </row>
    <row r="37" spans="1:3" ht="12.75">
      <c r="A37" s="5" t="s">
        <v>62</v>
      </c>
      <c r="B37" s="5" t="s">
        <v>63</v>
      </c>
      <c r="C37" s="6" t="str">
        <f ca="1">HYPERLINK(SUBSTITUTE(CELL("address",'KV_7.sz.tájékoztató_t.'!A1),"'",""),SUBSTITUTE(MID(CELL("address",'KV_7.sz.tájékoztató_t.'!A1),SEARCH("]",CELL("address",'KV_7.sz.tájékoztató_t.'!A1),1)+1,LEN(CELL("address",'KV_7.sz.tájékoztató_t.'!A1))-SEARCH("]",CELL("address",'KV_7.sz.tájékoztató_t.'!A1),1)),"'",""))</f>
        <v>KV_7.sz.tájékoztató_t.!$A$1</v>
      </c>
    </row>
    <row r="38" spans="1:3" ht="12.75">
      <c r="A38" s="5"/>
      <c r="B38" s="5"/>
      <c r="C38" s="6"/>
    </row>
    <row r="39" spans="1:3" ht="18.75">
      <c r="A39" s="727"/>
      <c r="B39" s="727"/>
      <c r="C39" s="727"/>
    </row>
    <row r="40" spans="1:3" ht="12.75">
      <c r="A40" s="5"/>
      <c r="B40" s="5"/>
      <c r="C40" s="5"/>
    </row>
    <row r="41" spans="1:3" ht="12.75">
      <c r="A41" s="5"/>
      <c r="B41" s="5"/>
      <c r="C41" s="5"/>
    </row>
    <row r="42" spans="1:3" ht="12.75">
      <c r="A42" s="5"/>
      <c r="B42" s="5"/>
      <c r="C42" s="5"/>
    </row>
    <row r="43" spans="1:3" ht="12.75">
      <c r="A43" s="5"/>
      <c r="B43" s="5"/>
      <c r="C43" s="5"/>
    </row>
    <row r="44" spans="1:3" ht="12.75">
      <c r="A44" s="5"/>
      <c r="B44" s="5"/>
      <c r="C44" s="5"/>
    </row>
    <row r="45" spans="1:3" ht="12.75">
      <c r="A45" s="5"/>
      <c r="B45" s="5"/>
      <c r="C45" s="5"/>
    </row>
    <row r="46" spans="1:3" ht="12.75">
      <c r="A46" s="5"/>
      <c r="B46" s="5"/>
      <c r="C46" s="5"/>
    </row>
    <row r="47" spans="1:3" ht="12.75">
      <c r="A47" s="5"/>
      <c r="B47" s="5"/>
      <c r="C47" s="5"/>
    </row>
    <row r="48" spans="1:3" ht="12.75">
      <c r="A48" s="5"/>
      <c r="B48" s="5"/>
      <c r="C48" s="5"/>
    </row>
    <row r="49" spans="1:3" ht="12.75">
      <c r="A49" s="5"/>
      <c r="B49" s="5"/>
      <c r="C49" s="5"/>
    </row>
    <row r="50" spans="1:3" ht="12.75">
      <c r="A50" s="5"/>
      <c r="B50" s="5"/>
      <c r="C50" s="5"/>
    </row>
    <row r="51" spans="1:3" ht="12.75">
      <c r="A51" s="5"/>
      <c r="B51" s="5"/>
      <c r="C51" s="5"/>
    </row>
    <row r="52" spans="1:3" ht="12.75">
      <c r="A52" s="5"/>
      <c r="B52" s="5"/>
      <c r="C52" s="5"/>
    </row>
    <row r="53" spans="1:3" ht="12.75">
      <c r="A53" s="5"/>
      <c r="B53" s="5"/>
      <c r="C53" s="5"/>
    </row>
    <row r="54" spans="1:3" ht="33.75" customHeight="1">
      <c r="A54" s="729"/>
      <c r="B54" s="729"/>
      <c r="C54" s="729"/>
    </row>
    <row r="55" spans="1:3" ht="12.75">
      <c r="A55" s="5"/>
      <c r="B55" s="5"/>
      <c r="C55" s="5"/>
    </row>
    <row r="56" spans="1:3" ht="12.75">
      <c r="A56" s="5"/>
      <c r="B56" s="5"/>
      <c r="C56" s="5"/>
    </row>
    <row r="57" spans="1:3" ht="12.75">
      <c r="A57" s="5"/>
      <c r="B57" s="5"/>
      <c r="C57" s="5"/>
    </row>
    <row r="58" spans="1:3" ht="12.75">
      <c r="A58" s="5"/>
      <c r="B58" s="5"/>
      <c r="C58" s="5"/>
    </row>
    <row r="59" spans="1:3" ht="12.75">
      <c r="A59" s="5"/>
      <c r="B59" s="5"/>
      <c r="C59" s="5"/>
    </row>
    <row r="60" spans="1:3" ht="12.75">
      <c r="A60" s="5"/>
      <c r="B60" s="5"/>
      <c r="C60" s="5"/>
    </row>
    <row r="61" spans="1:3" ht="12.75">
      <c r="A61" s="5"/>
      <c r="B61" s="5"/>
      <c r="C61" s="5"/>
    </row>
    <row r="62" spans="1:3" ht="12.75">
      <c r="A62" s="5"/>
      <c r="B62" s="5"/>
      <c r="C62" s="5"/>
    </row>
    <row r="63" spans="1:3" ht="12.75">
      <c r="A63" s="5"/>
      <c r="B63" s="5"/>
      <c r="C63" s="5"/>
    </row>
    <row r="64" spans="1:3" ht="12.75">
      <c r="A64" s="5"/>
      <c r="B64" s="5"/>
      <c r="C64" s="5"/>
    </row>
    <row r="65" spans="1:3" ht="12.75">
      <c r="A65" s="5"/>
      <c r="B65" s="5"/>
      <c r="C65" s="5"/>
    </row>
    <row r="66" spans="1:3" ht="12.75">
      <c r="A66" s="5"/>
      <c r="B66" s="5"/>
      <c r="C66" s="5"/>
    </row>
    <row r="67" spans="1:3" ht="12.75">
      <c r="A67" s="5"/>
      <c r="B67" s="5"/>
      <c r="C67" s="5"/>
    </row>
    <row r="68" spans="1:3" ht="12.75">
      <c r="A68" s="5"/>
      <c r="B68" s="5"/>
      <c r="C68" s="5"/>
    </row>
    <row r="69" spans="1:3" ht="12.75">
      <c r="A69" s="5"/>
      <c r="B69" s="5"/>
      <c r="C69" s="5"/>
    </row>
    <row r="70" spans="1:3" ht="12.75">
      <c r="A70" s="5"/>
      <c r="B70" s="5"/>
      <c r="C70" s="5"/>
    </row>
    <row r="71" spans="1:3" ht="12.75">
      <c r="A71" s="5"/>
      <c r="B71" s="5"/>
      <c r="C71" s="5"/>
    </row>
    <row r="72" spans="1:3" ht="12.75">
      <c r="A72" s="5"/>
      <c r="B72" s="5"/>
      <c r="C72" s="5"/>
    </row>
    <row r="74" spans="1:3" ht="18.75">
      <c r="A74" s="727"/>
      <c r="B74" s="727"/>
      <c r="C74" s="727"/>
    </row>
    <row r="96" spans="1:3" ht="18.75">
      <c r="A96" s="727"/>
      <c r="B96" s="727"/>
      <c r="C96" s="727"/>
    </row>
  </sheetData>
  <sheetProtection selectLockedCells="1" selectUnlockedCells="1"/>
  <mergeCells count="6">
    <mergeCell ref="A74:C74"/>
    <mergeCell ref="A96:C96"/>
    <mergeCell ref="A2:C2"/>
    <mergeCell ref="A6:C6"/>
    <mergeCell ref="A39:C39"/>
    <mergeCell ref="A54:C54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E19"/>
  <sheetViews>
    <sheetView zoomScale="120" zoomScaleNormal="120" zoomScalePageLayoutView="0" workbookViewId="0" topLeftCell="A1">
      <selection activeCell="C39" sqref="C39"/>
    </sheetView>
  </sheetViews>
  <sheetFormatPr defaultColWidth="9.00390625" defaultRowHeight="12.75"/>
  <cols>
    <col min="1" max="1" width="46.375" style="0" customWidth="1"/>
    <col min="2" max="2" width="16.875" style="0" customWidth="1"/>
    <col min="3" max="3" width="66.125" style="0" customWidth="1"/>
    <col min="4" max="4" width="13.875" style="0" customWidth="1"/>
    <col min="5" max="5" width="17.625" style="0" customWidth="1"/>
  </cols>
  <sheetData>
    <row r="1" spans="1:5" ht="18.75">
      <c r="A1" s="179" t="s">
        <v>93</v>
      </c>
      <c r="E1" s="180" t="s">
        <v>467</v>
      </c>
    </row>
    <row r="3" spans="1:5" ht="12.75">
      <c r="A3" s="20"/>
      <c r="B3" s="181"/>
      <c r="C3" s="20"/>
      <c r="D3" s="182"/>
      <c r="E3" s="181"/>
    </row>
    <row r="4" spans="1:5" ht="15.75">
      <c r="A4" s="21" t="str">
        <f>+KV_ÖSSZEFÜGGÉSEK!A5</f>
        <v>2019. évi előirányzat BEVÉTELEK</v>
      </c>
      <c r="B4" s="183"/>
      <c r="C4" s="22"/>
      <c r="D4" s="182"/>
      <c r="E4" s="181"/>
    </row>
    <row r="5" spans="1:5" ht="12.75">
      <c r="A5" s="20"/>
      <c r="B5" s="181"/>
      <c r="C5" s="20"/>
      <c r="D5" s="182"/>
      <c r="E5" s="181"/>
    </row>
    <row r="6" spans="1:5" ht="12.75">
      <c r="A6" s="20" t="s">
        <v>95</v>
      </c>
      <c r="B6" s="181">
        <f>+'KV_1.1.sz.mell.'!C67</f>
        <v>619061781</v>
      </c>
      <c r="C6" s="20" t="s">
        <v>96</v>
      </c>
      <c r="D6" s="182">
        <f>+'KV_2.1.sz.mell.'!C18+'KV_2.2.sz.mell.'!C17</f>
        <v>619061781</v>
      </c>
      <c r="E6" s="181">
        <f>+B6-D6</f>
        <v>0</v>
      </c>
    </row>
    <row r="7" spans="1:5" ht="12.75">
      <c r="A7" s="20" t="s">
        <v>97</v>
      </c>
      <c r="B7" s="181">
        <f>+'KV_1.1.sz.mell.'!C91</f>
        <v>253118762</v>
      </c>
      <c r="C7" s="20" t="s">
        <v>98</v>
      </c>
      <c r="D7" s="182">
        <f>+'KV_2.1.sz.mell.'!C29+'KV_2.2.sz.mell.'!C30</f>
        <v>253118762</v>
      </c>
      <c r="E7" s="181">
        <f>+B7-D7</f>
        <v>0</v>
      </c>
    </row>
    <row r="8" spans="1:5" ht="12.75">
      <c r="A8" s="20" t="s">
        <v>99</v>
      </c>
      <c r="B8" s="181">
        <f>+'KV_1.1.sz.mell.'!C92</f>
        <v>872180543</v>
      </c>
      <c r="C8" s="20" t="s">
        <v>100</v>
      </c>
      <c r="D8" s="182">
        <f>+'KV_2.1.sz.mell.'!C30+'KV_2.2.sz.mell.'!C31</f>
        <v>872180543</v>
      </c>
      <c r="E8" s="181">
        <f>+B8-D8</f>
        <v>0</v>
      </c>
    </row>
    <row r="9" spans="1:5" ht="12.75">
      <c r="A9" s="20"/>
      <c r="B9" s="181"/>
      <c r="C9" s="20"/>
      <c r="D9" s="182"/>
      <c r="E9" s="181"/>
    </row>
    <row r="10" spans="1:5" ht="12.75">
      <c r="A10" s="20"/>
      <c r="B10" s="181"/>
      <c r="C10" s="20"/>
      <c r="D10" s="182"/>
      <c r="E10" s="181"/>
    </row>
    <row r="11" spans="1:5" ht="15.75">
      <c r="A11" s="21" t="str">
        <f>+KV_ÖSSZEFÜGGÉSEK!A12</f>
        <v>2019. évi előirányzat KIADÁSOK</v>
      </c>
      <c r="B11" s="183"/>
      <c r="C11" s="22"/>
      <c r="D11" s="182"/>
      <c r="E11" s="181"/>
    </row>
    <row r="12" spans="1:5" ht="12.75">
      <c r="A12" s="20"/>
      <c r="B12" s="181"/>
      <c r="C12" s="20"/>
      <c r="D12" s="182"/>
      <c r="E12" s="181"/>
    </row>
    <row r="13" spans="1:5" ht="12.75">
      <c r="A13" s="20" t="s">
        <v>101</v>
      </c>
      <c r="B13" s="181">
        <f>+'KV_1.1.sz.mell.'!C133</f>
        <v>856790512</v>
      </c>
      <c r="C13" s="20" t="s">
        <v>102</v>
      </c>
      <c r="D13" s="182">
        <f>+'KV_2.1.sz.mell.'!E18+'KV_2.2.sz.mell.'!E17</f>
        <v>856790512</v>
      </c>
      <c r="E13" s="181">
        <f>+B13-D13</f>
        <v>0</v>
      </c>
    </row>
    <row r="14" spans="1:5" ht="12.75">
      <c r="A14" s="20" t="s">
        <v>103</v>
      </c>
      <c r="B14" s="181">
        <f>+'KV_1.1.sz.mell.'!C158</f>
        <v>15390031</v>
      </c>
      <c r="C14" s="20" t="s">
        <v>104</v>
      </c>
      <c r="D14" s="182">
        <f>+'KV_2.1.sz.mell.'!E29+'KV_2.2.sz.mell.'!E30</f>
        <v>15390031</v>
      </c>
      <c r="E14" s="181">
        <f>+B14-D14</f>
        <v>0</v>
      </c>
    </row>
    <row r="15" spans="1:5" ht="12.75">
      <c r="A15" s="20" t="s">
        <v>105</v>
      </c>
      <c r="B15" s="181">
        <f>+'KV_1.1.sz.mell.'!C159</f>
        <v>872180543</v>
      </c>
      <c r="C15" s="20" t="s">
        <v>106</v>
      </c>
      <c r="D15" s="182">
        <f>+'KV_2.1.sz.mell.'!E30+'KV_2.2.sz.mell.'!E31</f>
        <v>872180543</v>
      </c>
      <c r="E15" s="181">
        <f>+B15-D15</f>
        <v>0</v>
      </c>
    </row>
    <row r="16" spans="1:5" ht="12.75">
      <c r="A16" s="184"/>
      <c r="B16" s="184"/>
      <c r="C16" s="20"/>
      <c r="D16" s="182"/>
      <c r="E16" s="185"/>
    </row>
    <row r="17" spans="1:5" ht="12.75">
      <c r="A17" s="184"/>
      <c r="B17" s="184"/>
      <c r="C17" s="184"/>
      <c r="D17" s="184"/>
      <c r="E17" s="184"/>
    </row>
    <row r="18" spans="1:5" ht="12.75">
      <c r="A18" s="184"/>
      <c r="B18" s="184"/>
      <c r="C18" s="184"/>
      <c r="D18" s="184"/>
      <c r="E18" s="184"/>
    </row>
    <row r="19" spans="1:5" ht="12.75">
      <c r="A19" s="184"/>
      <c r="B19" s="184"/>
      <c r="C19" s="184"/>
      <c r="D19" s="184"/>
      <c r="E19" s="184"/>
    </row>
  </sheetData>
  <sheetProtection sheet="1"/>
  <conditionalFormatting sqref="E3:E15">
    <cfRule type="cellIs" priority="1" dxfId="5" operator="notEqual" stopIfTrue="1">
      <formula>0</formula>
    </cfRule>
  </conditionalFormatting>
  <printOptions/>
  <pageMargins left="0.7902777777777777" right="0.5701388888888889" top="0.8798611111111111" bottom="0.6597222222222222" header="0.5118055555555555" footer="0.5118055555555555"/>
  <pageSetup fitToHeight="1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</sheetPr>
  <dimension ref="A1:G14"/>
  <sheetViews>
    <sheetView zoomScale="120" zoomScaleNormal="120" zoomScalePageLayoutView="0" workbookViewId="0" topLeftCell="A4">
      <selection activeCell="A5" sqref="A5"/>
    </sheetView>
  </sheetViews>
  <sheetFormatPr defaultColWidth="9.00390625" defaultRowHeight="12.75"/>
  <cols>
    <col min="1" max="1" width="5.625" style="186" customWidth="1"/>
    <col min="2" max="2" width="35.625" style="186" customWidth="1"/>
    <col min="3" max="6" width="14.00390625" style="186" customWidth="1"/>
    <col min="7" max="16384" width="9.375" style="186" customWidth="1"/>
  </cols>
  <sheetData>
    <row r="1" spans="1:6" ht="15">
      <c r="A1" s="187"/>
      <c r="B1" s="187"/>
      <c r="C1" s="187"/>
      <c r="D1" s="187"/>
      <c r="E1" s="187"/>
      <c r="F1" s="187"/>
    </row>
    <row r="2" spans="1:6" ht="15" customHeight="1">
      <c r="A2" s="187"/>
      <c r="B2" s="734" t="str">
        <f>CONCATENATE("3. melléklet ",ALAPADATOK!A7," ",ALAPADATOK!B7," ",ALAPADATOK!C7," ",ALAPADATOK!D7," ",ALAPADATOK!E7," ",ALAPADATOK!F7," ",ALAPADATOK!G7," ",ALAPADATOK!H7)</f>
        <v>3. melléklet a … / 2019 ( … ) önkormányzati rendelethez</v>
      </c>
      <c r="C2" s="734"/>
      <c r="D2" s="734"/>
      <c r="E2" s="734"/>
      <c r="F2" s="734"/>
    </row>
    <row r="3" spans="1:6" ht="15">
      <c r="A3" s="187"/>
      <c r="B3" s="187"/>
      <c r="C3" s="187"/>
      <c r="D3" s="187"/>
      <c r="E3" s="187"/>
      <c r="F3" s="187"/>
    </row>
    <row r="4" spans="1:6" ht="33" customHeight="1">
      <c r="A4" s="749" t="s">
        <v>468</v>
      </c>
      <c r="B4" s="749"/>
      <c r="C4" s="749"/>
      <c r="D4" s="749"/>
      <c r="E4" s="749"/>
      <c r="F4" s="749"/>
    </row>
    <row r="5" spans="1:7" ht="15.75" customHeight="1">
      <c r="A5" s="188"/>
      <c r="B5" s="188"/>
      <c r="C5" s="750"/>
      <c r="D5" s="750"/>
      <c r="E5" s="751" t="str">
        <f>'KV_2.2.sz.mell.'!E2</f>
        <v>Forintban!</v>
      </c>
      <c r="F5" s="751"/>
      <c r="G5" s="190"/>
    </row>
    <row r="6" spans="1:6" ht="63" customHeight="1">
      <c r="A6" s="745" t="s">
        <v>469</v>
      </c>
      <c r="B6" s="746" t="s">
        <v>470</v>
      </c>
      <c r="C6" s="747" t="s">
        <v>471</v>
      </c>
      <c r="D6" s="747"/>
      <c r="E6" s="747"/>
      <c r="F6" s="748" t="s">
        <v>472</v>
      </c>
    </row>
    <row r="7" spans="1:6" ht="15">
      <c r="A7" s="745"/>
      <c r="B7" s="746"/>
      <c r="C7" s="191">
        <f>+LEFT(KV_ÖSSZEFÜGGÉSEK!A5,4)+1</f>
        <v>2020</v>
      </c>
      <c r="D7" s="191">
        <f>+C7+1</f>
        <v>2021</v>
      </c>
      <c r="E7" s="191">
        <f>+D7+1</f>
        <v>2022</v>
      </c>
      <c r="F7" s="748"/>
    </row>
    <row r="8" spans="1:6" ht="15">
      <c r="A8" s="192"/>
      <c r="B8" s="193" t="s">
        <v>114</v>
      </c>
      <c r="C8" s="193" t="s">
        <v>115</v>
      </c>
      <c r="D8" s="193" t="s">
        <v>385</v>
      </c>
      <c r="E8" s="193" t="s">
        <v>386</v>
      </c>
      <c r="F8" s="194" t="s">
        <v>473</v>
      </c>
    </row>
    <row r="9" spans="1:6" ht="15">
      <c r="A9" s="195" t="s">
        <v>116</v>
      </c>
      <c r="B9" s="196"/>
      <c r="C9" s="197"/>
      <c r="D9" s="197"/>
      <c r="E9" s="197"/>
      <c r="F9" s="198">
        <f>SUM(C9:E9)</f>
        <v>0</v>
      </c>
    </row>
    <row r="10" spans="1:6" ht="15">
      <c r="A10" s="199" t="s">
        <v>130</v>
      </c>
      <c r="B10" s="200"/>
      <c r="C10" s="201"/>
      <c r="D10" s="201"/>
      <c r="E10" s="201"/>
      <c r="F10" s="202">
        <f>SUM(C10:E10)</f>
        <v>0</v>
      </c>
    </row>
    <row r="11" spans="1:6" ht="15">
      <c r="A11" s="199" t="s">
        <v>144</v>
      </c>
      <c r="B11" s="200"/>
      <c r="C11" s="201"/>
      <c r="D11" s="201"/>
      <c r="E11" s="201"/>
      <c r="F11" s="202">
        <f>SUM(C11:E11)</f>
        <v>0</v>
      </c>
    </row>
    <row r="12" spans="1:6" ht="15">
      <c r="A12" s="199" t="s">
        <v>341</v>
      </c>
      <c r="B12" s="200"/>
      <c r="C12" s="201"/>
      <c r="D12" s="201"/>
      <c r="E12" s="201"/>
      <c r="F12" s="202">
        <f>SUM(C12:E12)</f>
        <v>0</v>
      </c>
    </row>
    <row r="13" spans="1:6" ht="15">
      <c r="A13" s="203" t="s">
        <v>174</v>
      </c>
      <c r="B13" s="204"/>
      <c r="C13" s="205"/>
      <c r="D13" s="205"/>
      <c r="E13" s="205"/>
      <c r="F13" s="202">
        <f>SUM(C13:E13)</f>
        <v>0</v>
      </c>
    </row>
    <row r="14" spans="1:6" s="210" customFormat="1" ht="14.25">
      <c r="A14" s="206" t="s">
        <v>198</v>
      </c>
      <c r="B14" s="207" t="s">
        <v>474</v>
      </c>
      <c r="C14" s="208">
        <f>SUM(C9:C13)</f>
        <v>0</v>
      </c>
      <c r="D14" s="208">
        <f>SUM(D9:D13)</f>
        <v>0</v>
      </c>
      <c r="E14" s="208">
        <f>SUM(E9:E13)</f>
        <v>0</v>
      </c>
      <c r="F14" s="209">
        <f>SUM(F9:F13)</f>
        <v>0</v>
      </c>
    </row>
  </sheetData>
  <sheetProtection sheet="1"/>
  <mergeCells count="8">
    <mergeCell ref="A6:A7"/>
    <mergeCell ref="B6:B7"/>
    <mergeCell ref="C6:E6"/>
    <mergeCell ref="F6:F7"/>
    <mergeCell ref="B2:F2"/>
    <mergeCell ref="A4:F4"/>
    <mergeCell ref="C5:D5"/>
    <mergeCell ref="E5:F5"/>
  </mergeCells>
  <printOptions horizontalCentered="1"/>
  <pageMargins left="0.7875" right="0.7875" top="1.3777777777777778" bottom="0.9840277777777777" header="0.5118055555555555" footer="0.5118055555555555"/>
  <pageSetup horizontalDpi="300" verticalDpi="300" orientation="portrait" paperSize="9" scale="95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0"/>
  </sheetPr>
  <dimension ref="A1:D15"/>
  <sheetViews>
    <sheetView zoomScale="120" zoomScaleNormal="120" zoomScalePageLayoutView="0" workbookViewId="0" topLeftCell="A1">
      <selection activeCell="C10" sqref="C10"/>
    </sheetView>
  </sheetViews>
  <sheetFormatPr defaultColWidth="9.00390625" defaultRowHeight="12.75"/>
  <cols>
    <col min="1" max="1" width="5.625" style="186" customWidth="1"/>
    <col min="2" max="2" width="68.625" style="186" customWidth="1"/>
    <col min="3" max="3" width="19.50390625" style="186" customWidth="1"/>
    <col min="4" max="16384" width="9.375" style="186" customWidth="1"/>
  </cols>
  <sheetData>
    <row r="1" spans="1:3" ht="15">
      <c r="A1" s="187"/>
      <c r="B1" s="187"/>
      <c r="C1" s="187"/>
    </row>
    <row r="2" spans="1:3" ht="15" customHeight="1">
      <c r="A2" s="187"/>
      <c r="B2" s="734" t="str">
        <f>CONCATENATE("4. melléklet ",ALAPADATOK!A7," ",ALAPADATOK!B7," ",ALAPADATOK!C7," ",ALAPADATOK!D7," ",ALAPADATOK!E7," ",ALAPADATOK!F7," ",ALAPADATOK!G7," ",ALAPADATOK!H7)</f>
        <v>4. melléklet a … / 2019 ( … ) önkormányzati rendelethez</v>
      </c>
      <c r="C2" s="734"/>
    </row>
    <row r="3" spans="1:3" ht="15">
      <c r="A3" s="187"/>
      <c r="B3" s="187"/>
      <c r="C3" s="187"/>
    </row>
    <row r="4" spans="1:3" ht="33" customHeight="1">
      <c r="A4" s="752" t="s">
        <v>475</v>
      </c>
      <c r="B4" s="752"/>
      <c r="C4" s="752"/>
    </row>
    <row r="5" spans="1:4" ht="15.75" customHeight="1">
      <c r="A5" s="188"/>
      <c r="B5" s="188"/>
      <c r="C5" s="189" t="str">
        <f>'KV_2.2.sz.mell.'!E2</f>
        <v>Forintban!</v>
      </c>
      <c r="D5" s="190"/>
    </row>
    <row r="6" spans="1:3" ht="26.25" customHeight="1">
      <c r="A6" s="211" t="s">
        <v>469</v>
      </c>
      <c r="B6" s="212" t="s">
        <v>476</v>
      </c>
      <c r="C6" s="213" t="str">
        <f>+'KV_1.1.sz.mell.'!C8</f>
        <v>2019. évi előirányzat</v>
      </c>
    </row>
    <row r="7" spans="1:3" ht="15">
      <c r="A7" s="214"/>
      <c r="B7" s="215" t="s">
        <v>114</v>
      </c>
      <c r="C7" s="216" t="s">
        <v>115</v>
      </c>
    </row>
    <row r="8" spans="1:3" ht="15">
      <c r="A8" s="217" t="s">
        <v>116</v>
      </c>
      <c r="B8" s="218" t="s">
        <v>477</v>
      </c>
      <c r="C8" s="219">
        <v>60000000</v>
      </c>
    </row>
    <row r="9" spans="1:3" ht="24.75">
      <c r="A9" s="220" t="s">
        <v>130</v>
      </c>
      <c r="B9" s="221" t="s">
        <v>478</v>
      </c>
      <c r="C9" s="222">
        <v>14791000</v>
      </c>
    </row>
    <row r="10" spans="1:3" ht="15">
      <c r="A10" s="220" t="s">
        <v>144</v>
      </c>
      <c r="B10" s="223" t="s">
        <v>479</v>
      </c>
      <c r="C10" s="222"/>
    </row>
    <row r="11" spans="1:3" ht="24.75">
      <c r="A11" s="220" t="s">
        <v>341</v>
      </c>
      <c r="B11" s="223" t="s">
        <v>480</v>
      </c>
      <c r="C11" s="222"/>
    </row>
    <row r="12" spans="1:3" ht="15">
      <c r="A12" s="224" t="s">
        <v>174</v>
      </c>
      <c r="B12" s="223" t="s">
        <v>481</v>
      </c>
      <c r="C12" s="225"/>
    </row>
    <row r="13" spans="1:3" ht="15">
      <c r="A13" s="220" t="s">
        <v>198</v>
      </c>
      <c r="B13" s="226" t="s">
        <v>482</v>
      </c>
      <c r="C13" s="222"/>
    </row>
    <row r="14" spans="1:3" ht="15">
      <c r="A14" s="753" t="s">
        <v>483</v>
      </c>
      <c r="B14" s="753"/>
      <c r="C14" s="227">
        <f>SUM(C8:C13)</f>
        <v>74791000</v>
      </c>
    </row>
    <row r="15" spans="1:3" ht="23.25" customHeight="1">
      <c r="A15" s="754" t="s">
        <v>484</v>
      </c>
      <c r="B15" s="754"/>
      <c r="C15" s="754"/>
    </row>
  </sheetData>
  <sheetProtection sheet="1"/>
  <mergeCells count="4">
    <mergeCell ref="B2:C2"/>
    <mergeCell ref="A4:C4"/>
    <mergeCell ref="A14:B14"/>
    <mergeCell ref="A15:C15"/>
  </mergeCells>
  <printOptions horizontalCentered="1"/>
  <pageMargins left="0.7875" right="0.7875" top="1.3777777777777778" bottom="0.9840277777777777" header="0.5118055555555555" footer="0.5118055555555555"/>
  <pageSetup horizontalDpi="300" verticalDpi="300" orientation="portrait" paperSize="9" scale="95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0"/>
  </sheetPr>
  <dimension ref="A1:D15"/>
  <sheetViews>
    <sheetView zoomScale="120" zoomScaleNormal="120" zoomScalePageLayoutView="0" workbookViewId="0" topLeftCell="A1">
      <selection activeCell="A5" sqref="A5"/>
    </sheetView>
  </sheetViews>
  <sheetFormatPr defaultColWidth="9.00390625" defaultRowHeight="12.75"/>
  <cols>
    <col min="1" max="1" width="5.625" style="186" customWidth="1"/>
    <col min="2" max="2" width="66.875" style="186" customWidth="1"/>
    <col min="3" max="3" width="27.00390625" style="186" customWidth="1"/>
    <col min="4" max="16384" width="9.375" style="186" customWidth="1"/>
  </cols>
  <sheetData>
    <row r="1" spans="1:3" ht="15">
      <c r="A1" s="187"/>
      <c r="B1" s="187"/>
      <c r="C1" s="187"/>
    </row>
    <row r="2" spans="1:3" ht="15" customHeight="1">
      <c r="A2" s="187"/>
      <c r="B2" s="734" t="str">
        <f>CONCATENATE("5. melléklet ",ALAPADATOK!A7," ",ALAPADATOK!B7," ",ALAPADATOK!C7," ",ALAPADATOK!D7," ",ALAPADATOK!E7," ",ALAPADATOK!F7," ",ALAPADATOK!G7," ",ALAPADATOK!H7)</f>
        <v>5. melléklet a … / 2019 ( … ) önkormányzati rendelethez</v>
      </c>
      <c r="C2" s="734"/>
    </row>
    <row r="3" spans="1:3" ht="15">
      <c r="A3" s="187"/>
      <c r="B3" s="187"/>
      <c r="C3" s="187"/>
    </row>
    <row r="4" spans="1:3" ht="33" customHeight="1">
      <c r="A4" s="752" t="s">
        <v>485</v>
      </c>
      <c r="B4" s="752"/>
      <c r="C4" s="752"/>
    </row>
    <row r="5" spans="1:4" ht="15.75" customHeight="1">
      <c r="A5" s="188"/>
      <c r="B5" s="188"/>
      <c r="C5" s="189" t="str">
        <f>'KV_4.sz.mell.'!C5</f>
        <v>Forintban!</v>
      </c>
      <c r="D5" s="190"/>
    </row>
    <row r="6" spans="1:3" ht="26.25" customHeight="1">
      <c r="A6" s="211" t="s">
        <v>469</v>
      </c>
      <c r="B6" s="212" t="s">
        <v>486</v>
      </c>
      <c r="C6" s="213" t="s">
        <v>487</v>
      </c>
    </row>
    <row r="7" spans="1:3" ht="15">
      <c r="A7" s="214"/>
      <c r="B7" s="215" t="s">
        <v>114</v>
      </c>
      <c r="C7" s="216" t="s">
        <v>115</v>
      </c>
    </row>
    <row r="8" spans="1:3" ht="15">
      <c r="A8" s="217" t="s">
        <v>116</v>
      </c>
      <c r="B8" s="228"/>
      <c r="C8" s="229"/>
    </row>
    <row r="9" spans="1:3" ht="15">
      <c r="A9" s="220" t="s">
        <v>130</v>
      </c>
      <c r="B9" s="230"/>
      <c r="C9" s="231"/>
    </row>
    <row r="10" spans="1:3" ht="15">
      <c r="A10" s="224" t="s">
        <v>144</v>
      </c>
      <c r="B10" s="232"/>
      <c r="C10" s="233"/>
    </row>
    <row r="11" spans="1:3" s="210" customFormat="1" ht="17.25" customHeight="1">
      <c r="A11" s="234" t="s">
        <v>341</v>
      </c>
      <c r="B11" s="235" t="s">
        <v>488</v>
      </c>
      <c r="C11" s="227">
        <f>SUM(C8:C10)</f>
        <v>0</v>
      </c>
    </row>
    <row r="15" ht="15.75">
      <c r="B15" s="236"/>
    </row>
  </sheetData>
  <sheetProtection sheet="1"/>
  <mergeCells count="2">
    <mergeCell ref="B2:C2"/>
    <mergeCell ref="A4:C4"/>
  </mergeCells>
  <printOptions horizontalCentered="1"/>
  <pageMargins left="0.7875" right="0.7875" top="1.3777777777777778" bottom="0.9840277777777777" header="0.5118055555555555" footer="0.5118055555555555"/>
  <pageSetup horizontalDpi="300" verticalDpi="300" orientation="portrait" paperSize="9" scale="95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0"/>
  </sheetPr>
  <dimension ref="A1:F24"/>
  <sheetViews>
    <sheetView zoomScale="120" zoomScaleNormal="120" zoomScalePageLayoutView="0" workbookViewId="0" topLeftCell="A1">
      <selection activeCell="A4" sqref="A4"/>
    </sheetView>
  </sheetViews>
  <sheetFormatPr defaultColWidth="9.00390625" defaultRowHeight="12.75"/>
  <cols>
    <col min="1" max="1" width="47.125" style="237" customWidth="1"/>
    <col min="2" max="2" width="15.625" style="238" customWidth="1"/>
    <col min="3" max="3" width="16.375" style="238" customWidth="1"/>
    <col min="4" max="4" width="18.00390625" style="238" customWidth="1"/>
    <col min="5" max="5" width="16.625" style="238" customWidth="1"/>
    <col min="6" max="6" width="18.875" style="127" customWidth="1"/>
    <col min="7" max="8" width="12.875" style="238" customWidth="1"/>
    <col min="9" max="9" width="13.875" style="238" customWidth="1"/>
    <col min="10" max="16384" width="9.375" style="238" customWidth="1"/>
  </cols>
  <sheetData>
    <row r="1" spans="1:6" ht="12.75">
      <c r="A1" s="239"/>
      <c r="B1" s="240"/>
      <c r="C1" s="240"/>
      <c r="D1" s="240"/>
      <c r="E1" s="240"/>
      <c r="F1" s="240"/>
    </row>
    <row r="2" spans="1:6" ht="18" customHeight="1">
      <c r="A2" s="239"/>
      <c r="B2" s="755" t="str">
        <f>CONCATENATE("6. melléklet ",ALAPADATOK!A7," ",ALAPADATOK!B7," ",ALAPADATOK!C7," ",ALAPADATOK!D7," ",ALAPADATOK!E7," ",ALAPADATOK!F7," ",ALAPADATOK!G7," ",ALAPADATOK!H7)</f>
        <v>6. melléklet a … / 2019 ( … ) önkormányzati rendelethez</v>
      </c>
      <c r="C2" s="755"/>
      <c r="D2" s="755"/>
      <c r="E2" s="755"/>
      <c r="F2" s="755"/>
    </row>
    <row r="3" spans="1:6" ht="12.75">
      <c r="A3" s="239"/>
      <c r="B3" s="240"/>
      <c r="C3" s="240"/>
      <c r="D3" s="240"/>
      <c r="E3" s="240"/>
      <c r="F3" s="240"/>
    </row>
    <row r="4" spans="1:6" ht="25.5" customHeight="1">
      <c r="A4" s="756" t="s">
        <v>489</v>
      </c>
      <c r="B4" s="756"/>
      <c r="C4" s="756"/>
      <c r="D4" s="756"/>
      <c r="E4" s="756"/>
      <c r="F4" s="756"/>
    </row>
    <row r="5" spans="1:6" ht="22.5" customHeight="1">
      <c r="A5" s="239"/>
      <c r="B5" s="240"/>
      <c r="C5" s="240"/>
      <c r="D5" s="240"/>
      <c r="E5" s="240"/>
      <c r="F5" s="241" t="str">
        <f>'KV_5.sz.mell.'!C5</f>
        <v>Forintban!</v>
      </c>
    </row>
    <row r="6" spans="1:6" s="245" customFormat="1" ht="44.25" customHeight="1">
      <c r="A6" s="242" t="s">
        <v>490</v>
      </c>
      <c r="B6" s="243" t="s">
        <v>491</v>
      </c>
      <c r="C6" s="243" t="s">
        <v>492</v>
      </c>
      <c r="D6" s="243" t="str">
        <f>+CONCATENATE("Felhasználás   ",LEFT(KV_ÖSSZEFÜGGÉSEK!A5,4)-1,". XII. 31-ig")</f>
        <v>Felhasználás   2018. XII. 31-ig</v>
      </c>
      <c r="E6" s="243" t="str">
        <f>+'KV_1.1.sz.mell.'!C8</f>
        <v>2019. évi előirányzat</v>
      </c>
      <c r="F6" s="244" t="str">
        <f>+CONCATENATE(LEFT(KV_ÖSSZEFÜGGÉSEK!A5,4),". utáni szükséglet")</f>
        <v>2019. utáni szükséglet</v>
      </c>
    </row>
    <row r="7" spans="1:6" s="127" customFormat="1" ht="12" customHeight="1">
      <c r="A7" s="246" t="s">
        <v>114</v>
      </c>
      <c r="B7" s="247" t="s">
        <v>115</v>
      </c>
      <c r="C7" s="247" t="s">
        <v>385</v>
      </c>
      <c r="D7" s="247" t="s">
        <v>386</v>
      </c>
      <c r="E7" s="247" t="s">
        <v>473</v>
      </c>
      <c r="F7" s="248" t="s">
        <v>493</v>
      </c>
    </row>
    <row r="8" spans="1:6" ht="15.75" customHeight="1">
      <c r="A8" s="249" t="s">
        <v>494</v>
      </c>
      <c r="B8" s="250">
        <v>7000000</v>
      </c>
      <c r="C8" s="251" t="s">
        <v>495</v>
      </c>
      <c r="D8" s="250"/>
      <c r="E8" s="250">
        <v>7000000</v>
      </c>
      <c r="F8" s="252">
        <f aca="true" t="shared" si="0" ref="F8:F23">B8-D8-E8</f>
        <v>0</v>
      </c>
    </row>
    <row r="9" spans="1:6" ht="15.75" customHeight="1">
      <c r="A9" s="249" t="s">
        <v>496</v>
      </c>
      <c r="B9" s="250">
        <v>10211862</v>
      </c>
      <c r="C9" s="251" t="s">
        <v>495</v>
      </c>
      <c r="D9" s="250"/>
      <c r="E9" s="250">
        <v>10211862</v>
      </c>
      <c r="F9" s="252">
        <f t="shared" si="0"/>
        <v>0</v>
      </c>
    </row>
    <row r="10" spans="1:6" ht="15.75" customHeight="1">
      <c r="A10" s="249" t="s">
        <v>497</v>
      </c>
      <c r="B10" s="250">
        <v>10000000</v>
      </c>
      <c r="C10" s="251" t="s">
        <v>495</v>
      </c>
      <c r="D10" s="250"/>
      <c r="E10" s="250">
        <v>10000000</v>
      </c>
      <c r="F10" s="252">
        <f t="shared" si="0"/>
        <v>0</v>
      </c>
    </row>
    <row r="11" spans="1:6" ht="15.75" customHeight="1">
      <c r="A11" s="253" t="s">
        <v>498</v>
      </c>
      <c r="B11" s="250">
        <v>635000</v>
      </c>
      <c r="C11" s="251" t="s">
        <v>495</v>
      </c>
      <c r="D11" s="250"/>
      <c r="E11" s="250">
        <v>635000</v>
      </c>
      <c r="F11" s="252">
        <f t="shared" si="0"/>
        <v>0</v>
      </c>
    </row>
    <row r="12" spans="1:6" ht="15.75" customHeight="1">
      <c r="A12" s="249" t="s">
        <v>499</v>
      </c>
      <c r="B12" s="250">
        <v>167000</v>
      </c>
      <c r="C12" s="251" t="s">
        <v>495</v>
      </c>
      <c r="D12" s="250"/>
      <c r="E12" s="250">
        <v>167000</v>
      </c>
      <c r="F12" s="252">
        <f t="shared" si="0"/>
        <v>0</v>
      </c>
    </row>
    <row r="13" spans="1:6" ht="15.75" customHeight="1">
      <c r="A13" s="254"/>
      <c r="B13" s="250"/>
      <c r="C13" s="251"/>
      <c r="D13" s="250"/>
      <c r="E13" s="250"/>
      <c r="F13" s="252">
        <f t="shared" si="0"/>
        <v>0</v>
      </c>
    </row>
    <row r="14" spans="1:6" ht="15.75" customHeight="1">
      <c r="A14" s="249"/>
      <c r="B14" s="250"/>
      <c r="C14" s="251"/>
      <c r="D14" s="250"/>
      <c r="E14" s="250"/>
      <c r="F14" s="252">
        <f t="shared" si="0"/>
        <v>0</v>
      </c>
    </row>
    <row r="15" spans="1:6" ht="15.75" customHeight="1">
      <c r="A15" s="249"/>
      <c r="B15" s="250"/>
      <c r="C15" s="251"/>
      <c r="D15" s="250"/>
      <c r="E15" s="250"/>
      <c r="F15" s="252">
        <f t="shared" si="0"/>
        <v>0</v>
      </c>
    </row>
    <row r="16" spans="1:6" ht="15.75" customHeight="1">
      <c r="A16" s="249"/>
      <c r="B16" s="250"/>
      <c r="C16" s="251"/>
      <c r="D16" s="250"/>
      <c r="E16" s="250"/>
      <c r="F16" s="252">
        <f t="shared" si="0"/>
        <v>0</v>
      </c>
    </row>
    <row r="17" spans="1:6" ht="15.75" customHeight="1">
      <c r="A17" s="249"/>
      <c r="B17" s="250"/>
      <c r="C17" s="251"/>
      <c r="D17" s="250"/>
      <c r="E17" s="250"/>
      <c r="F17" s="252">
        <f t="shared" si="0"/>
        <v>0</v>
      </c>
    </row>
    <row r="18" spans="1:6" ht="15.75" customHeight="1">
      <c r="A18" s="249"/>
      <c r="B18" s="250"/>
      <c r="C18" s="251"/>
      <c r="D18" s="250"/>
      <c r="E18" s="250"/>
      <c r="F18" s="252">
        <f t="shared" si="0"/>
        <v>0</v>
      </c>
    </row>
    <row r="19" spans="1:6" ht="15.75" customHeight="1">
      <c r="A19" s="249"/>
      <c r="B19" s="250"/>
      <c r="C19" s="251"/>
      <c r="D19" s="250"/>
      <c r="E19" s="250"/>
      <c r="F19" s="252">
        <f t="shared" si="0"/>
        <v>0</v>
      </c>
    </row>
    <row r="20" spans="1:6" ht="15.75" customHeight="1">
      <c r="A20" s="249"/>
      <c r="B20" s="250"/>
      <c r="C20" s="251"/>
      <c r="D20" s="250"/>
      <c r="E20" s="250"/>
      <c r="F20" s="252">
        <f t="shared" si="0"/>
        <v>0</v>
      </c>
    </row>
    <row r="21" spans="1:6" ht="15.75" customHeight="1">
      <c r="A21" s="249"/>
      <c r="B21" s="250"/>
      <c r="C21" s="251"/>
      <c r="D21" s="250"/>
      <c r="E21" s="250"/>
      <c r="F21" s="252">
        <f t="shared" si="0"/>
        <v>0</v>
      </c>
    </row>
    <row r="22" spans="1:6" ht="15.75" customHeight="1">
      <c r="A22" s="249"/>
      <c r="B22" s="250"/>
      <c r="C22" s="251"/>
      <c r="D22" s="250"/>
      <c r="E22" s="250"/>
      <c r="F22" s="252">
        <f t="shared" si="0"/>
        <v>0</v>
      </c>
    </row>
    <row r="23" spans="1:6" ht="15.75" customHeight="1">
      <c r="A23" s="151"/>
      <c r="B23" s="255"/>
      <c r="C23" s="256"/>
      <c r="D23" s="255"/>
      <c r="E23" s="255"/>
      <c r="F23" s="257">
        <f t="shared" si="0"/>
        <v>0</v>
      </c>
    </row>
    <row r="24" spans="1:6" s="262" customFormat="1" ht="18" customHeight="1">
      <c r="A24" s="258" t="s">
        <v>500</v>
      </c>
      <c r="B24" s="259">
        <f>SUM(B8:B23)</f>
        <v>28013862</v>
      </c>
      <c r="C24" s="260"/>
      <c r="D24" s="259">
        <f>SUM(D8:D23)</f>
        <v>0</v>
      </c>
      <c r="E24" s="259">
        <f>SUM(E8:E23)</f>
        <v>28013862</v>
      </c>
      <c r="F24" s="261">
        <f>SUM(F8:F23)</f>
        <v>0</v>
      </c>
    </row>
  </sheetData>
  <sheetProtection selectLockedCells="1" selectUnlockedCells="1"/>
  <mergeCells count="2">
    <mergeCell ref="B2:F2"/>
    <mergeCell ref="A4:F4"/>
  </mergeCells>
  <printOptions horizontalCentered="1"/>
  <pageMargins left="0.7875" right="0.7875" top="1.023611111111111" bottom="0.9840277777777777" header="0.5118055555555555" footer="0.5118055555555555"/>
  <pageSetup horizontalDpi="300" verticalDpi="300" orientation="landscape" paperSize="9" scale="105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0"/>
  </sheetPr>
  <dimension ref="A1:F25"/>
  <sheetViews>
    <sheetView zoomScale="120" zoomScaleNormal="120" zoomScalePageLayoutView="0" workbookViewId="0" topLeftCell="A4">
      <selection activeCell="B14" sqref="B14"/>
    </sheetView>
  </sheetViews>
  <sheetFormatPr defaultColWidth="9.00390625" defaultRowHeight="12.75"/>
  <cols>
    <col min="1" max="1" width="60.625" style="237" customWidth="1"/>
    <col min="2" max="2" width="15.625" style="238" customWidth="1"/>
    <col min="3" max="3" width="16.375" style="238" customWidth="1"/>
    <col min="4" max="4" width="18.00390625" style="238" customWidth="1"/>
    <col min="5" max="5" width="16.625" style="238" customWidth="1"/>
    <col min="6" max="6" width="18.875" style="238" customWidth="1"/>
    <col min="7" max="8" width="12.875" style="238" customWidth="1"/>
    <col min="9" max="9" width="13.875" style="238" customWidth="1"/>
    <col min="10" max="16384" width="9.375" style="238" customWidth="1"/>
  </cols>
  <sheetData>
    <row r="1" spans="1:6" ht="12.75">
      <c r="A1" s="239"/>
      <c r="B1" s="240"/>
      <c r="C1" s="240"/>
      <c r="D1" s="240"/>
      <c r="E1" s="240"/>
      <c r="F1" s="240"/>
    </row>
    <row r="2" spans="1:6" ht="21" customHeight="1">
      <c r="A2" s="239"/>
      <c r="B2" s="755" t="str">
        <f>CONCATENATE("7. melléklet ",ALAPADATOK!A7," ",ALAPADATOK!B7," ",ALAPADATOK!C7," ",ALAPADATOK!D7," ",ALAPADATOK!E7," ",ALAPADATOK!F7," ",ALAPADATOK!G7," ",ALAPADATOK!H7)</f>
        <v>7. melléklet a … / 2019 ( … ) önkormányzati rendelethez</v>
      </c>
      <c r="C2" s="755"/>
      <c r="D2" s="755"/>
      <c r="E2" s="755"/>
      <c r="F2" s="755"/>
    </row>
    <row r="3" spans="1:6" ht="12.75">
      <c r="A3" s="239"/>
      <c r="B3" s="240"/>
      <c r="C3" s="240"/>
      <c r="D3" s="240"/>
      <c r="E3" s="240"/>
      <c r="F3" s="240"/>
    </row>
    <row r="4" spans="1:6" ht="24.75" customHeight="1">
      <c r="A4" s="756" t="s">
        <v>501</v>
      </c>
      <c r="B4" s="756"/>
      <c r="C4" s="756"/>
      <c r="D4" s="756"/>
      <c r="E4" s="756"/>
      <c r="F4" s="756"/>
    </row>
    <row r="5" spans="1:6" ht="23.25" customHeight="1">
      <c r="A5" s="239"/>
      <c r="B5" s="240"/>
      <c r="C5" s="240"/>
      <c r="D5" s="240"/>
      <c r="E5" s="240"/>
      <c r="F5" s="241" t="str">
        <f>'KV_6.sz.mell.'!F5</f>
        <v>Forintban!</v>
      </c>
    </row>
    <row r="6" spans="1:6" s="245" customFormat="1" ht="48.75" customHeight="1">
      <c r="A6" s="242" t="s">
        <v>502</v>
      </c>
      <c r="B6" s="243" t="s">
        <v>491</v>
      </c>
      <c r="C6" s="243" t="s">
        <v>492</v>
      </c>
      <c r="D6" s="243" t="str">
        <f>+'KV_6.sz.mell.'!D6</f>
        <v>Felhasználás   2018. XII. 31-ig</v>
      </c>
      <c r="E6" s="243" t="str">
        <f>+'KV_6.sz.mell.'!E6</f>
        <v>2019. évi előirányzat</v>
      </c>
      <c r="F6" s="263" t="str">
        <f>+CONCATENATE(LEFT(KV_ÖSSZEFÜGGÉSEK!A5,4),". utáni szükséglet ",CHAR(10),"")</f>
        <v>2019. utáni szükséglet 
</v>
      </c>
    </row>
    <row r="7" spans="1:6" s="127" customFormat="1" ht="15" customHeight="1">
      <c r="A7" s="246" t="s">
        <v>114</v>
      </c>
      <c r="B7" s="247" t="s">
        <v>115</v>
      </c>
      <c r="C7" s="247" t="s">
        <v>385</v>
      </c>
      <c r="D7" s="247" t="s">
        <v>386</v>
      </c>
      <c r="E7" s="247" t="s">
        <v>473</v>
      </c>
      <c r="F7" s="248" t="s">
        <v>493</v>
      </c>
    </row>
    <row r="8" spans="1:6" ht="15.75" customHeight="1">
      <c r="A8" s="249" t="s">
        <v>503</v>
      </c>
      <c r="B8" s="250">
        <v>13000000</v>
      </c>
      <c r="C8" s="264" t="s">
        <v>495</v>
      </c>
      <c r="D8" s="265"/>
      <c r="E8" s="250">
        <v>13000000</v>
      </c>
      <c r="F8" s="266">
        <f aca="true" t="shared" si="0" ref="F8:F24">B8-D8-E8</f>
        <v>0</v>
      </c>
    </row>
    <row r="9" spans="1:6" ht="15.75" customHeight="1">
      <c r="A9" s="249" t="s">
        <v>504</v>
      </c>
      <c r="B9" s="250">
        <v>5000000</v>
      </c>
      <c r="C9" s="264" t="s">
        <v>495</v>
      </c>
      <c r="D9" s="265"/>
      <c r="E9" s="250">
        <v>5000000</v>
      </c>
      <c r="F9" s="266">
        <f t="shared" si="0"/>
        <v>0</v>
      </c>
    </row>
    <row r="10" spans="1:6" ht="15.75" customHeight="1">
      <c r="A10" s="249" t="s">
        <v>505</v>
      </c>
      <c r="B10" s="250">
        <v>5000000</v>
      </c>
      <c r="C10" s="264" t="s">
        <v>495</v>
      </c>
      <c r="D10" s="265"/>
      <c r="E10" s="250">
        <v>5000000</v>
      </c>
      <c r="F10" s="266">
        <f t="shared" si="0"/>
        <v>0</v>
      </c>
    </row>
    <row r="11" spans="1:6" ht="15.75" customHeight="1">
      <c r="A11" s="254" t="s">
        <v>506</v>
      </c>
      <c r="B11" s="250">
        <v>7000000</v>
      </c>
      <c r="C11" s="264" t="s">
        <v>495</v>
      </c>
      <c r="D11" s="265"/>
      <c r="E11" s="250">
        <v>7000000</v>
      </c>
      <c r="F11" s="266">
        <f t="shared" si="0"/>
        <v>0</v>
      </c>
    </row>
    <row r="12" spans="1:6" ht="15.75" customHeight="1">
      <c r="A12" s="249" t="s">
        <v>507</v>
      </c>
      <c r="B12" s="250">
        <v>5672620</v>
      </c>
      <c r="C12" s="264" t="s">
        <v>495</v>
      </c>
      <c r="D12" s="265"/>
      <c r="E12" s="250">
        <v>5672620</v>
      </c>
      <c r="F12" s="266">
        <f t="shared" si="0"/>
        <v>0</v>
      </c>
    </row>
    <row r="13" spans="1:6" ht="15.75" customHeight="1">
      <c r="A13" s="267" t="s">
        <v>508</v>
      </c>
      <c r="B13" s="265">
        <v>56839146</v>
      </c>
      <c r="C13" s="264" t="s">
        <v>509</v>
      </c>
      <c r="D13" s="265">
        <v>1270000</v>
      </c>
      <c r="E13" s="265">
        <v>55569146</v>
      </c>
      <c r="F13" s="266">
        <f t="shared" si="0"/>
        <v>0</v>
      </c>
    </row>
    <row r="14" spans="1:6" ht="15.75" customHeight="1">
      <c r="A14" s="267" t="s">
        <v>510</v>
      </c>
      <c r="B14" s="265">
        <v>64522066</v>
      </c>
      <c r="C14" s="264" t="s">
        <v>509</v>
      </c>
      <c r="D14" s="265">
        <v>2476500</v>
      </c>
      <c r="E14" s="265">
        <v>62045566</v>
      </c>
      <c r="F14" s="266">
        <f t="shared" si="0"/>
        <v>0</v>
      </c>
    </row>
    <row r="15" spans="1:6" ht="15.75" customHeight="1">
      <c r="A15" s="267"/>
      <c r="B15" s="265"/>
      <c r="C15" s="264"/>
      <c r="D15" s="265"/>
      <c r="E15" s="265"/>
      <c r="F15" s="266">
        <f t="shared" si="0"/>
        <v>0</v>
      </c>
    </row>
    <row r="16" spans="1:6" ht="15.75" customHeight="1">
      <c r="A16" s="267"/>
      <c r="B16" s="265"/>
      <c r="C16" s="264"/>
      <c r="D16" s="265"/>
      <c r="E16" s="265"/>
      <c r="F16" s="266">
        <f t="shared" si="0"/>
        <v>0</v>
      </c>
    </row>
    <row r="17" spans="1:6" ht="15.75" customHeight="1">
      <c r="A17" s="267"/>
      <c r="B17" s="265"/>
      <c r="C17" s="264"/>
      <c r="D17" s="265"/>
      <c r="E17" s="265"/>
      <c r="F17" s="266">
        <f t="shared" si="0"/>
        <v>0</v>
      </c>
    </row>
    <row r="18" spans="1:6" ht="15.75" customHeight="1">
      <c r="A18" s="267"/>
      <c r="B18" s="265"/>
      <c r="C18" s="264"/>
      <c r="D18" s="265"/>
      <c r="E18" s="265"/>
      <c r="F18" s="266">
        <f t="shared" si="0"/>
        <v>0</v>
      </c>
    </row>
    <row r="19" spans="1:6" ht="15.75" customHeight="1">
      <c r="A19" s="267"/>
      <c r="B19" s="265"/>
      <c r="C19" s="264"/>
      <c r="D19" s="265"/>
      <c r="E19" s="265"/>
      <c r="F19" s="266">
        <f t="shared" si="0"/>
        <v>0</v>
      </c>
    </row>
    <row r="20" spans="1:6" ht="15.75" customHeight="1">
      <c r="A20" s="267"/>
      <c r="B20" s="265"/>
      <c r="C20" s="264"/>
      <c r="D20" s="265"/>
      <c r="E20" s="265"/>
      <c r="F20" s="266">
        <f t="shared" si="0"/>
        <v>0</v>
      </c>
    </row>
    <row r="21" spans="1:6" ht="15.75" customHeight="1">
      <c r="A21" s="267"/>
      <c r="B21" s="265"/>
      <c r="C21" s="264"/>
      <c r="D21" s="265"/>
      <c r="E21" s="265"/>
      <c r="F21" s="266">
        <f t="shared" si="0"/>
        <v>0</v>
      </c>
    </row>
    <row r="22" spans="1:6" ht="15.75" customHeight="1">
      <c r="A22" s="267"/>
      <c r="B22" s="265"/>
      <c r="C22" s="264"/>
      <c r="D22" s="265"/>
      <c r="E22" s="265"/>
      <c r="F22" s="266">
        <f t="shared" si="0"/>
        <v>0</v>
      </c>
    </row>
    <row r="23" spans="1:6" ht="15.75" customHeight="1">
      <c r="A23" s="267"/>
      <c r="B23" s="265"/>
      <c r="C23" s="264"/>
      <c r="D23" s="265"/>
      <c r="E23" s="265"/>
      <c r="F23" s="266">
        <f t="shared" si="0"/>
        <v>0</v>
      </c>
    </row>
    <row r="24" spans="1:6" ht="15.75" customHeight="1">
      <c r="A24" s="268"/>
      <c r="B24" s="269"/>
      <c r="C24" s="270"/>
      <c r="D24" s="269"/>
      <c r="E24" s="269"/>
      <c r="F24" s="271">
        <f t="shared" si="0"/>
        <v>0</v>
      </c>
    </row>
    <row r="25" spans="1:6" s="262" customFormat="1" ht="18" customHeight="1">
      <c r="A25" s="258" t="s">
        <v>500</v>
      </c>
      <c r="B25" s="272">
        <f>SUM(B8:B24)</f>
        <v>157033832</v>
      </c>
      <c r="C25" s="273"/>
      <c r="D25" s="272">
        <f>SUM(D8:D24)</f>
        <v>3746500</v>
      </c>
      <c r="E25" s="272">
        <f>SUM(E8:E24)</f>
        <v>153287332</v>
      </c>
      <c r="F25" s="274">
        <f>SUM(F8:F24)</f>
        <v>0</v>
      </c>
    </row>
  </sheetData>
  <sheetProtection sheet="1"/>
  <mergeCells count="2">
    <mergeCell ref="B2:F2"/>
    <mergeCell ref="A4:F4"/>
  </mergeCells>
  <printOptions horizontalCentered="1"/>
  <pageMargins left="0.7875" right="0.7875" top="1.2208333333333332" bottom="0.9840277777777777" header="0.7875" footer="0.5118055555555555"/>
  <pageSetup horizontalDpi="300" verticalDpi="300" orientation="landscape" paperSize="9" scale="95"/>
  <headerFooter alignWithMargins="0">
    <oddHeader xml:space="preserve">&amp;R   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0"/>
  </sheetPr>
  <dimension ref="A1:H175"/>
  <sheetViews>
    <sheetView zoomScale="120" zoomScaleNormal="120" zoomScalePageLayoutView="0" workbookViewId="0" topLeftCell="A76">
      <selection activeCell="C72" sqref="C72"/>
    </sheetView>
  </sheetViews>
  <sheetFormatPr defaultColWidth="9.00390625" defaultRowHeight="12.75"/>
  <cols>
    <col min="1" max="1" width="38.625" style="275" customWidth="1"/>
    <col min="2" max="5" width="13.875" style="275" customWidth="1"/>
    <col min="6" max="16384" width="9.375" style="275" customWidth="1"/>
  </cols>
  <sheetData>
    <row r="1" spans="1:5" ht="15">
      <c r="A1" s="769" t="str">
        <f>CONCATENATE("8. melléklet ",ALAPADATOK!A7," ",ALAPADATOK!B7," ",ALAPADATOK!C7," ",ALAPADATOK!D7," ",ALAPADATOK!E7," ",ALAPADATOK!F7," ",ALAPADATOK!G7," ",ALAPADATOK!H7)</f>
        <v>8. melléklet a … / 2019 ( … ) önkormányzati rendelethez</v>
      </c>
      <c r="B1" s="769"/>
      <c r="C1" s="769"/>
      <c r="D1" s="769"/>
      <c r="E1" s="769"/>
    </row>
    <row r="2" spans="1:5" ht="10.5" customHeight="1">
      <c r="A2" s="276"/>
      <c r="B2" s="277"/>
      <c r="C2" s="277"/>
      <c r="D2" s="277"/>
      <c r="E2" s="277"/>
    </row>
    <row r="3" spans="1:5" ht="15.75">
      <c r="A3" s="770" t="s">
        <v>511</v>
      </c>
      <c r="B3" s="770"/>
      <c r="C3" s="770"/>
      <c r="D3" s="770"/>
      <c r="E3" s="770"/>
    </row>
    <row r="4" spans="1:5" ht="15.75">
      <c r="A4" s="770" t="s">
        <v>512</v>
      </c>
      <c r="B4" s="770"/>
      <c r="C4" s="770"/>
      <c r="D4" s="770"/>
      <c r="E4" s="770"/>
    </row>
    <row r="5" spans="1:5" ht="36.75" customHeight="1">
      <c r="A5" s="278" t="s">
        <v>513</v>
      </c>
      <c r="B5" s="771" t="s">
        <v>514</v>
      </c>
      <c r="C5" s="771"/>
      <c r="D5" s="771"/>
      <c r="E5" s="771"/>
    </row>
    <row r="6" spans="1:5" ht="13.5">
      <c r="A6" s="279"/>
      <c r="B6" s="279"/>
      <c r="C6" s="279"/>
      <c r="D6" s="768" t="str">
        <f>'KV_7.sz.mell.'!F5</f>
        <v>Forintban!</v>
      </c>
      <c r="E6" s="768"/>
    </row>
    <row r="7" spans="1:5" ht="15" customHeight="1">
      <c r="A7" s="280" t="s">
        <v>515</v>
      </c>
      <c r="B7" s="281" t="str">
        <f>CONCATENATE((LEFT(KV_ÖSSZEFÜGGÉSEK!A5,4)),".")</f>
        <v>2019.</v>
      </c>
      <c r="C7" s="281" t="str">
        <f>CONCATENATE((LEFT(KV_ÖSSZEFÜGGÉSEK!A5,4))+1,".")</f>
        <v>2020.</v>
      </c>
      <c r="D7" s="281" t="str">
        <f>CONCATENATE((LEFT(KV_ÖSSZEFÜGGÉSEK!A5,4))+1,". után")</f>
        <v>2020. után</v>
      </c>
      <c r="E7" s="282" t="s">
        <v>516</v>
      </c>
    </row>
    <row r="8" spans="1:5" ht="12.75">
      <c r="A8" s="283" t="s">
        <v>517</v>
      </c>
      <c r="B8" s="284">
        <v>6000000</v>
      </c>
      <c r="C8" s="285"/>
      <c r="D8" s="285"/>
      <c r="E8" s="286">
        <f aca="true" t="shared" si="0" ref="E8:E14">SUM(B8:D8)</f>
        <v>6000000</v>
      </c>
    </row>
    <row r="9" spans="1:5" ht="12.75">
      <c r="A9" s="287" t="s">
        <v>518</v>
      </c>
      <c r="B9" s="288"/>
      <c r="C9" s="288"/>
      <c r="D9" s="288"/>
      <c r="E9" s="289">
        <f t="shared" si="0"/>
        <v>0</v>
      </c>
    </row>
    <row r="10" spans="1:5" ht="12.75">
      <c r="A10" s="290" t="s">
        <v>519</v>
      </c>
      <c r="B10" s="291">
        <v>46131516</v>
      </c>
      <c r="C10" s="291"/>
      <c r="D10" s="291"/>
      <c r="E10" s="292">
        <f t="shared" si="0"/>
        <v>46131516</v>
      </c>
    </row>
    <row r="11" spans="1:5" ht="12.75">
      <c r="A11" s="290" t="s">
        <v>520</v>
      </c>
      <c r="B11" s="291"/>
      <c r="C11" s="291"/>
      <c r="D11" s="291"/>
      <c r="E11" s="292">
        <f t="shared" si="0"/>
        <v>0</v>
      </c>
    </row>
    <row r="12" spans="1:5" ht="12.75">
      <c r="A12" s="290" t="s">
        <v>521</v>
      </c>
      <c r="B12" s="291"/>
      <c r="C12" s="291"/>
      <c r="D12" s="291"/>
      <c r="E12" s="292">
        <f t="shared" si="0"/>
        <v>0</v>
      </c>
    </row>
    <row r="13" spans="1:5" ht="12.75">
      <c r="A13" s="290" t="s">
        <v>522</v>
      </c>
      <c r="B13" s="291">
        <v>13000000</v>
      </c>
      <c r="C13" s="291"/>
      <c r="D13" s="291"/>
      <c r="E13" s="292">
        <f t="shared" si="0"/>
        <v>13000000</v>
      </c>
    </row>
    <row r="14" spans="1:5" ht="12.75">
      <c r="A14" s="293"/>
      <c r="B14" s="294"/>
      <c r="C14" s="294"/>
      <c r="D14" s="294"/>
      <c r="E14" s="292">
        <f t="shared" si="0"/>
        <v>0</v>
      </c>
    </row>
    <row r="15" spans="1:5" ht="12.75">
      <c r="A15" s="295" t="s">
        <v>523</v>
      </c>
      <c r="B15" s="296">
        <f>B8+SUM(B10:B14)</f>
        <v>65131516</v>
      </c>
      <c r="C15" s="296">
        <f>C8+SUM(C10:C14)</f>
        <v>0</v>
      </c>
      <c r="D15" s="296">
        <f>D8+SUM(D10:D14)</f>
        <v>0</v>
      </c>
      <c r="E15" s="297">
        <f>E8+SUM(E10:E14)</f>
        <v>65131516</v>
      </c>
    </row>
    <row r="16" spans="1:5" ht="12.75">
      <c r="A16" s="298"/>
      <c r="B16" s="298"/>
      <c r="C16" s="298"/>
      <c r="D16" s="298"/>
      <c r="E16" s="298"/>
    </row>
    <row r="17" spans="1:5" ht="15" customHeight="1">
      <c r="A17" s="299" t="s">
        <v>524</v>
      </c>
      <c r="B17" s="300" t="str">
        <f>+B7</f>
        <v>2019.</v>
      </c>
      <c r="C17" s="300" t="str">
        <f>+C7</f>
        <v>2020.</v>
      </c>
      <c r="D17" s="300" t="str">
        <f>+D7</f>
        <v>2020. után</v>
      </c>
      <c r="E17" s="301" t="s">
        <v>516</v>
      </c>
    </row>
    <row r="18" spans="1:5" ht="12.75">
      <c r="A18" s="283" t="s">
        <v>525</v>
      </c>
      <c r="B18" s="285">
        <v>609450</v>
      </c>
      <c r="C18" s="285"/>
      <c r="D18" s="285"/>
      <c r="E18" s="286">
        <f aca="true" t="shared" si="1" ref="E18:E23">SUM(B18:D18)</f>
        <v>609450</v>
      </c>
    </row>
    <row r="19" spans="1:5" ht="12.75">
      <c r="A19" s="302" t="s">
        <v>526</v>
      </c>
      <c r="B19" s="291">
        <v>64522066</v>
      </c>
      <c r="C19" s="291"/>
      <c r="D19" s="291"/>
      <c r="E19" s="292">
        <f t="shared" si="1"/>
        <v>64522066</v>
      </c>
    </row>
    <row r="20" spans="1:5" ht="12.75">
      <c r="A20" s="290" t="s">
        <v>527</v>
      </c>
      <c r="B20" s="291"/>
      <c r="C20" s="291"/>
      <c r="D20" s="291"/>
      <c r="E20" s="292">
        <f t="shared" si="1"/>
        <v>0</v>
      </c>
    </row>
    <row r="21" spans="1:5" ht="12.75">
      <c r="A21" s="290" t="s">
        <v>528</v>
      </c>
      <c r="B21" s="291"/>
      <c r="C21" s="291"/>
      <c r="D21" s="291"/>
      <c r="E21" s="292">
        <f t="shared" si="1"/>
        <v>0</v>
      </c>
    </row>
    <row r="22" spans="1:5" ht="12.75">
      <c r="A22" s="303"/>
      <c r="B22" s="291"/>
      <c r="C22" s="291"/>
      <c r="D22" s="291"/>
      <c r="E22" s="292">
        <f t="shared" si="1"/>
        <v>0</v>
      </c>
    </row>
    <row r="23" spans="1:5" ht="12.75">
      <c r="A23" s="293"/>
      <c r="B23" s="294"/>
      <c r="C23" s="294"/>
      <c r="D23" s="294"/>
      <c r="E23" s="292">
        <f t="shared" si="1"/>
        <v>0</v>
      </c>
    </row>
    <row r="24" spans="1:5" ht="12.75">
      <c r="A24" s="295" t="s">
        <v>529</v>
      </c>
      <c r="B24" s="296">
        <f>SUM(B18:B23)</f>
        <v>65131516</v>
      </c>
      <c r="C24" s="296">
        <f>SUM(C18:C23)</f>
        <v>0</v>
      </c>
      <c r="D24" s="296">
        <f>SUM(D18:D23)</f>
        <v>0</v>
      </c>
      <c r="E24" s="297">
        <f>SUM(E18:E23)</f>
        <v>65131516</v>
      </c>
    </row>
    <row r="25" spans="1:5" ht="12.75">
      <c r="A25" s="304"/>
      <c r="B25" s="304"/>
      <c r="C25" s="304"/>
      <c r="D25" s="304"/>
      <c r="E25" s="304"/>
    </row>
    <row r="26" spans="1:5" ht="27" customHeight="1">
      <c r="A26" s="278" t="s">
        <v>513</v>
      </c>
      <c r="B26" s="766" t="s">
        <v>530</v>
      </c>
      <c r="C26" s="766"/>
      <c r="D26" s="766"/>
      <c r="E26" s="766"/>
    </row>
    <row r="27" spans="1:5" ht="13.5">
      <c r="A27" s="304"/>
      <c r="B27" s="304"/>
      <c r="C27" s="304"/>
      <c r="D27" s="765" t="str">
        <f>D6</f>
        <v>Forintban!</v>
      </c>
      <c r="E27" s="765"/>
    </row>
    <row r="28" spans="1:5" ht="12.75">
      <c r="A28" s="299" t="s">
        <v>515</v>
      </c>
      <c r="B28" s="300" t="str">
        <f>+B17</f>
        <v>2019.</v>
      </c>
      <c r="C28" s="300" t="str">
        <f>+C17</f>
        <v>2020.</v>
      </c>
      <c r="D28" s="300" t="str">
        <f>+D17</f>
        <v>2020. után</v>
      </c>
      <c r="E28" s="301" t="s">
        <v>516</v>
      </c>
    </row>
    <row r="29" spans="1:5" ht="12.75">
      <c r="A29" s="283" t="s">
        <v>517</v>
      </c>
      <c r="B29" s="285"/>
      <c r="C29" s="285"/>
      <c r="D29" s="285"/>
      <c r="E29" s="286">
        <f aca="true" t="shared" si="2" ref="E29:E35">SUM(B29:D29)</f>
        <v>0</v>
      </c>
    </row>
    <row r="30" spans="1:5" ht="12.75">
      <c r="A30" s="287" t="s">
        <v>518</v>
      </c>
      <c r="B30" s="288"/>
      <c r="C30" s="288"/>
      <c r="D30" s="288"/>
      <c r="E30" s="289">
        <f t="shared" si="2"/>
        <v>0</v>
      </c>
    </row>
    <row r="31" spans="1:5" ht="12.75">
      <c r="A31" s="290" t="s">
        <v>519</v>
      </c>
      <c r="B31" s="291">
        <v>57256120</v>
      </c>
      <c r="C31" s="291"/>
      <c r="D31" s="291"/>
      <c r="E31" s="292">
        <f t="shared" si="2"/>
        <v>57256120</v>
      </c>
    </row>
    <row r="32" spans="1:5" ht="12.75">
      <c r="A32" s="290" t="s">
        <v>520</v>
      </c>
      <c r="B32" s="291"/>
      <c r="C32" s="291"/>
      <c r="D32" s="291"/>
      <c r="E32" s="292">
        <f t="shared" si="2"/>
        <v>0</v>
      </c>
    </row>
    <row r="33" spans="1:5" ht="12.75">
      <c r="A33" s="290" t="s">
        <v>521</v>
      </c>
      <c r="B33" s="291"/>
      <c r="C33" s="291"/>
      <c r="D33" s="291"/>
      <c r="E33" s="292">
        <f t="shared" si="2"/>
        <v>0</v>
      </c>
    </row>
    <row r="34" spans="1:5" ht="12.75">
      <c r="A34" s="290" t="s">
        <v>522</v>
      </c>
      <c r="B34" s="291"/>
      <c r="C34" s="291"/>
      <c r="D34" s="291"/>
      <c r="E34" s="292">
        <f t="shared" si="2"/>
        <v>0</v>
      </c>
    </row>
    <row r="35" spans="1:5" ht="12.75">
      <c r="A35" s="293"/>
      <c r="B35" s="294"/>
      <c r="C35" s="294"/>
      <c r="D35" s="294"/>
      <c r="E35" s="292">
        <f t="shared" si="2"/>
        <v>0</v>
      </c>
    </row>
    <row r="36" spans="1:5" ht="12.75">
      <c r="A36" s="295" t="s">
        <v>523</v>
      </c>
      <c r="B36" s="296">
        <f>B29+SUM(B31:B35)</f>
        <v>57256120</v>
      </c>
      <c r="C36" s="296">
        <f>C29+SUM(C31:C35)</f>
        <v>0</v>
      </c>
      <c r="D36" s="296">
        <f>D29+SUM(D31:D35)</f>
        <v>0</v>
      </c>
      <c r="E36" s="297">
        <f>E29+SUM(E31:E35)</f>
        <v>57256120</v>
      </c>
    </row>
    <row r="37" spans="1:5" ht="12.75">
      <c r="A37" s="298"/>
      <c r="B37" s="298"/>
      <c r="C37" s="298"/>
      <c r="D37" s="298"/>
      <c r="E37" s="298"/>
    </row>
    <row r="38" spans="1:5" ht="12.75">
      <c r="A38" s="299" t="s">
        <v>524</v>
      </c>
      <c r="B38" s="300" t="str">
        <f>+B28</f>
        <v>2019.</v>
      </c>
      <c r="C38" s="300" t="str">
        <f>+C28</f>
        <v>2020.</v>
      </c>
      <c r="D38" s="300" t="str">
        <f>+D28</f>
        <v>2020. után</v>
      </c>
      <c r="E38" s="301" t="s">
        <v>516</v>
      </c>
    </row>
    <row r="39" spans="1:5" ht="12.75">
      <c r="A39" s="283" t="s">
        <v>525</v>
      </c>
      <c r="B39" s="285">
        <v>960780</v>
      </c>
      <c r="C39" s="285"/>
      <c r="D39" s="285"/>
      <c r="E39" s="286">
        <f>SUM(B39:D39)</f>
        <v>960780</v>
      </c>
    </row>
    <row r="40" spans="1:5" ht="12.75">
      <c r="A40" s="302" t="s">
        <v>526</v>
      </c>
      <c r="B40" s="291">
        <v>55569130</v>
      </c>
      <c r="C40" s="291"/>
      <c r="D40" s="291"/>
      <c r="E40" s="292">
        <f>SUM(B40:D40)</f>
        <v>55569130</v>
      </c>
    </row>
    <row r="41" spans="1:5" ht="12.75">
      <c r="A41" s="290" t="s">
        <v>527</v>
      </c>
      <c r="B41" s="291">
        <v>726210</v>
      </c>
      <c r="C41" s="291"/>
      <c r="D41" s="291"/>
      <c r="E41" s="292">
        <f>SUM(B41:D41)</f>
        <v>726210</v>
      </c>
    </row>
    <row r="42" spans="1:5" ht="12.75">
      <c r="A42" s="290" t="s">
        <v>528</v>
      </c>
      <c r="B42" s="291"/>
      <c r="C42" s="291"/>
      <c r="D42" s="291"/>
      <c r="E42" s="292">
        <f>SUM(B42:D42)</f>
        <v>0</v>
      </c>
    </row>
    <row r="43" spans="1:5" ht="12.75">
      <c r="A43" s="293"/>
      <c r="B43" s="294"/>
      <c r="C43" s="294"/>
      <c r="D43" s="294"/>
      <c r="E43" s="292">
        <f>SUM(B43:D43)</f>
        <v>0</v>
      </c>
    </row>
    <row r="44" spans="1:5" ht="12.75">
      <c r="A44" s="295" t="s">
        <v>529</v>
      </c>
      <c r="B44" s="296">
        <f>SUM(B39:B43)</f>
        <v>57256120</v>
      </c>
      <c r="C44" s="296">
        <f>SUM(C39:C43)</f>
        <v>0</v>
      </c>
      <c r="D44" s="296">
        <f>SUM(D39:D43)</f>
        <v>0</v>
      </c>
      <c r="E44" s="297">
        <f>SUM(E39:E43)</f>
        <v>57256120</v>
      </c>
    </row>
    <row r="45" spans="1:5" ht="12.75">
      <c r="A45" s="305"/>
      <c r="B45" s="306"/>
      <c r="C45" s="306"/>
      <c r="D45" s="306"/>
      <c r="E45" s="306"/>
    </row>
    <row r="46" spans="1:5" ht="50.25" customHeight="1">
      <c r="A46" s="278" t="s">
        <v>513</v>
      </c>
      <c r="B46" s="766" t="s">
        <v>531</v>
      </c>
      <c r="C46" s="766"/>
      <c r="D46" s="766"/>
      <c r="E46" s="766"/>
    </row>
    <row r="47" spans="1:5" ht="13.5">
      <c r="A47" s="304"/>
      <c r="B47" s="304"/>
      <c r="C47" s="304"/>
      <c r="D47" s="765" t="s">
        <v>111</v>
      </c>
      <c r="E47" s="765"/>
    </row>
    <row r="48" spans="1:5" ht="12.75">
      <c r="A48" s="299" t="s">
        <v>515</v>
      </c>
      <c r="B48" s="300">
        <v>2019</v>
      </c>
      <c r="C48" s="300">
        <v>2020</v>
      </c>
      <c r="D48" s="300" t="s">
        <v>532</v>
      </c>
      <c r="E48" s="301" t="s">
        <v>516</v>
      </c>
    </row>
    <row r="49" spans="1:8" ht="12.75">
      <c r="A49" s="283" t="s">
        <v>517</v>
      </c>
      <c r="B49" s="285"/>
      <c r="C49" s="285"/>
      <c r="D49" s="285"/>
      <c r="E49" s="286">
        <f aca="true" t="shared" si="3" ref="E49:E55">SUM(B49:D49)</f>
        <v>0</v>
      </c>
      <c r="H49" s="307"/>
    </row>
    <row r="50" spans="1:5" ht="12.75">
      <c r="A50" s="287" t="s">
        <v>518</v>
      </c>
      <c r="B50" s="288"/>
      <c r="C50" s="288"/>
      <c r="D50" s="288"/>
      <c r="E50" s="289">
        <f t="shared" si="3"/>
        <v>0</v>
      </c>
    </row>
    <row r="51" spans="1:5" ht="12.75">
      <c r="A51" s="290" t="s">
        <v>519</v>
      </c>
      <c r="B51" s="291">
        <v>11614220</v>
      </c>
      <c r="C51" s="291"/>
      <c r="D51" s="291"/>
      <c r="E51" s="292">
        <f t="shared" si="3"/>
        <v>11614220</v>
      </c>
    </row>
    <row r="52" spans="1:5" ht="12.75">
      <c r="A52" s="290" t="s">
        <v>520</v>
      </c>
      <c r="B52" s="291"/>
      <c r="C52" s="291"/>
      <c r="D52" s="291"/>
      <c r="E52" s="292">
        <f t="shared" si="3"/>
        <v>0</v>
      </c>
    </row>
    <row r="53" spans="1:5" ht="12.75">
      <c r="A53" s="290" t="s">
        <v>521</v>
      </c>
      <c r="B53" s="291"/>
      <c r="C53" s="291"/>
      <c r="D53" s="291"/>
      <c r="E53" s="292">
        <f t="shared" si="3"/>
        <v>0</v>
      </c>
    </row>
    <row r="54" spans="1:5" ht="12.75">
      <c r="A54" s="290" t="s">
        <v>522</v>
      </c>
      <c r="B54" s="291"/>
      <c r="C54" s="291"/>
      <c r="D54" s="291"/>
      <c r="E54" s="292">
        <f t="shared" si="3"/>
        <v>0</v>
      </c>
    </row>
    <row r="55" spans="1:5" ht="12.75">
      <c r="A55" s="293"/>
      <c r="B55" s="294"/>
      <c r="C55" s="294"/>
      <c r="D55" s="294"/>
      <c r="E55" s="292">
        <f t="shared" si="3"/>
        <v>0</v>
      </c>
    </row>
    <row r="56" spans="1:5" ht="12.75">
      <c r="A56" s="295" t="s">
        <v>523</v>
      </c>
      <c r="B56" s="296">
        <f>B49+SUM(B51:B55)</f>
        <v>11614220</v>
      </c>
      <c r="C56" s="296">
        <f>C49+SUM(C51:C55)</f>
        <v>0</v>
      </c>
      <c r="D56" s="296">
        <f>D49+SUM(D51:D55)</f>
        <v>0</v>
      </c>
      <c r="E56" s="297">
        <f>E49+SUM(E51:E55)</f>
        <v>11614220</v>
      </c>
    </row>
    <row r="57" spans="1:5" ht="12.75">
      <c r="A57" s="298"/>
      <c r="B57" s="298"/>
      <c r="C57" s="298"/>
      <c r="D57" s="298"/>
      <c r="E57" s="298"/>
    </row>
    <row r="58" spans="1:5" ht="12.75">
      <c r="A58" s="299" t="s">
        <v>524</v>
      </c>
      <c r="B58" s="300">
        <f>+B48</f>
        <v>2019</v>
      </c>
      <c r="C58" s="300">
        <f>+C48</f>
        <v>2020</v>
      </c>
      <c r="D58" s="300" t="str">
        <f>+D48</f>
        <v>2020. után</v>
      </c>
      <c r="E58" s="301" t="s">
        <v>516</v>
      </c>
    </row>
    <row r="59" spans="1:5" ht="12.75">
      <c r="A59" s="283" t="s">
        <v>525</v>
      </c>
      <c r="B59" s="285">
        <v>2898927</v>
      </c>
      <c r="C59" s="285"/>
      <c r="D59" s="285"/>
      <c r="E59" s="286">
        <f>SUM(B59:D59)</f>
        <v>2898927</v>
      </c>
    </row>
    <row r="60" spans="1:5" ht="12.75">
      <c r="A60" s="302" t="s">
        <v>526</v>
      </c>
      <c r="B60" s="291">
        <v>8715293</v>
      </c>
      <c r="C60" s="291"/>
      <c r="D60" s="291"/>
      <c r="E60" s="292">
        <f>SUM(B60:D60)</f>
        <v>8715293</v>
      </c>
    </row>
    <row r="61" spans="1:5" ht="12.75">
      <c r="A61" s="290" t="s">
        <v>527</v>
      </c>
      <c r="B61" s="291"/>
      <c r="C61" s="291"/>
      <c r="D61" s="291"/>
      <c r="E61" s="292">
        <f>SUM(B61:D61)</f>
        <v>0</v>
      </c>
    </row>
    <row r="62" spans="1:5" ht="12.75">
      <c r="A62" s="290" t="s">
        <v>528</v>
      </c>
      <c r="B62" s="291"/>
      <c r="C62" s="291"/>
      <c r="D62" s="291"/>
      <c r="E62" s="292">
        <f>SUM(B62:D62)</f>
        <v>0</v>
      </c>
    </row>
    <row r="63" spans="1:5" ht="12.75">
      <c r="A63" s="293"/>
      <c r="B63" s="294"/>
      <c r="C63" s="294"/>
      <c r="D63" s="294"/>
      <c r="E63" s="292">
        <f>SUM(B63:D63)</f>
        <v>0</v>
      </c>
    </row>
    <row r="64" spans="1:5" ht="12.75">
      <c r="A64" s="295" t="s">
        <v>529</v>
      </c>
      <c r="B64" s="296">
        <f>SUM(B59:B63)</f>
        <v>11614220</v>
      </c>
      <c r="C64" s="296">
        <f>SUM(C59:C63)</f>
        <v>0</v>
      </c>
      <c r="D64" s="296">
        <f>SUM(D59:D63)</f>
        <v>0</v>
      </c>
      <c r="E64" s="297">
        <f>SUM(E59:E63)</f>
        <v>11614220</v>
      </c>
    </row>
    <row r="65" spans="1:5" ht="12.75">
      <c r="A65" s="279"/>
      <c r="B65" s="279"/>
      <c r="C65" s="279"/>
      <c r="D65" s="279"/>
      <c r="E65" s="279"/>
    </row>
    <row r="66" spans="1:5" ht="29.25" customHeight="1">
      <c r="A66" s="278" t="s">
        <v>513</v>
      </c>
      <c r="B66" s="766" t="s">
        <v>533</v>
      </c>
      <c r="C66" s="766"/>
      <c r="D66" s="766"/>
      <c r="E66" s="766"/>
    </row>
    <row r="67" spans="1:5" ht="13.5">
      <c r="A67" s="304"/>
      <c r="B67" s="304"/>
      <c r="C67" s="304"/>
      <c r="D67" s="765" t="s">
        <v>111</v>
      </c>
      <c r="E67" s="765"/>
    </row>
    <row r="68" spans="1:5" ht="12.75">
      <c r="A68" s="299" t="s">
        <v>515</v>
      </c>
      <c r="B68" s="300">
        <v>2019</v>
      </c>
      <c r="C68" s="300">
        <v>2020</v>
      </c>
      <c r="D68" s="300" t="s">
        <v>532</v>
      </c>
      <c r="E68" s="301" t="s">
        <v>516</v>
      </c>
    </row>
    <row r="69" spans="1:5" ht="12.75">
      <c r="A69" s="283" t="s">
        <v>517</v>
      </c>
      <c r="B69" s="285"/>
      <c r="C69" s="285"/>
      <c r="D69" s="285"/>
      <c r="E69" s="286">
        <f aca="true" t="shared" si="4" ref="E69:E75">SUM(B69:D69)</f>
        <v>0</v>
      </c>
    </row>
    <row r="70" spans="1:5" ht="12.75">
      <c r="A70" s="287" t="s">
        <v>518</v>
      </c>
      <c r="B70" s="288"/>
      <c r="C70" s="288"/>
      <c r="D70" s="288"/>
      <c r="E70" s="289">
        <f t="shared" si="4"/>
        <v>0</v>
      </c>
    </row>
    <row r="71" spans="1:5" ht="12.75">
      <c r="A71" s="290" t="s">
        <v>519</v>
      </c>
      <c r="B71" s="291">
        <v>6598000</v>
      </c>
      <c r="C71" s="291">
        <v>6627133</v>
      </c>
      <c r="D71" s="291">
        <v>1633250</v>
      </c>
      <c r="E71" s="292">
        <f t="shared" si="4"/>
        <v>14858383</v>
      </c>
    </row>
    <row r="72" spans="1:5" ht="12.75">
      <c r="A72" s="290" t="s">
        <v>520</v>
      </c>
      <c r="B72" s="291"/>
      <c r="C72" s="291"/>
      <c r="D72" s="291"/>
      <c r="E72" s="292">
        <f t="shared" si="4"/>
        <v>0</v>
      </c>
    </row>
    <row r="73" spans="1:5" ht="12.75">
      <c r="A73" s="290" t="s">
        <v>521</v>
      </c>
      <c r="B73" s="291"/>
      <c r="C73" s="291"/>
      <c r="D73" s="291"/>
      <c r="E73" s="292">
        <f t="shared" si="4"/>
        <v>0</v>
      </c>
    </row>
    <row r="74" spans="1:5" ht="12.75">
      <c r="A74" s="290" t="s">
        <v>522</v>
      </c>
      <c r="B74" s="291"/>
      <c r="C74" s="291"/>
      <c r="D74" s="291"/>
      <c r="E74" s="292">
        <f t="shared" si="4"/>
        <v>0</v>
      </c>
    </row>
    <row r="75" spans="1:5" ht="12.75">
      <c r="A75" s="293"/>
      <c r="B75" s="294"/>
      <c r="C75" s="294"/>
      <c r="D75" s="294"/>
      <c r="E75" s="292">
        <f t="shared" si="4"/>
        <v>0</v>
      </c>
    </row>
    <row r="76" spans="1:5" ht="12.75">
      <c r="A76" s="295" t="s">
        <v>523</v>
      </c>
      <c r="B76" s="296">
        <f>B69+SUM(B71:B75)</f>
        <v>6598000</v>
      </c>
      <c r="C76" s="296">
        <f>C69+SUM(C71:C75)</f>
        <v>6627133</v>
      </c>
      <c r="D76" s="296">
        <f>D69+SUM(D71:D75)</f>
        <v>1633250</v>
      </c>
      <c r="E76" s="297">
        <f>E69+SUM(E71:E75)</f>
        <v>14858383</v>
      </c>
    </row>
    <row r="77" spans="1:5" ht="12.75">
      <c r="A77" s="298"/>
      <c r="B77" s="298"/>
      <c r="C77" s="298"/>
      <c r="D77" s="298"/>
      <c r="E77" s="298"/>
    </row>
    <row r="78" spans="1:5" ht="12.75">
      <c r="A78" s="299" t="s">
        <v>524</v>
      </c>
      <c r="B78" s="300">
        <f>+B68</f>
        <v>2019</v>
      </c>
      <c r="C78" s="300">
        <f>+C68</f>
        <v>2020</v>
      </c>
      <c r="D78" s="300" t="str">
        <f>+D68</f>
        <v>2020. után</v>
      </c>
      <c r="E78" s="301" t="s">
        <v>516</v>
      </c>
    </row>
    <row r="79" spans="1:5" ht="12.75">
      <c r="A79" s="283" t="s">
        <v>525</v>
      </c>
      <c r="B79" s="285">
        <v>6593000</v>
      </c>
      <c r="C79" s="285">
        <v>6587336</v>
      </c>
      <c r="D79" s="285">
        <v>1628250</v>
      </c>
      <c r="E79" s="286">
        <f>SUM(B79:D79)</f>
        <v>14808586</v>
      </c>
    </row>
    <row r="80" spans="1:5" ht="12.75">
      <c r="A80" s="302" t="s">
        <v>526</v>
      </c>
      <c r="B80" s="291"/>
      <c r="C80" s="291"/>
      <c r="D80" s="291"/>
      <c r="E80" s="292">
        <f>SUM(B80:D80)</f>
        <v>0</v>
      </c>
    </row>
    <row r="81" spans="1:5" ht="12.75">
      <c r="A81" s="290" t="s">
        <v>527</v>
      </c>
      <c r="B81" s="291">
        <v>5000</v>
      </c>
      <c r="C81" s="291">
        <v>39797</v>
      </c>
      <c r="D81" s="291">
        <v>5000</v>
      </c>
      <c r="E81" s="292">
        <f>SUM(B81:D81)</f>
        <v>49797</v>
      </c>
    </row>
    <row r="82" spans="1:5" ht="12.75">
      <c r="A82" s="290" t="s">
        <v>528</v>
      </c>
      <c r="B82" s="291"/>
      <c r="C82" s="291"/>
      <c r="D82" s="291"/>
      <c r="E82" s="292">
        <f>SUM(B82:D82)</f>
        <v>0</v>
      </c>
    </row>
    <row r="83" spans="1:5" ht="12.75">
      <c r="A83" s="293"/>
      <c r="B83" s="294"/>
      <c r="C83" s="294"/>
      <c r="D83" s="294"/>
      <c r="E83" s="292">
        <f>SUM(B83:D83)</f>
        <v>0</v>
      </c>
    </row>
    <row r="84" spans="1:5" ht="12.75">
      <c r="A84" s="295" t="s">
        <v>529</v>
      </c>
      <c r="B84" s="296">
        <f>SUM(B79:B83)</f>
        <v>6598000</v>
      </c>
      <c r="C84" s="296">
        <f>SUM(C79:C83)</f>
        <v>6627133</v>
      </c>
      <c r="D84" s="296">
        <f>SUM(D79:D83)</f>
        <v>1633250</v>
      </c>
      <c r="E84" s="297">
        <f>SUM(E79:E83)</f>
        <v>14858383</v>
      </c>
    </row>
    <row r="85" spans="1:5" ht="12.75">
      <c r="A85" s="279"/>
      <c r="B85" s="279"/>
      <c r="C85" s="279"/>
      <c r="D85" s="279"/>
      <c r="E85" s="279"/>
    </row>
    <row r="86" spans="1:5" ht="12.75">
      <c r="A86" s="279"/>
      <c r="B86" s="279"/>
      <c r="C86" s="279"/>
      <c r="D86" s="279"/>
      <c r="E86" s="279"/>
    </row>
    <row r="87" spans="1:5" ht="14.25">
      <c r="A87" s="767" t="str">
        <f>+CONCATENATE("Önkormányzaton kívüli EU-s projektekhez történő hozzájárulás ",LEFT(KV_ÖSSZEFÜGGÉSEK!A5,4),". évi előirányzat")</f>
        <v>Önkormányzaton kívüli EU-s projektekhez történő hozzájárulás 2019. évi előirányzat</v>
      </c>
      <c r="B87" s="767"/>
      <c r="C87" s="767"/>
      <c r="D87" s="767"/>
      <c r="E87" s="767"/>
    </row>
    <row r="88" spans="1:5" ht="12.75">
      <c r="A88" s="304"/>
      <c r="B88" s="304"/>
      <c r="C88" s="304"/>
      <c r="D88" s="304"/>
      <c r="E88" s="304"/>
    </row>
    <row r="89" spans="1:5" ht="12.75">
      <c r="A89" s="759" t="s">
        <v>534</v>
      </c>
      <c r="B89" s="759"/>
      <c r="C89" s="759"/>
      <c r="D89" s="760" t="s">
        <v>535</v>
      </c>
      <c r="E89" s="760"/>
    </row>
    <row r="90" spans="1:5" ht="12.75">
      <c r="A90" s="761"/>
      <c r="B90" s="761"/>
      <c r="C90" s="761"/>
      <c r="D90" s="762"/>
      <c r="E90" s="762"/>
    </row>
    <row r="91" spans="1:5" ht="12.75">
      <c r="A91" s="763"/>
      <c r="B91" s="763"/>
      <c r="C91" s="763"/>
      <c r="D91" s="764"/>
      <c r="E91" s="764"/>
    </row>
    <row r="92" spans="1:5" ht="12.75">
      <c r="A92" s="757" t="s">
        <v>529</v>
      </c>
      <c r="B92" s="757"/>
      <c r="C92" s="757"/>
      <c r="D92" s="758">
        <f>SUM(D90:E91)</f>
        <v>0</v>
      </c>
      <c r="E92" s="758"/>
    </row>
    <row r="93" spans="1:5" ht="12.75">
      <c r="A93" s="279"/>
      <c r="B93" s="279"/>
      <c r="C93" s="279"/>
      <c r="D93" s="279"/>
      <c r="E93" s="279"/>
    </row>
    <row r="94" spans="1:5" ht="12.75">
      <c r="A94" s="279"/>
      <c r="B94" s="279"/>
      <c r="C94" s="279"/>
      <c r="D94" s="279"/>
      <c r="E94" s="279"/>
    </row>
    <row r="95" spans="1:5" ht="12.75">
      <c r="A95" s="279"/>
      <c r="B95" s="279"/>
      <c r="C95" s="279"/>
      <c r="D95" s="279"/>
      <c r="E95" s="279"/>
    </row>
    <row r="96" spans="1:5" ht="12.75">
      <c r="A96" s="279"/>
      <c r="B96" s="279"/>
      <c r="C96" s="279"/>
      <c r="D96" s="279"/>
      <c r="E96" s="279"/>
    </row>
    <row r="97" spans="1:5" ht="12.75">
      <c r="A97" s="279"/>
      <c r="B97" s="279"/>
      <c r="C97" s="279"/>
      <c r="D97" s="279"/>
      <c r="E97" s="279"/>
    </row>
    <row r="98" spans="1:5" ht="12.75">
      <c r="A98" s="279"/>
      <c r="B98" s="279"/>
      <c r="C98" s="279"/>
      <c r="D98" s="279"/>
      <c r="E98" s="279"/>
    </row>
    <row r="99" spans="1:5" ht="12.75">
      <c r="A99" s="279"/>
      <c r="B99" s="279"/>
      <c r="C99" s="279"/>
      <c r="D99" s="279"/>
      <c r="E99" s="279"/>
    </row>
    <row r="100" spans="1:5" ht="12.75">
      <c r="A100" s="279"/>
      <c r="B100" s="279"/>
      <c r="C100" s="279"/>
      <c r="D100" s="279"/>
      <c r="E100" s="279"/>
    </row>
    <row r="101" spans="1:5" ht="12.75">
      <c r="A101" s="279"/>
      <c r="B101" s="279"/>
      <c r="C101" s="279"/>
      <c r="D101" s="279"/>
      <c r="E101" s="279"/>
    </row>
    <row r="102" spans="1:5" ht="12.75">
      <c r="A102" s="279"/>
      <c r="B102" s="279"/>
      <c r="C102" s="279"/>
      <c r="D102" s="279"/>
      <c r="E102" s="279"/>
    </row>
    <row r="103" spans="1:5" ht="12.75">
      <c r="A103" s="279"/>
      <c r="B103" s="279"/>
      <c r="C103" s="279"/>
      <c r="D103" s="279"/>
      <c r="E103" s="279"/>
    </row>
    <row r="104" spans="1:5" ht="12.75">
      <c r="A104" s="279"/>
      <c r="B104" s="279"/>
      <c r="C104" s="279"/>
      <c r="D104" s="279"/>
      <c r="E104" s="279"/>
    </row>
    <row r="105" spans="1:5" ht="12.75">
      <c r="A105" s="279"/>
      <c r="B105" s="279"/>
      <c r="C105" s="279"/>
      <c r="D105" s="279"/>
      <c r="E105" s="279"/>
    </row>
    <row r="106" spans="1:5" ht="12.75">
      <c r="A106" s="279"/>
      <c r="B106" s="279"/>
      <c r="C106" s="279"/>
      <c r="D106" s="279"/>
      <c r="E106" s="279"/>
    </row>
    <row r="107" spans="1:5" ht="12.75">
      <c r="A107" s="279"/>
      <c r="B107" s="279"/>
      <c r="C107" s="279"/>
      <c r="D107" s="279"/>
      <c r="E107" s="279"/>
    </row>
    <row r="108" spans="1:5" ht="12.75">
      <c r="A108" s="279"/>
      <c r="B108" s="279"/>
      <c r="C108" s="279"/>
      <c r="D108" s="279"/>
      <c r="E108" s="279"/>
    </row>
    <row r="109" spans="1:5" ht="12.75">
      <c r="A109" s="279"/>
      <c r="B109" s="279"/>
      <c r="C109" s="279"/>
      <c r="D109" s="279"/>
      <c r="E109" s="279"/>
    </row>
    <row r="110" spans="1:5" ht="12.75">
      <c r="A110" s="279"/>
      <c r="B110" s="279"/>
      <c r="C110" s="279"/>
      <c r="D110" s="279"/>
      <c r="E110" s="279"/>
    </row>
    <row r="111" spans="1:5" ht="12.75">
      <c r="A111" s="279"/>
      <c r="B111" s="279"/>
      <c r="C111" s="279"/>
      <c r="D111" s="279"/>
      <c r="E111" s="279"/>
    </row>
    <row r="112" spans="1:5" ht="12.75">
      <c r="A112" s="279"/>
      <c r="B112" s="279"/>
      <c r="C112" s="279"/>
      <c r="D112" s="279"/>
      <c r="E112" s="279"/>
    </row>
    <row r="113" spans="1:5" ht="12.75">
      <c r="A113" s="279"/>
      <c r="B113" s="279"/>
      <c r="C113" s="279"/>
      <c r="D113" s="279"/>
      <c r="E113" s="279"/>
    </row>
    <row r="122" spans="1:5" ht="12.75">
      <c r="A122" s="279"/>
      <c r="B122" s="279"/>
      <c r="C122" s="279"/>
      <c r="D122" s="279"/>
      <c r="E122" s="279"/>
    </row>
    <row r="123" spans="1:5" ht="12.75">
      <c r="A123" s="279"/>
      <c r="B123" s="279"/>
      <c r="C123" s="279"/>
      <c r="D123" s="279"/>
      <c r="E123" s="279"/>
    </row>
    <row r="124" spans="1:5" ht="12.75">
      <c r="A124" s="279"/>
      <c r="B124" s="279"/>
      <c r="C124" s="279"/>
      <c r="D124" s="279"/>
      <c r="E124" s="279"/>
    </row>
    <row r="125" spans="1:5" ht="12.75">
      <c r="A125" s="279"/>
      <c r="B125" s="279"/>
      <c r="C125" s="279"/>
      <c r="D125" s="279"/>
      <c r="E125" s="279"/>
    </row>
    <row r="126" spans="1:5" ht="12.75">
      <c r="A126" s="279"/>
      <c r="B126" s="279"/>
      <c r="C126" s="279"/>
      <c r="D126" s="279"/>
      <c r="E126" s="279"/>
    </row>
    <row r="127" spans="1:5" ht="12.75">
      <c r="A127" s="279"/>
      <c r="B127" s="279"/>
      <c r="C127" s="279"/>
      <c r="D127" s="279"/>
      <c r="E127" s="279"/>
    </row>
    <row r="128" spans="1:5" ht="12.75">
      <c r="A128" s="279"/>
      <c r="B128" s="279"/>
      <c r="C128" s="279"/>
      <c r="D128" s="279"/>
      <c r="E128" s="279"/>
    </row>
    <row r="129" spans="1:5" ht="12.75">
      <c r="A129" s="279"/>
      <c r="B129" s="279"/>
      <c r="C129" s="279"/>
      <c r="D129" s="279"/>
      <c r="E129" s="279"/>
    </row>
    <row r="130" spans="1:5" ht="12.75">
      <c r="A130" s="279"/>
      <c r="B130" s="279"/>
      <c r="C130" s="279"/>
      <c r="D130" s="279"/>
      <c r="E130" s="279"/>
    </row>
    <row r="131" spans="1:5" ht="12.75">
      <c r="A131" s="279"/>
      <c r="B131" s="279"/>
      <c r="C131" s="279"/>
      <c r="D131" s="279"/>
      <c r="E131" s="279"/>
    </row>
    <row r="132" spans="1:5" ht="12.75">
      <c r="A132" s="279"/>
      <c r="B132" s="279"/>
      <c r="C132" s="279"/>
      <c r="D132" s="279"/>
      <c r="E132" s="279"/>
    </row>
    <row r="133" spans="1:5" ht="12.75">
      <c r="A133" s="279"/>
      <c r="B133" s="279"/>
      <c r="C133" s="279"/>
      <c r="D133" s="279"/>
      <c r="E133" s="279"/>
    </row>
    <row r="134" spans="1:5" ht="12.75">
      <c r="A134" s="279"/>
      <c r="B134" s="279"/>
      <c r="C134" s="279"/>
      <c r="D134" s="279"/>
      <c r="E134" s="279"/>
    </row>
    <row r="135" spans="1:5" ht="12.75">
      <c r="A135" s="279"/>
      <c r="B135" s="279"/>
      <c r="C135" s="279"/>
      <c r="D135" s="279"/>
      <c r="E135" s="279"/>
    </row>
    <row r="136" spans="1:5" ht="12.75">
      <c r="A136" s="279"/>
      <c r="B136" s="279"/>
      <c r="C136" s="279"/>
      <c r="D136" s="279"/>
      <c r="E136" s="279"/>
    </row>
    <row r="137" spans="1:5" ht="12.75">
      <c r="A137" s="279"/>
      <c r="B137" s="279"/>
      <c r="C137" s="279"/>
      <c r="D137" s="279"/>
      <c r="E137" s="279"/>
    </row>
    <row r="138" spans="1:5" ht="12.75">
      <c r="A138" s="279"/>
      <c r="B138" s="279"/>
      <c r="C138" s="279"/>
      <c r="D138" s="279"/>
      <c r="E138" s="279"/>
    </row>
    <row r="139" spans="1:5" ht="12.75">
      <c r="A139" s="279"/>
      <c r="B139" s="279"/>
      <c r="C139" s="279"/>
      <c r="D139" s="279"/>
      <c r="E139" s="279"/>
    </row>
    <row r="140" spans="1:5" ht="12.75">
      <c r="A140" s="279"/>
      <c r="B140" s="279"/>
      <c r="C140" s="279"/>
      <c r="D140" s="279"/>
      <c r="E140" s="279"/>
    </row>
    <row r="141" spans="1:5" ht="12.75">
      <c r="A141" s="279"/>
      <c r="B141" s="279"/>
      <c r="C141" s="279"/>
      <c r="D141" s="279"/>
      <c r="E141" s="279"/>
    </row>
    <row r="142" spans="1:5" ht="12.75">
      <c r="A142" s="279"/>
      <c r="B142" s="279"/>
      <c r="C142" s="279"/>
      <c r="D142" s="279"/>
      <c r="E142" s="279"/>
    </row>
    <row r="143" spans="1:5" ht="12.75">
      <c r="A143" s="279"/>
      <c r="B143" s="279"/>
      <c r="C143" s="279"/>
      <c r="D143" s="279"/>
      <c r="E143" s="279"/>
    </row>
    <row r="144" spans="1:5" ht="12.75">
      <c r="A144" s="279"/>
      <c r="B144" s="279"/>
      <c r="C144" s="279"/>
      <c r="D144" s="279"/>
      <c r="E144" s="279"/>
    </row>
    <row r="145" spans="1:5" ht="12.75">
      <c r="A145" s="279"/>
      <c r="B145" s="279"/>
      <c r="C145" s="279"/>
      <c r="D145" s="279"/>
      <c r="E145" s="279"/>
    </row>
    <row r="146" spans="1:5" ht="12.75">
      <c r="A146" s="279"/>
      <c r="B146" s="279"/>
      <c r="C146" s="279"/>
      <c r="D146" s="279"/>
      <c r="E146" s="279"/>
    </row>
    <row r="147" spans="1:5" ht="12.75">
      <c r="A147" s="279"/>
      <c r="B147" s="279"/>
      <c r="C147" s="279"/>
      <c r="D147" s="279"/>
      <c r="E147" s="279"/>
    </row>
    <row r="148" spans="1:5" ht="12.75">
      <c r="A148" s="279"/>
      <c r="B148" s="279"/>
      <c r="C148" s="279"/>
      <c r="D148" s="279"/>
      <c r="E148" s="279"/>
    </row>
    <row r="149" spans="1:5" ht="12.75">
      <c r="A149" s="279"/>
      <c r="B149" s="279"/>
      <c r="C149" s="279"/>
      <c r="D149" s="279"/>
      <c r="E149" s="279"/>
    </row>
    <row r="150" spans="1:5" ht="12.75">
      <c r="A150" s="279"/>
      <c r="B150" s="279"/>
      <c r="C150" s="279"/>
      <c r="D150" s="279"/>
      <c r="E150" s="279"/>
    </row>
    <row r="151" spans="1:5" ht="12.75">
      <c r="A151" s="279"/>
      <c r="B151" s="279"/>
      <c r="C151" s="279"/>
      <c r="D151" s="279"/>
      <c r="E151" s="279"/>
    </row>
    <row r="152" spans="1:5" ht="12.75">
      <c r="A152" s="279"/>
      <c r="B152" s="279"/>
      <c r="C152" s="279"/>
      <c r="D152" s="279"/>
      <c r="E152" s="279"/>
    </row>
    <row r="153" spans="1:5" ht="12.75">
      <c r="A153" s="279"/>
      <c r="B153" s="279"/>
      <c r="C153" s="279"/>
      <c r="D153" s="279"/>
      <c r="E153" s="279"/>
    </row>
    <row r="154" spans="1:5" ht="12.75">
      <c r="A154" s="279"/>
      <c r="B154" s="279"/>
      <c r="C154" s="279"/>
      <c r="D154" s="279"/>
      <c r="E154" s="279"/>
    </row>
    <row r="155" spans="1:5" ht="12.75">
      <c r="A155" s="279"/>
      <c r="B155" s="279"/>
      <c r="C155" s="279"/>
      <c r="D155" s="279"/>
      <c r="E155" s="279"/>
    </row>
    <row r="156" spans="1:5" ht="12.75">
      <c r="A156" s="279"/>
      <c r="B156" s="279"/>
      <c r="C156" s="279"/>
      <c r="D156" s="279"/>
      <c r="E156" s="279"/>
    </row>
    <row r="157" spans="1:5" ht="12.75">
      <c r="A157" s="279"/>
      <c r="B157" s="279"/>
      <c r="C157" s="279"/>
      <c r="D157" s="279"/>
      <c r="E157" s="279"/>
    </row>
    <row r="158" spans="1:5" ht="12.75">
      <c r="A158" s="279"/>
      <c r="B158" s="279"/>
      <c r="C158" s="279"/>
      <c r="D158" s="279"/>
      <c r="E158" s="279"/>
    </row>
    <row r="159" spans="1:5" ht="12.75">
      <c r="A159" s="279"/>
      <c r="B159" s="279"/>
      <c r="C159" s="279"/>
      <c r="D159" s="279"/>
      <c r="E159" s="279"/>
    </row>
    <row r="160" spans="1:5" ht="12.75">
      <c r="A160" s="279"/>
      <c r="B160" s="279"/>
      <c r="C160" s="279"/>
      <c r="D160" s="279"/>
      <c r="E160" s="279"/>
    </row>
    <row r="161" spans="1:5" ht="12.75">
      <c r="A161" s="279"/>
      <c r="B161" s="279"/>
      <c r="C161" s="279"/>
      <c r="D161" s="279"/>
      <c r="E161" s="279"/>
    </row>
    <row r="162" spans="1:5" ht="12.75">
      <c r="A162" s="279"/>
      <c r="B162" s="279"/>
      <c r="C162" s="279"/>
      <c r="D162" s="279"/>
      <c r="E162" s="279"/>
    </row>
    <row r="163" spans="1:5" ht="12.75">
      <c r="A163" s="279"/>
      <c r="B163" s="279"/>
      <c r="C163" s="279"/>
      <c r="D163" s="279"/>
      <c r="E163" s="279"/>
    </row>
    <row r="164" spans="1:5" ht="12.75">
      <c r="A164" s="279"/>
      <c r="B164" s="279"/>
      <c r="C164" s="279"/>
      <c r="D164" s="279"/>
      <c r="E164" s="279"/>
    </row>
    <row r="165" spans="1:5" ht="12.75">
      <c r="A165" s="279"/>
      <c r="B165" s="279"/>
      <c r="C165" s="279"/>
      <c r="D165" s="279"/>
      <c r="E165" s="279"/>
    </row>
    <row r="166" spans="1:5" ht="12.75">
      <c r="A166" s="279"/>
      <c r="B166" s="279"/>
      <c r="C166" s="279"/>
      <c r="D166" s="279"/>
      <c r="E166" s="279"/>
    </row>
    <row r="167" spans="1:5" ht="12.75">
      <c r="A167" s="279"/>
      <c r="B167" s="279"/>
      <c r="C167" s="279"/>
      <c r="D167" s="279"/>
      <c r="E167" s="279"/>
    </row>
    <row r="168" spans="1:5" ht="12.75">
      <c r="A168" s="279"/>
      <c r="B168" s="279"/>
      <c r="C168" s="279"/>
      <c r="D168" s="279"/>
      <c r="E168" s="279"/>
    </row>
    <row r="169" spans="1:5" ht="12.75">
      <c r="A169" s="279"/>
      <c r="B169" s="279"/>
      <c r="C169" s="279"/>
      <c r="D169" s="279"/>
      <c r="E169" s="279"/>
    </row>
    <row r="170" spans="1:5" ht="12.75">
      <c r="A170" s="279"/>
      <c r="B170" s="279"/>
      <c r="C170" s="279"/>
      <c r="D170" s="279"/>
      <c r="E170" s="279"/>
    </row>
    <row r="171" spans="1:5" ht="12.75">
      <c r="A171" s="279"/>
      <c r="B171" s="279"/>
      <c r="C171" s="279"/>
      <c r="D171" s="279"/>
      <c r="E171" s="279"/>
    </row>
    <row r="172" spans="1:5" ht="12.75">
      <c r="A172" s="279"/>
      <c r="B172" s="279"/>
      <c r="C172" s="279"/>
      <c r="D172" s="279"/>
      <c r="E172" s="279"/>
    </row>
    <row r="173" spans="1:5" ht="12.75">
      <c r="A173" s="279"/>
      <c r="B173" s="279"/>
      <c r="C173" s="279"/>
      <c r="D173" s="279"/>
      <c r="E173" s="279"/>
    </row>
    <row r="174" spans="1:5" ht="12.75">
      <c r="A174" s="279"/>
      <c r="B174" s="279"/>
      <c r="C174" s="279"/>
      <c r="D174" s="279"/>
      <c r="E174" s="279"/>
    </row>
    <row r="175" spans="1:5" ht="12.75">
      <c r="A175" s="279"/>
      <c r="B175" s="279"/>
      <c r="C175" s="279"/>
      <c r="D175" s="279"/>
      <c r="E175" s="279"/>
    </row>
  </sheetData>
  <sheetProtection selectLockedCells="1" selectUnlockedCells="1"/>
  <mergeCells count="20">
    <mergeCell ref="A1:E1"/>
    <mergeCell ref="A3:E3"/>
    <mergeCell ref="A4:E4"/>
    <mergeCell ref="B5:E5"/>
    <mergeCell ref="D47:E47"/>
    <mergeCell ref="B66:E66"/>
    <mergeCell ref="D67:E67"/>
    <mergeCell ref="A87:E87"/>
    <mergeCell ref="D6:E6"/>
    <mergeCell ref="B26:E26"/>
    <mergeCell ref="D27:E27"/>
    <mergeCell ref="B46:E46"/>
    <mergeCell ref="A92:C92"/>
    <mergeCell ref="D92:E92"/>
    <mergeCell ref="A89:C89"/>
    <mergeCell ref="D89:E89"/>
    <mergeCell ref="A90:C90"/>
    <mergeCell ref="D90:E90"/>
    <mergeCell ref="A91:C91"/>
    <mergeCell ref="D91:E91"/>
  </mergeCells>
  <conditionalFormatting sqref="B15:E15 B24:E24 B36:E36 B44:D45 D92:E92 E8:E15 E18:E24 E29:E36 E39:E45">
    <cfRule type="cellIs" priority="1" dxfId="6" operator="equal" stopIfTrue="1">
      <formula>0</formula>
    </cfRule>
  </conditionalFormatting>
  <conditionalFormatting sqref="B56:E56 B64:E64 E49:E56 E59:E64">
    <cfRule type="cellIs" priority="2" dxfId="6" operator="equal" stopIfTrue="1">
      <formula>0</formula>
    </cfRule>
  </conditionalFormatting>
  <conditionalFormatting sqref="B76:E76 B84:E84 E69:E76 E79:E84">
    <cfRule type="cellIs" priority="3" dxfId="6" operator="equal" stopIfTrue="1">
      <formula>0</formula>
    </cfRule>
  </conditionalFormatting>
  <printOptions horizontalCentered="1"/>
  <pageMargins left="0.7875" right="0.7875" top="1.3777777777777778" bottom="0.9840277777777777" header="0.5118055555555555" footer="0.5118055555555555"/>
  <pageSetup horizontalDpi="300" verticalDpi="300" orientation="portrait" paperSize="9" scale="95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50"/>
  </sheetPr>
  <dimension ref="A1:K179"/>
  <sheetViews>
    <sheetView zoomScale="120" zoomScaleNormal="120" zoomScaleSheetLayoutView="85" zoomScalePageLayoutView="0" workbookViewId="0" topLeftCell="A142">
      <selection activeCell="C158" sqref="C158"/>
    </sheetView>
  </sheetViews>
  <sheetFormatPr defaultColWidth="9.00390625" defaultRowHeight="12.75"/>
  <cols>
    <col min="1" max="1" width="19.50390625" style="308" customWidth="1"/>
    <col min="2" max="2" width="72.00390625" style="309" customWidth="1"/>
    <col min="3" max="3" width="25.00390625" style="310" customWidth="1"/>
    <col min="4" max="16384" width="9.375" style="311" customWidth="1"/>
  </cols>
  <sheetData>
    <row r="1" spans="1:3" s="315" customFormat="1" ht="16.5" customHeight="1">
      <c r="A1" s="312"/>
      <c r="B1" s="313"/>
      <c r="C1" s="314" t="str">
        <f>CONCATENATE("9.1. melléklet ",ALAPADATOK!A7," ",ALAPADATOK!B7," ",ALAPADATOK!C7," ",ALAPADATOK!D7," ",ALAPADATOK!E7," ",ALAPADATOK!F7," ",ALAPADATOK!G7," ",ALAPADATOK!H7)</f>
        <v>9.1. melléklet a … / 2019 ( … ) önkormányzati rendelethez</v>
      </c>
    </row>
    <row r="2" spans="1:3" s="319" customFormat="1" ht="21" customHeight="1">
      <c r="A2" s="316" t="s">
        <v>384</v>
      </c>
      <c r="B2" s="317" t="str">
        <f>CONCATENATE(ALAPADATOK!A3)</f>
        <v>ELEK VÁROS ÖNKORMÁNYZATA</v>
      </c>
      <c r="C2" s="318" t="s">
        <v>536</v>
      </c>
    </row>
    <row r="3" spans="1:3" s="319" customFormat="1" ht="15.75">
      <c r="A3" s="320" t="s">
        <v>537</v>
      </c>
      <c r="B3" s="321" t="s">
        <v>538</v>
      </c>
      <c r="C3" s="322" t="s">
        <v>536</v>
      </c>
    </row>
    <row r="4" spans="1:3" s="325" customFormat="1" ht="15.75" customHeight="1">
      <c r="A4" s="323"/>
      <c r="B4" s="323"/>
      <c r="C4" s="324" t="str">
        <f>'KV_7.sz.mell.'!F5</f>
        <v>Forintban!</v>
      </c>
    </row>
    <row r="5" spans="1:3" ht="12.75">
      <c r="A5" s="326" t="s">
        <v>539</v>
      </c>
      <c r="B5" s="327" t="s">
        <v>540</v>
      </c>
      <c r="C5" s="328" t="s">
        <v>541</v>
      </c>
    </row>
    <row r="6" spans="1:3" s="332" customFormat="1" ht="12.75" customHeight="1">
      <c r="A6" s="329"/>
      <c r="B6" s="330" t="s">
        <v>114</v>
      </c>
      <c r="C6" s="331" t="s">
        <v>115</v>
      </c>
    </row>
    <row r="7" spans="1:3" s="332" customFormat="1" ht="15.75" customHeight="1">
      <c r="A7" s="333"/>
      <c r="B7" s="334" t="s">
        <v>382</v>
      </c>
      <c r="C7" s="335"/>
    </row>
    <row r="8" spans="1:3" s="332" customFormat="1" ht="12" customHeight="1">
      <c r="A8" s="336" t="s">
        <v>116</v>
      </c>
      <c r="B8" s="42" t="s">
        <v>117</v>
      </c>
      <c r="C8" s="43">
        <f>+C9+C10+C11+C12+C13+C14</f>
        <v>413947518</v>
      </c>
    </row>
    <row r="9" spans="1:3" s="338" customFormat="1" ht="12" customHeight="1">
      <c r="A9" s="337" t="s">
        <v>118</v>
      </c>
      <c r="B9" s="46" t="s">
        <v>119</v>
      </c>
      <c r="C9" s="47">
        <v>180621648</v>
      </c>
    </row>
    <row r="10" spans="1:3" s="340" customFormat="1" ht="12" customHeight="1">
      <c r="A10" s="339" t="s">
        <v>120</v>
      </c>
      <c r="B10" s="49" t="s">
        <v>121</v>
      </c>
      <c r="C10" s="50">
        <v>91830668</v>
      </c>
    </row>
    <row r="11" spans="1:3" s="340" customFormat="1" ht="12" customHeight="1">
      <c r="A11" s="339" t="s">
        <v>122</v>
      </c>
      <c r="B11" s="49" t="s">
        <v>123</v>
      </c>
      <c r="C11" s="50">
        <v>135618232</v>
      </c>
    </row>
    <row r="12" spans="1:3" s="340" customFormat="1" ht="12" customHeight="1">
      <c r="A12" s="339" t="s">
        <v>124</v>
      </c>
      <c r="B12" s="49" t="s">
        <v>125</v>
      </c>
      <c r="C12" s="50">
        <v>5876970</v>
      </c>
    </row>
    <row r="13" spans="1:3" s="340" customFormat="1" ht="12" customHeight="1">
      <c r="A13" s="339" t="s">
        <v>126</v>
      </c>
      <c r="B13" s="49" t="s">
        <v>542</v>
      </c>
      <c r="C13" s="50"/>
    </row>
    <row r="14" spans="1:3" s="338" customFormat="1" ht="12" customHeight="1">
      <c r="A14" s="341" t="s">
        <v>128</v>
      </c>
      <c r="B14" s="57" t="s">
        <v>543</v>
      </c>
      <c r="C14" s="50"/>
    </row>
    <row r="15" spans="1:3" s="338" customFormat="1" ht="12" customHeight="1">
      <c r="A15" s="336" t="s">
        <v>130</v>
      </c>
      <c r="B15" s="54" t="s">
        <v>131</v>
      </c>
      <c r="C15" s="43">
        <f>+C16+C17+C18+C19+C20</f>
        <v>22781887</v>
      </c>
    </row>
    <row r="16" spans="1:3" s="338" customFormat="1" ht="12" customHeight="1">
      <c r="A16" s="337" t="s">
        <v>132</v>
      </c>
      <c r="B16" s="46" t="s">
        <v>133</v>
      </c>
      <c r="C16" s="47"/>
    </row>
    <row r="17" spans="1:3" s="338" customFormat="1" ht="12" customHeight="1">
      <c r="A17" s="339" t="s">
        <v>134</v>
      </c>
      <c r="B17" s="49" t="s">
        <v>135</v>
      </c>
      <c r="C17" s="50"/>
    </row>
    <row r="18" spans="1:3" s="338" customFormat="1" ht="12" customHeight="1">
      <c r="A18" s="339" t="s">
        <v>136</v>
      </c>
      <c r="B18" s="49" t="s">
        <v>137</v>
      </c>
      <c r="C18" s="50"/>
    </row>
    <row r="19" spans="1:3" s="338" customFormat="1" ht="12" customHeight="1">
      <c r="A19" s="339" t="s">
        <v>138</v>
      </c>
      <c r="B19" s="49" t="s">
        <v>139</v>
      </c>
      <c r="C19" s="50"/>
    </row>
    <row r="20" spans="1:3" s="338" customFormat="1" ht="12" customHeight="1">
      <c r="A20" s="339" t="s">
        <v>140</v>
      </c>
      <c r="B20" s="49" t="s">
        <v>544</v>
      </c>
      <c r="C20" s="50">
        <v>22781887</v>
      </c>
    </row>
    <row r="21" spans="1:3" s="340" customFormat="1" ht="12" customHeight="1">
      <c r="A21" s="341" t="s">
        <v>142</v>
      </c>
      <c r="B21" s="57" t="s">
        <v>545</v>
      </c>
      <c r="C21" s="55">
        <v>3139296</v>
      </c>
    </row>
    <row r="22" spans="1:3" s="340" customFormat="1" ht="12" customHeight="1">
      <c r="A22" s="336" t="s">
        <v>144</v>
      </c>
      <c r="B22" s="42" t="s">
        <v>145</v>
      </c>
      <c r="C22" s="43">
        <f>+C23+C24+C25+C26+C27</f>
        <v>8856290</v>
      </c>
    </row>
    <row r="23" spans="1:3" s="340" customFormat="1" ht="12" customHeight="1">
      <c r="A23" s="337" t="s">
        <v>146</v>
      </c>
      <c r="B23" s="46" t="s">
        <v>147</v>
      </c>
      <c r="C23" s="47"/>
    </row>
    <row r="24" spans="1:3" s="338" customFormat="1" ht="12" customHeight="1">
      <c r="A24" s="339" t="s">
        <v>148</v>
      </c>
      <c r="B24" s="49" t="s">
        <v>149</v>
      </c>
      <c r="C24" s="50"/>
    </row>
    <row r="25" spans="1:3" s="340" customFormat="1" ht="12" customHeight="1">
      <c r="A25" s="339" t="s">
        <v>150</v>
      </c>
      <c r="B25" s="49" t="s">
        <v>151</v>
      </c>
      <c r="C25" s="50"/>
    </row>
    <row r="26" spans="1:3" s="340" customFormat="1" ht="12" customHeight="1">
      <c r="A26" s="339" t="s">
        <v>152</v>
      </c>
      <c r="B26" s="49" t="s">
        <v>153</v>
      </c>
      <c r="C26" s="50"/>
    </row>
    <row r="27" spans="1:3" s="340" customFormat="1" ht="12" customHeight="1">
      <c r="A27" s="339" t="s">
        <v>154</v>
      </c>
      <c r="B27" s="49" t="s">
        <v>155</v>
      </c>
      <c r="C27" s="50">
        <v>8856290</v>
      </c>
    </row>
    <row r="28" spans="1:3" s="340" customFormat="1" ht="12" customHeight="1">
      <c r="A28" s="341" t="s">
        <v>156</v>
      </c>
      <c r="B28" s="57" t="s">
        <v>157</v>
      </c>
      <c r="C28" s="342"/>
    </row>
    <row r="29" spans="1:3" s="340" customFormat="1" ht="12" customHeight="1">
      <c r="A29" s="336" t="s">
        <v>158</v>
      </c>
      <c r="B29" s="42" t="s">
        <v>546</v>
      </c>
      <c r="C29" s="43">
        <f>SUM(C30:C36)</f>
        <v>60000000</v>
      </c>
    </row>
    <row r="30" spans="1:3" s="340" customFormat="1" ht="12" customHeight="1">
      <c r="A30" s="337" t="s">
        <v>160</v>
      </c>
      <c r="B30" s="46" t="s">
        <v>161</v>
      </c>
      <c r="C30" s="343">
        <v>4500000</v>
      </c>
    </row>
    <row r="31" spans="1:3" s="340" customFormat="1" ht="12" customHeight="1">
      <c r="A31" s="339" t="s">
        <v>162</v>
      </c>
      <c r="B31" s="49" t="s">
        <v>163</v>
      </c>
      <c r="C31" s="50"/>
    </row>
    <row r="32" spans="1:3" s="340" customFormat="1" ht="12" customHeight="1">
      <c r="A32" s="339" t="s">
        <v>164</v>
      </c>
      <c r="B32" s="49" t="s">
        <v>165</v>
      </c>
      <c r="C32" s="50">
        <v>48000000</v>
      </c>
    </row>
    <row r="33" spans="1:3" s="340" customFormat="1" ht="12" customHeight="1">
      <c r="A33" s="339" t="s">
        <v>166</v>
      </c>
      <c r="B33" s="49" t="s">
        <v>167</v>
      </c>
      <c r="C33" s="50"/>
    </row>
    <row r="34" spans="1:3" s="340" customFormat="1" ht="12" customHeight="1">
      <c r="A34" s="339" t="s">
        <v>168</v>
      </c>
      <c r="B34" s="49" t="s">
        <v>169</v>
      </c>
      <c r="C34" s="50">
        <v>7500000</v>
      </c>
    </row>
    <row r="35" spans="1:3" s="340" customFormat="1" ht="12" customHeight="1">
      <c r="A35" s="339" t="s">
        <v>170</v>
      </c>
      <c r="B35" s="49" t="s">
        <v>171</v>
      </c>
      <c r="C35" s="50"/>
    </row>
    <row r="36" spans="1:3" s="340" customFormat="1" ht="12" customHeight="1">
      <c r="A36" s="341" t="s">
        <v>172</v>
      </c>
      <c r="B36" s="60" t="s">
        <v>173</v>
      </c>
      <c r="C36" s="61"/>
    </row>
    <row r="37" spans="1:3" s="340" customFormat="1" ht="12" customHeight="1">
      <c r="A37" s="336" t="s">
        <v>174</v>
      </c>
      <c r="B37" s="42" t="s">
        <v>175</v>
      </c>
      <c r="C37" s="43">
        <f>SUM(C38:C48)</f>
        <v>42009800</v>
      </c>
    </row>
    <row r="38" spans="1:3" s="340" customFormat="1" ht="12" customHeight="1">
      <c r="A38" s="337" t="s">
        <v>176</v>
      </c>
      <c r="B38" s="46" t="s">
        <v>177</v>
      </c>
      <c r="C38" s="47">
        <v>5500000</v>
      </c>
    </row>
    <row r="39" spans="1:3" s="340" customFormat="1" ht="12" customHeight="1">
      <c r="A39" s="339" t="s">
        <v>178</v>
      </c>
      <c r="B39" s="49" t="s">
        <v>179</v>
      </c>
      <c r="C39" s="50">
        <v>5986000</v>
      </c>
    </row>
    <row r="40" spans="1:3" s="340" customFormat="1" ht="12" customHeight="1">
      <c r="A40" s="339" t="s">
        <v>180</v>
      </c>
      <c r="B40" s="49" t="s">
        <v>181</v>
      </c>
      <c r="C40" s="50">
        <v>8300000</v>
      </c>
    </row>
    <row r="41" spans="1:3" s="340" customFormat="1" ht="12" customHeight="1">
      <c r="A41" s="339" t="s">
        <v>182</v>
      </c>
      <c r="B41" s="49" t="s">
        <v>183</v>
      </c>
      <c r="C41" s="50">
        <v>14341000</v>
      </c>
    </row>
    <row r="42" spans="1:3" s="340" customFormat="1" ht="12" customHeight="1">
      <c r="A42" s="339" t="s">
        <v>184</v>
      </c>
      <c r="B42" s="49" t="s">
        <v>185</v>
      </c>
      <c r="C42" s="50"/>
    </row>
    <row r="43" spans="1:3" s="340" customFormat="1" ht="12" customHeight="1">
      <c r="A43" s="339" t="s">
        <v>186</v>
      </c>
      <c r="B43" s="49" t="s">
        <v>187</v>
      </c>
      <c r="C43" s="50">
        <v>6882800</v>
      </c>
    </row>
    <row r="44" spans="1:3" s="340" customFormat="1" ht="12" customHeight="1">
      <c r="A44" s="339" t="s">
        <v>188</v>
      </c>
      <c r="B44" s="49" t="s">
        <v>189</v>
      </c>
      <c r="C44" s="50"/>
    </row>
    <row r="45" spans="1:3" s="340" customFormat="1" ht="12" customHeight="1">
      <c r="A45" s="339" t="s">
        <v>190</v>
      </c>
      <c r="B45" s="49" t="s">
        <v>191</v>
      </c>
      <c r="C45" s="50"/>
    </row>
    <row r="46" spans="1:3" s="340" customFormat="1" ht="12" customHeight="1">
      <c r="A46" s="339" t="s">
        <v>192</v>
      </c>
      <c r="B46" s="49" t="s">
        <v>193</v>
      </c>
      <c r="C46" s="50"/>
    </row>
    <row r="47" spans="1:3" s="340" customFormat="1" ht="12" customHeight="1">
      <c r="A47" s="341" t="s">
        <v>194</v>
      </c>
      <c r="B47" s="62" t="s">
        <v>195</v>
      </c>
      <c r="C47" s="61"/>
    </row>
    <row r="48" spans="1:3" s="340" customFormat="1" ht="12" customHeight="1">
      <c r="A48" s="341" t="s">
        <v>196</v>
      </c>
      <c r="B48" s="57" t="s">
        <v>547</v>
      </c>
      <c r="C48" s="58">
        <v>1000000</v>
      </c>
    </row>
    <row r="49" spans="1:3" s="340" customFormat="1" ht="12" customHeight="1">
      <c r="A49" s="336" t="s">
        <v>198</v>
      </c>
      <c r="B49" s="42" t="s">
        <v>199</v>
      </c>
      <c r="C49" s="43">
        <f>SUM(C50:C54)</f>
        <v>0</v>
      </c>
    </row>
    <row r="50" spans="1:3" s="340" customFormat="1" ht="12" customHeight="1">
      <c r="A50" s="337" t="s">
        <v>200</v>
      </c>
      <c r="B50" s="46" t="s">
        <v>201</v>
      </c>
      <c r="C50" s="47"/>
    </row>
    <row r="51" spans="1:3" s="340" customFormat="1" ht="12" customHeight="1">
      <c r="A51" s="339" t="s">
        <v>202</v>
      </c>
      <c r="B51" s="49" t="s">
        <v>203</v>
      </c>
      <c r="C51" s="50"/>
    </row>
    <row r="52" spans="1:3" s="340" customFormat="1" ht="12" customHeight="1">
      <c r="A52" s="339" t="s">
        <v>204</v>
      </c>
      <c r="B52" s="49" t="s">
        <v>205</v>
      </c>
      <c r="C52" s="50"/>
    </row>
    <row r="53" spans="1:3" s="340" customFormat="1" ht="12" customHeight="1">
      <c r="A53" s="339" t="s">
        <v>206</v>
      </c>
      <c r="B53" s="49" t="s">
        <v>207</v>
      </c>
      <c r="C53" s="50"/>
    </row>
    <row r="54" spans="1:3" s="340" customFormat="1" ht="12" customHeight="1">
      <c r="A54" s="341" t="s">
        <v>208</v>
      </c>
      <c r="B54" s="62" t="s">
        <v>209</v>
      </c>
      <c r="C54" s="61"/>
    </row>
    <row r="55" spans="1:3" s="340" customFormat="1" ht="12" customHeight="1">
      <c r="A55" s="336" t="s">
        <v>210</v>
      </c>
      <c r="B55" s="42" t="s">
        <v>211</v>
      </c>
      <c r="C55" s="43">
        <f>SUM(C56:C58)</f>
        <v>0</v>
      </c>
    </row>
    <row r="56" spans="1:3" s="340" customFormat="1" ht="12" customHeight="1">
      <c r="A56" s="337" t="s">
        <v>212</v>
      </c>
      <c r="B56" s="46" t="s">
        <v>213</v>
      </c>
      <c r="C56" s="47"/>
    </row>
    <row r="57" spans="1:3" s="340" customFormat="1" ht="12" customHeight="1">
      <c r="A57" s="339" t="s">
        <v>214</v>
      </c>
      <c r="B57" s="49" t="s">
        <v>215</v>
      </c>
      <c r="C57" s="50"/>
    </row>
    <row r="58" spans="1:3" s="340" customFormat="1" ht="12" customHeight="1">
      <c r="A58" s="339" t="s">
        <v>216</v>
      </c>
      <c r="B58" s="49" t="s">
        <v>217</v>
      </c>
      <c r="C58" s="50"/>
    </row>
    <row r="59" spans="1:3" s="340" customFormat="1" ht="12" customHeight="1">
      <c r="A59" s="341" t="s">
        <v>218</v>
      </c>
      <c r="B59" s="62" t="s">
        <v>219</v>
      </c>
      <c r="C59" s="61"/>
    </row>
    <row r="60" spans="1:3" s="340" customFormat="1" ht="12" customHeight="1">
      <c r="A60" s="336" t="s">
        <v>220</v>
      </c>
      <c r="B60" s="54" t="s">
        <v>221</v>
      </c>
      <c r="C60" s="43">
        <f>SUM(C61:C63)</f>
        <v>13000000</v>
      </c>
    </row>
    <row r="61" spans="1:3" s="340" customFormat="1" ht="12" customHeight="1">
      <c r="A61" s="337" t="s">
        <v>222</v>
      </c>
      <c r="B61" s="46" t="s">
        <v>223</v>
      </c>
      <c r="C61" s="50"/>
    </row>
    <row r="62" spans="1:3" s="340" customFormat="1" ht="12" customHeight="1">
      <c r="A62" s="339" t="s">
        <v>224</v>
      </c>
      <c r="B62" s="49" t="s">
        <v>225</v>
      </c>
      <c r="C62" s="50"/>
    </row>
    <row r="63" spans="1:3" s="340" customFormat="1" ht="12" customHeight="1">
      <c r="A63" s="339" t="s">
        <v>226</v>
      </c>
      <c r="B63" s="49" t="s">
        <v>227</v>
      </c>
      <c r="C63" s="50">
        <v>13000000</v>
      </c>
    </row>
    <row r="64" spans="1:3" s="340" customFormat="1" ht="12" customHeight="1">
      <c r="A64" s="341" t="s">
        <v>228</v>
      </c>
      <c r="B64" s="62" t="s">
        <v>229</v>
      </c>
      <c r="C64" s="50"/>
    </row>
    <row r="65" spans="1:3" s="340" customFormat="1" ht="12" customHeight="1">
      <c r="A65" s="336" t="s">
        <v>367</v>
      </c>
      <c r="B65" s="42" t="s">
        <v>231</v>
      </c>
      <c r="C65" s="43">
        <f>+C8+C15+C22+C29+C37+C49+C55+C60</f>
        <v>560595495</v>
      </c>
    </row>
    <row r="66" spans="1:3" s="340" customFormat="1" ht="12" customHeight="1">
      <c r="A66" s="344" t="s">
        <v>548</v>
      </c>
      <c r="B66" s="54" t="s">
        <v>233</v>
      </c>
      <c r="C66" s="43">
        <f>SUM(C67:C69)</f>
        <v>0</v>
      </c>
    </row>
    <row r="67" spans="1:3" s="340" customFormat="1" ht="12" customHeight="1">
      <c r="A67" s="337" t="s">
        <v>234</v>
      </c>
      <c r="B67" s="46" t="s">
        <v>235</v>
      </c>
      <c r="C67" s="50"/>
    </row>
    <row r="68" spans="1:3" s="340" customFormat="1" ht="12" customHeight="1">
      <c r="A68" s="339" t="s">
        <v>236</v>
      </c>
      <c r="B68" s="49" t="s">
        <v>237</v>
      </c>
      <c r="C68" s="50"/>
    </row>
    <row r="69" spans="1:3" s="340" customFormat="1" ht="12" customHeight="1">
      <c r="A69" s="341" t="s">
        <v>238</v>
      </c>
      <c r="B69" s="345" t="s">
        <v>549</v>
      </c>
      <c r="C69" s="50"/>
    </row>
    <row r="70" spans="1:3" s="340" customFormat="1" ht="12" customHeight="1">
      <c r="A70" s="344" t="s">
        <v>240</v>
      </c>
      <c r="B70" s="54" t="s">
        <v>241</v>
      </c>
      <c r="C70" s="43">
        <f>SUM(C71:C74)</f>
        <v>0</v>
      </c>
    </row>
    <row r="71" spans="1:3" s="340" customFormat="1" ht="12" customHeight="1">
      <c r="A71" s="337" t="s">
        <v>242</v>
      </c>
      <c r="B71" s="46" t="s">
        <v>243</v>
      </c>
      <c r="C71" s="50"/>
    </row>
    <row r="72" spans="1:3" s="340" customFormat="1" ht="12" customHeight="1">
      <c r="A72" s="339" t="s">
        <v>244</v>
      </c>
      <c r="B72" s="49" t="s">
        <v>245</v>
      </c>
      <c r="C72" s="50"/>
    </row>
    <row r="73" spans="1:3" s="340" customFormat="1" ht="12" customHeight="1">
      <c r="A73" s="339" t="s">
        <v>246</v>
      </c>
      <c r="B73" s="49" t="s">
        <v>247</v>
      </c>
      <c r="C73" s="50"/>
    </row>
    <row r="74" spans="1:3" s="340" customFormat="1" ht="12" customHeight="1">
      <c r="A74" s="341" t="s">
        <v>248</v>
      </c>
      <c r="B74" s="53" t="s">
        <v>249</v>
      </c>
      <c r="C74" s="50"/>
    </row>
    <row r="75" spans="1:3" s="340" customFormat="1" ht="12" customHeight="1">
      <c r="A75" s="344" t="s">
        <v>250</v>
      </c>
      <c r="B75" s="54" t="s">
        <v>251</v>
      </c>
      <c r="C75" s="43">
        <f>SUM(C76:C77)</f>
        <v>241504542</v>
      </c>
    </row>
    <row r="76" spans="1:3" s="340" customFormat="1" ht="12" customHeight="1">
      <c r="A76" s="337" t="s">
        <v>252</v>
      </c>
      <c r="B76" s="46" t="s">
        <v>253</v>
      </c>
      <c r="C76" s="50">
        <v>241504542</v>
      </c>
    </row>
    <row r="77" spans="1:3" s="340" customFormat="1" ht="12" customHeight="1">
      <c r="A77" s="341" t="s">
        <v>254</v>
      </c>
      <c r="B77" s="62" t="s">
        <v>255</v>
      </c>
      <c r="C77" s="50"/>
    </row>
    <row r="78" spans="1:3" s="338" customFormat="1" ht="12" customHeight="1">
      <c r="A78" s="344" t="s">
        <v>256</v>
      </c>
      <c r="B78" s="54" t="s">
        <v>257</v>
      </c>
      <c r="C78" s="43">
        <f>SUM(C79:C81)</f>
        <v>0</v>
      </c>
    </row>
    <row r="79" spans="1:3" s="340" customFormat="1" ht="12" customHeight="1">
      <c r="A79" s="337" t="s">
        <v>258</v>
      </c>
      <c r="B79" s="46" t="s">
        <v>259</v>
      </c>
      <c r="C79" s="50"/>
    </row>
    <row r="80" spans="1:3" s="340" customFormat="1" ht="12" customHeight="1">
      <c r="A80" s="339" t="s">
        <v>260</v>
      </c>
      <c r="B80" s="49" t="s">
        <v>261</v>
      </c>
      <c r="C80" s="50"/>
    </row>
    <row r="81" spans="1:3" s="340" customFormat="1" ht="12" customHeight="1">
      <c r="A81" s="341" t="s">
        <v>262</v>
      </c>
      <c r="B81" s="62" t="s">
        <v>263</v>
      </c>
      <c r="C81" s="50"/>
    </row>
    <row r="82" spans="1:3" s="340" customFormat="1" ht="12" customHeight="1">
      <c r="A82" s="344" t="s">
        <v>264</v>
      </c>
      <c r="B82" s="54" t="s">
        <v>265</v>
      </c>
      <c r="C82" s="43">
        <f>SUM(C83:C86)</f>
        <v>0</v>
      </c>
    </row>
    <row r="83" spans="1:3" s="340" customFormat="1" ht="12" customHeight="1">
      <c r="A83" s="346" t="s">
        <v>266</v>
      </c>
      <c r="B83" s="46" t="s">
        <v>267</v>
      </c>
      <c r="C83" s="50"/>
    </row>
    <row r="84" spans="1:3" s="340" customFormat="1" ht="12" customHeight="1">
      <c r="A84" s="347" t="s">
        <v>268</v>
      </c>
      <c r="B84" s="49" t="s">
        <v>269</v>
      </c>
      <c r="C84" s="50"/>
    </row>
    <row r="85" spans="1:3" s="340" customFormat="1" ht="12" customHeight="1">
      <c r="A85" s="347" t="s">
        <v>270</v>
      </c>
      <c r="B85" s="49" t="s">
        <v>271</v>
      </c>
      <c r="C85" s="50"/>
    </row>
    <row r="86" spans="1:3" s="338" customFormat="1" ht="12" customHeight="1">
      <c r="A86" s="348" t="s">
        <v>272</v>
      </c>
      <c r="B86" s="62" t="s">
        <v>273</v>
      </c>
      <c r="C86" s="50"/>
    </row>
    <row r="87" spans="1:3" s="338" customFormat="1" ht="12" customHeight="1">
      <c r="A87" s="344" t="s">
        <v>274</v>
      </c>
      <c r="B87" s="54" t="s">
        <v>275</v>
      </c>
      <c r="C87" s="77"/>
    </row>
    <row r="88" spans="1:3" s="338" customFormat="1" ht="12" customHeight="1">
      <c r="A88" s="344" t="s">
        <v>550</v>
      </c>
      <c r="B88" s="54" t="s">
        <v>277</v>
      </c>
      <c r="C88" s="77"/>
    </row>
    <row r="89" spans="1:3" s="338" customFormat="1" ht="12" customHeight="1">
      <c r="A89" s="344" t="s">
        <v>551</v>
      </c>
      <c r="B89" s="78" t="s">
        <v>279</v>
      </c>
      <c r="C89" s="43">
        <f>+C66+C70+C75+C78+C82+C88+C87</f>
        <v>241504542</v>
      </c>
    </row>
    <row r="90" spans="1:3" s="338" customFormat="1" ht="12" customHeight="1">
      <c r="A90" s="349" t="s">
        <v>552</v>
      </c>
      <c r="B90" s="80" t="s">
        <v>553</v>
      </c>
      <c r="C90" s="43">
        <f>+C65+C89</f>
        <v>802100037</v>
      </c>
    </row>
    <row r="91" spans="1:3" s="340" customFormat="1" ht="15" customHeight="1">
      <c r="A91" s="350"/>
      <c r="B91" s="351"/>
      <c r="C91" s="352"/>
    </row>
    <row r="92" spans="1:3" s="332" customFormat="1" ht="16.5" customHeight="1">
      <c r="A92" s="353"/>
      <c r="B92" s="354" t="s">
        <v>383</v>
      </c>
      <c r="C92" s="355"/>
    </row>
    <row r="93" spans="1:3" s="357" customFormat="1" ht="12" customHeight="1">
      <c r="A93" s="356" t="s">
        <v>116</v>
      </c>
      <c r="B93" s="90" t="s">
        <v>554</v>
      </c>
      <c r="C93" s="91">
        <f>+C94+C95+C96+C97+C98+C111</f>
        <v>247193877</v>
      </c>
    </row>
    <row r="94" spans="1:3" ht="12" customHeight="1">
      <c r="A94" s="358" t="s">
        <v>118</v>
      </c>
      <c r="B94" s="93" t="s">
        <v>286</v>
      </c>
      <c r="C94" s="94">
        <v>76788134</v>
      </c>
    </row>
    <row r="95" spans="1:3" ht="12" customHeight="1">
      <c r="A95" s="339" t="s">
        <v>120</v>
      </c>
      <c r="B95" s="95" t="s">
        <v>287</v>
      </c>
      <c r="C95" s="50">
        <v>11501230</v>
      </c>
    </row>
    <row r="96" spans="1:3" ht="12" customHeight="1">
      <c r="A96" s="339" t="s">
        <v>122</v>
      </c>
      <c r="B96" s="95" t="s">
        <v>288</v>
      </c>
      <c r="C96" s="61">
        <v>101108015</v>
      </c>
    </row>
    <row r="97" spans="1:3" ht="12" customHeight="1">
      <c r="A97" s="339" t="s">
        <v>124</v>
      </c>
      <c r="B97" s="96" t="s">
        <v>289</v>
      </c>
      <c r="C97" s="61">
        <v>26630000</v>
      </c>
    </row>
    <row r="98" spans="1:3" ht="12" customHeight="1">
      <c r="A98" s="339" t="s">
        <v>290</v>
      </c>
      <c r="B98" s="97" t="s">
        <v>291</v>
      </c>
      <c r="C98" s="61">
        <v>11166498</v>
      </c>
    </row>
    <row r="99" spans="1:3" ht="12" customHeight="1">
      <c r="A99" s="339" t="s">
        <v>128</v>
      </c>
      <c r="B99" s="95" t="s">
        <v>555</v>
      </c>
      <c r="C99" s="61">
        <v>5000000</v>
      </c>
    </row>
    <row r="100" spans="1:3" ht="12" customHeight="1">
      <c r="A100" s="339" t="s">
        <v>293</v>
      </c>
      <c r="B100" s="99" t="s">
        <v>294</v>
      </c>
      <c r="C100" s="61"/>
    </row>
    <row r="101" spans="1:3" ht="12" customHeight="1">
      <c r="A101" s="339" t="s">
        <v>295</v>
      </c>
      <c r="B101" s="99" t="s">
        <v>296</v>
      </c>
      <c r="C101" s="61"/>
    </row>
    <row r="102" spans="1:3" ht="12" customHeight="1">
      <c r="A102" s="339" t="s">
        <v>297</v>
      </c>
      <c r="B102" s="99" t="s">
        <v>298</v>
      </c>
      <c r="C102" s="61"/>
    </row>
    <row r="103" spans="1:3" ht="12" customHeight="1">
      <c r="A103" s="339" t="s">
        <v>299</v>
      </c>
      <c r="B103" s="100" t="s">
        <v>300</v>
      </c>
      <c r="C103" s="61"/>
    </row>
    <row r="104" spans="1:3" ht="12" customHeight="1">
      <c r="A104" s="339" t="s">
        <v>301</v>
      </c>
      <c r="B104" s="100" t="s">
        <v>302</v>
      </c>
      <c r="C104" s="61"/>
    </row>
    <row r="105" spans="1:3" ht="12" customHeight="1">
      <c r="A105" s="339" t="s">
        <v>303</v>
      </c>
      <c r="B105" s="99" t="s">
        <v>304</v>
      </c>
      <c r="C105" s="61">
        <v>8170838</v>
      </c>
    </row>
    <row r="106" spans="1:3" ht="12" customHeight="1">
      <c r="A106" s="339" t="s">
        <v>305</v>
      </c>
      <c r="B106" s="99" t="s">
        <v>306</v>
      </c>
      <c r="C106" s="61"/>
    </row>
    <row r="107" spans="1:3" ht="12" customHeight="1">
      <c r="A107" s="339" t="s">
        <v>307</v>
      </c>
      <c r="B107" s="100" t="s">
        <v>308</v>
      </c>
      <c r="C107" s="61"/>
    </row>
    <row r="108" spans="1:3" ht="12" customHeight="1">
      <c r="A108" s="359" t="s">
        <v>309</v>
      </c>
      <c r="B108" s="98" t="s">
        <v>310</v>
      </c>
      <c r="C108" s="61"/>
    </row>
    <row r="109" spans="1:3" ht="12" customHeight="1">
      <c r="A109" s="339" t="s">
        <v>311</v>
      </c>
      <c r="B109" s="98" t="s">
        <v>312</v>
      </c>
      <c r="C109" s="61"/>
    </row>
    <row r="110" spans="1:3" ht="12" customHeight="1">
      <c r="A110" s="339" t="s">
        <v>313</v>
      </c>
      <c r="B110" s="100" t="s">
        <v>314</v>
      </c>
      <c r="C110" s="50">
        <v>2995660</v>
      </c>
    </row>
    <row r="111" spans="1:3" ht="12" customHeight="1">
      <c r="A111" s="339" t="s">
        <v>315</v>
      </c>
      <c r="B111" s="96" t="s">
        <v>316</v>
      </c>
      <c r="C111" s="50">
        <f>SUM(C112:C113)</f>
        <v>20000000</v>
      </c>
    </row>
    <row r="112" spans="1:3" ht="12" customHeight="1">
      <c r="A112" s="341" t="s">
        <v>317</v>
      </c>
      <c r="B112" s="95" t="s">
        <v>556</v>
      </c>
      <c r="C112" s="61">
        <v>17647000</v>
      </c>
    </row>
    <row r="113" spans="1:3" ht="12" customHeight="1">
      <c r="A113" s="360" t="s">
        <v>319</v>
      </c>
      <c r="B113" s="361" t="s">
        <v>557</v>
      </c>
      <c r="C113" s="73">
        <v>2353000</v>
      </c>
    </row>
    <row r="114" spans="1:3" ht="12" customHeight="1">
      <c r="A114" s="336" t="s">
        <v>130</v>
      </c>
      <c r="B114" s="125" t="s">
        <v>321</v>
      </c>
      <c r="C114" s="43">
        <f>+C115+C117+C119</f>
        <v>189775694</v>
      </c>
    </row>
    <row r="115" spans="1:3" ht="12" customHeight="1">
      <c r="A115" s="337" t="s">
        <v>132</v>
      </c>
      <c r="B115" s="95" t="s">
        <v>322</v>
      </c>
      <c r="C115" s="47">
        <v>27211862</v>
      </c>
    </row>
    <row r="116" spans="1:3" ht="12" customHeight="1">
      <c r="A116" s="337" t="s">
        <v>134</v>
      </c>
      <c r="B116" s="105" t="s">
        <v>323</v>
      </c>
      <c r="C116" s="106"/>
    </row>
    <row r="117" spans="1:3" ht="12" customHeight="1">
      <c r="A117" s="337" t="s">
        <v>136</v>
      </c>
      <c r="B117" s="105" t="s">
        <v>324</v>
      </c>
      <c r="C117" s="50">
        <v>155763832</v>
      </c>
    </row>
    <row r="118" spans="1:3" ht="12" customHeight="1">
      <c r="A118" s="337" t="s">
        <v>138</v>
      </c>
      <c r="B118" s="105" t="s">
        <v>325</v>
      </c>
      <c r="C118" s="107">
        <v>120091212</v>
      </c>
    </row>
    <row r="119" spans="1:3" ht="12" customHeight="1">
      <c r="A119" s="337" t="s">
        <v>140</v>
      </c>
      <c r="B119" s="53" t="s">
        <v>444</v>
      </c>
      <c r="C119" s="108">
        <v>6800000</v>
      </c>
    </row>
    <row r="120" spans="1:3" ht="12" customHeight="1">
      <c r="A120" s="337" t="s">
        <v>142</v>
      </c>
      <c r="B120" s="51" t="s">
        <v>327</v>
      </c>
      <c r="C120" s="108"/>
    </row>
    <row r="121" spans="1:3" ht="12" customHeight="1">
      <c r="A121" s="337" t="s">
        <v>328</v>
      </c>
      <c r="B121" s="109" t="s">
        <v>329</v>
      </c>
      <c r="C121" s="108"/>
    </row>
    <row r="122" spans="1:3" ht="12" customHeight="1">
      <c r="A122" s="337" t="s">
        <v>330</v>
      </c>
      <c r="B122" s="100" t="s">
        <v>302</v>
      </c>
      <c r="C122" s="108"/>
    </row>
    <row r="123" spans="1:3" ht="12" customHeight="1">
      <c r="A123" s="337" t="s">
        <v>331</v>
      </c>
      <c r="B123" s="100" t="s">
        <v>332</v>
      </c>
      <c r="C123" s="108"/>
    </row>
    <row r="124" spans="1:3" ht="12" customHeight="1">
      <c r="A124" s="337" t="s">
        <v>333</v>
      </c>
      <c r="B124" s="100" t="s">
        <v>334</v>
      </c>
      <c r="C124" s="108"/>
    </row>
    <row r="125" spans="1:3" ht="12" customHeight="1">
      <c r="A125" s="337" t="s">
        <v>335</v>
      </c>
      <c r="B125" s="100" t="s">
        <v>308</v>
      </c>
      <c r="C125" s="108"/>
    </row>
    <row r="126" spans="1:3" ht="12" customHeight="1">
      <c r="A126" s="337" t="s">
        <v>336</v>
      </c>
      <c r="B126" s="100" t="s">
        <v>337</v>
      </c>
      <c r="C126" s="108">
        <v>3000000</v>
      </c>
    </row>
    <row r="127" spans="1:3" ht="12" customHeight="1">
      <c r="A127" s="359" t="s">
        <v>338</v>
      </c>
      <c r="B127" s="100" t="s">
        <v>339</v>
      </c>
      <c r="C127" s="110">
        <v>3800000</v>
      </c>
    </row>
    <row r="128" spans="1:3" ht="12" customHeight="1">
      <c r="A128" s="336" t="s">
        <v>144</v>
      </c>
      <c r="B128" s="42" t="s">
        <v>340</v>
      </c>
      <c r="C128" s="43">
        <f>+C93+C114</f>
        <v>436969571</v>
      </c>
    </row>
    <row r="129" spans="1:3" ht="12" customHeight="1">
      <c r="A129" s="336" t="s">
        <v>341</v>
      </c>
      <c r="B129" s="42" t="s">
        <v>342</v>
      </c>
      <c r="C129" s="43">
        <f>+C130+C131+C132</f>
        <v>0</v>
      </c>
    </row>
    <row r="130" spans="1:3" s="357" customFormat="1" ht="12" customHeight="1">
      <c r="A130" s="337" t="s">
        <v>160</v>
      </c>
      <c r="B130" s="111" t="s">
        <v>558</v>
      </c>
      <c r="C130" s="108"/>
    </row>
    <row r="131" spans="1:3" ht="12" customHeight="1">
      <c r="A131" s="337" t="s">
        <v>162</v>
      </c>
      <c r="B131" s="111" t="s">
        <v>344</v>
      </c>
      <c r="C131" s="108"/>
    </row>
    <row r="132" spans="1:3" ht="12" customHeight="1">
      <c r="A132" s="359" t="s">
        <v>164</v>
      </c>
      <c r="B132" s="112" t="s">
        <v>559</v>
      </c>
      <c r="C132" s="108"/>
    </row>
    <row r="133" spans="1:3" ht="12" customHeight="1">
      <c r="A133" s="336" t="s">
        <v>174</v>
      </c>
      <c r="B133" s="42" t="s">
        <v>346</v>
      </c>
      <c r="C133" s="43">
        <f>+C134+C135+C136+C137+C138+C139</f>
        <v>0</v>
      </c>
    </row>
    <row r="134" spans="1:3" ht="12" customHeight="1">
      <c r="A134" s="337" t="s">
        <v>176</v>
      </c>
      <c r="B134" s="111" t="s">
        <v>347</v>
      </c>
      <c r="C134" s="108"/>
    </row>
    <row r="135" spans="1:3" ht="12" customHeight="1">
      <c r="A135" s="337" t="s">
        <v>178</v>
      </c>
      <c r="B135" s="111" t="s">
        <v>348</v>
      </c>
      <c r="C135" s="108"/>
    </row>
    <row r="136" spans="1:3" ht="12" customHeight="1">
      <c r="A136" s="337" t="s">
        <v>180</v>
      </c>
      <c r="B136" s="111" t="s">
        <v>349</v>
      </c>
      <c r="C136" s="108"/>
    </row>
    <row r="137" spans="1:3" ht="12" customHeight="1">
      <c r="A137" s="337" t="s">
        <v>182</v>
      </c>
      <c r="B137" s="111" t="s">
        <v>560</v>
      </c>
      <c r="C137" s="108"/>
    </row>
    <row r="138" spans="1:3" ht="12" customHeight="1">
      <c r="A138" s="337" t="s">
        <v>184</v>
      </c>
      <c r="B138" s="111" t="s">
        <v>351</v>
      </c>
      <c r="C138" s="108"/>
    </row>
    <row r="139" spans="1:3" s="357" customFormat="1" ht="12" customHeight="1">
      <c r="A139" s="359" t="s">
        <v>186</v>
      </c>
      <c r="B139" s="112" t="s">
        <v>352</v>
      </c>
      <c r="C139" s="108"/>
    </row>
    <row r="140" spans="1:11" ht="12" customHeight="1">
      <c r="A140" s="336" t="s">
        <v>198</v>
      </c>
      <c r="B140" s="42" t="s">
        <v>561</v>
      </c>
      <c r="C140" s="43">
        <f>+C141+C142+C144+C145+C143</f>
        <v>365130466</v>
      </c>
      <c r="K140" s="362"/>
    </row>
    <row r="141" spans="1:3" ht="12.75">
      <c r="A141" s="337" t="s">
        <v>200</v>
      </c>
      <c r="B141" s="111" t="s">
        <v>354</v>
      </c>
      <c r="C141" s="108"/>
    </row>
    <row r="142" spans="1:3" ht="12" customHeight="1">
      <c r="A142" s="337" t="s">
        <v>202</v>
      </c>
      <c r="B142" s="111" t="s">
        <v>355</v>
      </c>
      <c r="C142" s="108">
        <v>15390031</v>
      </c>
    </row>
    <row r="143" spans="1:3" ht="12" customHeight="1">
      <c r="A143" s="337" t="s">
        <v>204</v>
      </c>
      <c r="B143" s="111" t="s">
        <v>562</v>
      </c>
      <c r="C143" s="108">
        <v>349740435</v>
      </c>
    </row>
    <row r="144" spans="1:3" s="357" customFormat="1" ht="12" customHeight="1">
      <c r="A144" s="337" t="s">
        <v>206</v>
      </c>
      <c r="B144" s="111" t="s">
        <v>356</v>
      </c>
      <c r="C144" s="108"/>
    </row>
    <row r="145" spans="1:3" s="357" customFormat="1" ht="12" customHeight="1">
      <c r="A145" s="359" t="s">
        <v>208</v>
      </c>
      <c r="B145" s="112" t="s">
        <v>357</v>
      </c>
      <c r="C145" s="108"/>
    </row>
    <row r="146" spans="1:3" s="357" customFormat="1" ht="12" customHeight="1">
      <c r="A146" s="336" t="s">
        <v>358</v>
      </c>
      <c r="B146" s="42" t="s">
        <v>359</v>
      </c>
      <c r="C146" s="115">
        <f>+C147+C148+C149+C150+C151</f>
        <v>0</v>
      </c>
    </row>
    <row r="147" spans="1:3" s="357" customFormat="1" ht="12" customHeight="1">
      <c r="A147" s="337" t="s">
        <v>212</v>
      </c>
      <c r="B147" s="111" t="s">
        <v>360</v>
      </c>
      <c r="C147" s="108"/>
    </row>
    <row r="148" spans="1:3" s="357" customFormat="1" ht="12" customHeight="1">
      <c r="A148" s="337" t="s">
        <v>214</v>
      </c>
      <c r="B148" s="111" t="s">
        <v>361</v>
      </c>
      <c r="C148" s="108"/>
    </row>
    <row r="149" spans="1:3" s="357" customFormat="1" ht="12" customHeight="1">
      <c r="A149" s="337" t="s">
        <v>216</v>
      </c>
      <c r="B149" s="111" t="s">
        <v>362</v>
      </c>
      <c r="C149" s="108"/>
    </row>
    <row r="150" spans="1:3" s="357" customFormat="1" ht="12" customHeight="1">
      <c r="A150" s="337" t="s">
        <v>218</v>
      </c>
      <c r="B150" s="111" t="s">
        <v>363</v>
      </c>
      <c r="C150" s="108"/>
    </row>
    <row r="151" spans="1:3" ht="12.75" customHeight="1">
      <c r="A151" s="359" t="s">
        <v>364</v>
      </c>
      <c r="B151" s="112" t="s">
        <v>365</v>
      </c>
      <c r="C151" s="110"/>
    </row>
    <row r="152" spans="1:3" ht="12.75" customHeight="1">
      <c r="A152" s="363" t="s">
        <v>220</v>
      </c>
      <c r="B152" s="42" t="s">
        <v>366</v>
      </c>
      <c r="C152" s="115"/>
    </row>
    <row r="153" spans="1:3" ht="12.75" customHeight="1">
      <c r="A153" s="363" t="s">
        <v>367</v>
      </c>
      <c r="B153" s="42" t="s">
        <v>368</v>
      </c>
      <c r="C153" s="115"/>
    </row>
    <row r="154" spans="1:3" ht="12" customHeight="1">
      <c r="A154" s="336" t="s">
        <v>369</v>
      </c>
      <c r="B154" s="42" t="s">
        <v>370</v>
      </c>
      <c r="C154" s="364">
        <f>+C129+C133+C140+C146+C152+C153</f>
        <v>365130466</v>
      </c>
    </row>
    <row r="155" spans="1:3" ht="15" customHeight="1">
      <c r="A155" s="365" t="s">
        <v>371</v>
      </c>
      <c r="B155" s="366" t="s">
        <v>372</v>
      </c>
      <c r="C155" s="364">
        <f>+C128+C154</f>
        <v>802100037</v>
      </c>
    </row>
    <row r="156" ht="12.75">
      <c r="C156" s="367">
        <f>C90-C155</f>
        <v>0</v>
      </c>
    </row>
    <row r="157" spans="1:3" ht="15" customHeight="1">
      <c r="A157" s="368" t="s">
        <v>563</v>
      </c>
      <c r="B157" s="369"/>
      <c r="C157" s="370">
        <v>8</v>
      </c>
    </row>
    <row r="158" spans="1:3" ht="14.25" customHeight="1">
      <c r="A158" s="368" t="s">
        <v>564</v>
      </c>
      <c r="B158" s="369"/>
      <c r="C158" s="371">
        <v>51</v>
      </c>
    </row>
    <row r="159" spans="1:3" ht="12.75">
      <c r="A159" s="372"/>
      <c r="B159" s="373"/>
      <c r="C159" s="374"/>
    </row>
    <row r="160" spans="1:2" ht="12.75">
      <c r="A160" s="372"/>
      <c r="B160" s="373"/>
    </row>
    <row r="161" spans="1:3" ht="12.75">
      <c r="A161" s="372"/>
      <c r="B161" s="373"/>
      <c r="C161" s="375"/>
    </row>
    <row r="162" spans="1:3" ht="12.75">
      <c r="A162" s="372"/>
      <c r="B162" s="373"/>
      <c r="C162" s="375"/>
    </row>
    <row r="163" spans="1:3" ht="12.75">
      <c r="A163" s="372"/>
      <c r="B163" s="373"/>
      <c r="C163" s="375"/>
    </row>
    <row r="164" spans="1:3" ht="12.75">
      <c r="A164" s="372"/>
      <c r="B164" s="373"/>
      <c r="C164" s="375"/>
    </row>
    <row r="165" spans="1:3" ht="12.75">
      <c r="A165" s="372"/>
      <c r="B165" s="373"/>
      <c r="C165" s="375"/>
    </row>
    <row r="166" spans="1:3" ht="12.75">
      <c r="A166" s="372"/>
      <c r="B166" s="373"/>
      <c r="C166" s="375"/>
    </row>
    <row r="167" spans="1:3" ht="12.75">
      <c r="A167" s="372"/>
      <c r="B167" s="373"/>
      <c r="C167" s="375"/>
    </row>
    <row r="168" spans="1:3" ht="12.75">
      <c r="A168" s="372"/>
      <c r="B168" s="373"/>
      <c r="C168" s="375"/>
    </row>
    <row r="169" spans="1:3" ht="12.75">
      <c r="A169" s="372"/>
      <c r="B169" s="373"/>
      <c r="C169" s="375"/>
    </row>
    <row r="170" spans="1:3" ht="12.75">
      <c r="A170" s="372"/>
      <c r="B170" s="373"/>
      <c r="C170" s="375"/>
    </row>
    <row r="171" spans="1:3" ht="12.75">
      <c r="A171" s="372"/>
      <c r="B171" s="373"/>
      <c r="C171" s="375"/>
    </row>
    <row r="172" spans="1:3" ht="12.75">
      <c r="A172" s="372"/>
      <c r="B172" s="373"/>
      <c r="C172" s="375"/>
    </row>
    <row r="173" spans="1:3" ht="12.75">
      <c r="A173" s="372"/>
      <c r="B173" s="373"/>
      <c r="C173" s="375"/>
    </row>
    <row r="174" spans="1:3" ht="12.75">
      <c r="A174" s="372"/>
      <c r="B174" s="373"/>
      <c r="C174" s="375"/>
    </row>
    <row r="175" spans="1:3" ht="12.75">
      <c r="A175" s="372"/>
      <c r="B175" s="373"/>
      <c r="C175" s="375"/>
    </row>
    <row r="176" spans="1:3" ht="12.75">
      <c r="A176" s="372"/>
      <c r="B176" s="373"/>
      <c r="C176" s="375"/>
    </row>
    <row r="177" spans="1:3" ht="12.75">
      <c r="A177" s="372"/>
      <c r="B177" s="373"/>
      <c r="C177" s="375"/>
    </row>
    <row r="178" spans="1:3" ht="12.75">
      <c r="A178" s="372"/>
      <c r="B178" s="373"/>
      <c r="C178" s="375"/>
    </row>
    <row r="179" spans="1:3" ht="12.75">
      <c r="A179" s="372"/>
      <c r="B179" s="373"/>
      <c r="C179" s="375"/>
    </row>
  </sheetData>
  <sheetProtection selectLockedCells="1" selectUnlockedCells="1"/>
  <printOptions horizontalCentered="1"/>
  <pageMargins left="0.25" right="0.25" top="0.75" bottom="0.75" header="0.5118055555555555" footer="0.5118055555555555"/>
  <pageSetup horizontalDpi="300" verticalDpi="300" orientation="portrait" paperSize="9" scale="75"/>
  <rowBreaks count="1" manualBreakCount="1">
    <brk id="90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50"/>
  </sheetPr>
  <dimension ref="A1:K178"/>
  <sheetViews>
    <sheetView zoomScale="120" zoomScaleNormal="120" zoomScaleSheetLayoutView="85" zoomScalePageLayoutView="0" workbookViewId="0" topLeftCell="A142">
      <selection activeCell="C157" sqref="C157"/>
    </sheetView>
  </sheetViews>
  <sheetFormatPr defaultColWidth="9.00390625" defaultRowHeight="12.75"/>
  <cols>
    <col min="1" max="1" width="19.50390625" style="308" customWidth="1"/>
    <col min="2" max="2" width="72.00390625" style="309" customWidth="1"/>
    <col min="3" max="3" width="25.00390625" style="310" customWidth="1"/>
    <col min="4" max="4" width="9.375" style="311" customWidth="1"/>
    <col min="5" max="5" width="11.50390625" style="311" customWidth="1"/>
    <col min="6" max="16384" width="9.375" style="311" customWidth="1"/>
  </cols>
  <sheetData>
    <row r="1" spans="1:3" s="315" customFormat="1" ht="16.5" customHeight="1">
      <c r="A1" s="312"/>
      <c r="B1" s="313"/>
      <c r="C1" s="314" t="str">
        <f>CONCATENATE("9.1.1. melléklet ",ALAPADATOK!A7," ",ALAPADATOK!B7," ",ALAPADATOK!C7," ",ALAPADATOK!D7," ",ALAPADATOK!E7," ",ALAPADATOK!F7," ",ALAPADATOK!G7," ",ALAPADATOK!H7)</f>
        <v>9.1.1. melléklet a … / 2019 ( … ) önkormányzati rendelethez</v>
      </c>
    </row>
    <row r="2" spans="1:3" s="319" customFormat="1" ht="21" customHeight="1">
      <c r="A2" s="316" t="s">
        <v>384</v>
      </c>
      <c r="B2" s="317" t="str">
        <f>CONCATENATE(ALAPADATOK!A3)</f>
        <v>ELEK VÁROS ÖNKORMÁNYZATA</v>
      </c>
      <c r="C2" s="318" t="s">
        <v>536</v>
      </c>
    </row>
    <row r="3" spans="1:3" s="319" customFormat="1" ht="15.75">
      <c r="A3" s="320" t="s">
        <v>537</v>
      </c>
      <c r="B3" s="321" t="s">
        <v>565</v>
      </c>
      <c r="C3" s="322" t="s">
        <v>566</v>
      </c>
    </row>
    <row r="4" spans="1:3" s="325" customFormat="1" ht="15.75" customHeight="1">
      <c r="A4" s="323"/>
      <c r="B4" s="323"/>
      <c r="C4" s="324" t="str">
        <f>'KV_9.1.sz.mell'!C4</f>
        <v>Forintban!</v>
      </c>
    </row>
    <row r="5" spans="1:3" ht="12.75">
      <c r="A5" s="326" t="s">
        <v>539</v>
      </c>
      <c r="B5" s="327" t="s">
        <v>540</v>
      </c>
      <c r="C5" s="328" t="s">
        <v>541</v>
      </c>
    </row>
    <row r="6" spans="1:5" s="332" customFormat="1" ht="12.75" customHeight="1">
      <c r="A6" s="329"/>
      <c r="B6" s="330" t="s">
        <v>114</v>
      </c>
      <c r="C6" s="331" t="s">
        <v>115</v>
      </c>
      <c r="E6" s="376"/>
    </row>
    <row r="7" spans="1:5" s="332" customFormat="1" ht="15.75" customHeight="1">
      <c r="A7" s="377"/>
      <c r="B7" s="378" t="s">
        <v>382</v>
      </c>
      <c r="C7" s="379"/>
      <c r="E7" s="376"/>
    </row>
    <row r="8" spans="1:5" s="332" customFormat="1" ht="12" customHeight="1">
      <c r="A8" s="336" t="s">
        <v>116</v>
      </c>
      <c r="B8" s="42" t="s">
        <v>117</v>
      </c>
      <c r="C8" s="43">
        <f>+C9+C10+C11+C12+C13+C14</f>
        <v>413947518</v>
      </c>
      <c r="E8" s="380"/>
    </row>
    <row r="9" spans="1:5" s="338" customFormat="1" ht="12" customHeight="1">
      <c r="A9" s="337" t="s">
        <v>118</v>
      </c>
      <c r="B9" s="46" t="s">
        <v>119</v>
      </c>
      <c r="C9" s="47">
        <v>180621648</v>
      </c>
      <c r="E9" s="381"/>
    </row>
    <row r="10" spans="1:5" s="340" customFormat="1" ht="12" customHeight="1">
      <c r="A10" s="339" t="s">
        <v>120</v>
      </c>
      <c r="B10" s="49" t="s">
        <v>121</v>
      </c>
      <c r="C10" s="50">
        <v>91830668</v>
      </c>
      <c r="E10" s="381"/>
    </row>
    <row r="11" spans="1:5" s="340" customFormat="1" ht="12" customHeight="1">
      <c r="A11" s="339" t="s">
        <v>122</v>
      </c>
      <c r="B11" s="49" t="s">
        <v>123</v>
      </c>
      <c r="C11" s="50">
        <v>135618232</v>
      </c>
      <c r="E11" s="381"/>
    </row>
    <row r="12" spans="1:5" s="340" customFormat="1" ht="12" customHeight="1">
      <c r="A12" s="339" t="s">
        <v>124</v>
      </c>
      <c r="B12" s="49" t="s">
        <v>125</v>
      </c>
      <c r="C12" s="50">
        <v>5876970</v>
      </c>
      <c r="E12" s="381"/>
    </row>
    <row r="13" spans="1:5" s="340" customFormat="1" ht="12" customHeight="1">
      <c r="A13" s="339" t="s">
        <v>126</v>
      </c>
      <c r="B13" s="49" t="s">
        <v>542</v>
      </c>
      <c r="C13" s="50"/>
      <c r="E13" s="381"/>
    </row>
    <row r="14" spans="1:5" s="338" customFormat="1" ht="12" customHeight="1">
      <c r="A14" s="341" t="s">
        <v>128</v>
      </c>
      <c r="B14" s="62" t="s">
        <v>129</v>
      </c>
      <c r="C14" s="50"/>
      <c r="E14" s="381"/>
    </row>
    <row r="15" spans="1:5" s="338" customFormat="1" ht="12" customHeight="1">
      <c r="A15" s="336" t="s">
        <v>130</v>
      </c>
      <c r="B15" s="54" t="s">
        <v>131</v>
      </c>
      <c r="C15" s="43">
        <f>+C16+C17+C18+C19+C20</f>
        <v>19042591</v>
      </c>
      <c r="E15" s="380"/>
    </row>
    <row r="16" spans="1:5" s="338" customFormat="1" ht="12" customHeight="1">
      <c r="A16" s="337" t="s">
        <v>132</v>
      </c>
      <c r="B16" s="46" t="s">
        <v>133</v>
      </c>
      <c r="C16" s="47"/>
      <c r="E16" s="381"/>
    </row>
    <row r="17" spans="1:5" s="338" customFormat="1" ht="12" customHeight="1">
      <c r="A17" s="339" t="s">
        <v>134</v>
      </c>
      <c r="B17" s="49" t="s">
        <v>135</v>
      </c>
      <c r="C17" s="50"/>
      <c r="E17" s="381"/>
    </row>
    <row r="18" spans="1:5" s="338" customFormat="1" ht="12" customHeight="1">
      <c r="A18" s="339" t="s">
        <v>136</v>
      </c>
      <c r="B18" s="49" t="s">
        <v>137</v>
      </c>
      <c r="C18" s="50"/>
      <c r="E18" s="381"/>
    </row>
    <row r="19" spans="1:5" s="338" customFormat="1" ht="12" customHeight="1">
      <c r="A19" s="339" t="s">
        <v>138</v>
      </c>
      <c r="B19" s="49" t="s">
        <v>139</v>
      </c>
      <c r="C19" s="50"/>
      <c r="E19" s="381"/>
    </row>
    <row r="20" spans="1:5" s="338" customFormat="1" ht="12" customHeight="1">
      <c r="A20" s="339" t="s">
        <v>140</v>
      </c>
      <c r="B20" s="49" t="s">
        <v>544</v>
      </c>
      <c r="C20" s="50">
        <v>19042591</v>
      </c>
      <c r="E20" s="381"/>
    </row>
    <row r="21" spans="1:5" s="340" customFormat="1" ht="12" customHeight="1">
      <c r="A21" s="341" t="s">
        <v>142</v>
      </c>
      <c r="B21" s="62" t="s">
        <v>143</v>
      </c>
      <c r="C21" s="55"/>
      <c r="E21" s="381"/>
    </row>
    <row r="22" spans="1:5" s="340" customFormat="1" ht="12" customHeight="1">
      <c r="A22" s="336" t="s">
        <v>144</v>
      </c>
      <c r="B22" s="42" t="s">
        <v>145</v>
      </c>
      <c r="C22" s="43">
        <f>+C23+C24+C25+C26+C27</f>
        <v>8856290</v>
      </c>
      <c r="E22" s="380"/>
    </row>
    <row r="23" spans="1:5" s="340" customFormat="1" ht="12" customHeight="1">
      <c r="A23" s="337" t="s">
        <v>146</v>
      </c>
      <c r="B23" s="46" t="s">
        <v>147</v>
      </c>
      <c r="C23" s="47"/>
      <c r="E23" s="381"/>
    </row>
    <row r="24" spans="1:5" s="338" customFormat="1" ht="12" customHeight="1">
      <c r="A24" s="339" t="s">
        <v>148</v>
      </c>
      <c r="B24" s="49" t="s">
        <v>149</v>
      </c>
      <c r="C24" s="50"/>
      <c r="E24" s="381"/>
    </row>
    <row r="25" spans="1:5" s="340" customFormat="1" ht="12" customHeight="1">
      <c r="A25" s="339" t="s">
        <v>150</v>
      </c>
      <c r="B25" s="49" t="s">
        <v>151</v>
      </c>
      <c r="C25" s="50"/>
      <c r="E25" s="381"/>
    </row>
    <row r="26" spans="1:5" s="340" customFormat="1" ht="12" customHeight="1">
      <c r="A26" s="339" t="s">
        <v>152</v>
      </c>
      <c r="B26" s="49" t="s">
        <v>153</v>
      </c>
      <c r="C26" s="50"/>
      <c r="E26" s="381"/>
    </row>
    <row r="27" spans="1:5" s="340" customFormat="1" ht="12" customHeight="1">
      <c r="A27" s="339" t="s">
        <v>154</v>
      </c>
      <c r="B27" s="49" t="s">
        <v>155</v>
      </c>
      <c r="C27" s="50">
        <v>8856290</v>
      </c>
      <c r="E27" s="381"/>
    </row>
    <row r="28" spans="1:5" s="340" customFormat="1" ht="12" customHeight="1">
      <c r="A28" s="341" t="s">
        <v>156</v>
      </c>
      <c r="B28" s="62" t="s">
        <v>567</v>
      </c>
      <c r="C28" s="342"/>
      <c r="E28" s="381"/>
    </row>
    <row r="29" spans="1:5" s="340" customFormat="1" ht="12" customHeight="1">
      <c r="A29" s="336" t="s">
        <v>158</v>
      </c>
      <c r="B29" s="42" t="s">
        <v>546</v>
      </c>
      <c r="C29" s="43">
        <f>SUM(C30:C36)</f>
        <v>60000000</v>
      </c>
      <c r="E29" s="380"/>
    </row>
    <row r="30" spans="1:5" s="340" customFormat="1" ht="12" customHeight="1">
      <c r="A30" s="337" t="s">
        <v>160</v>
      </c>
      <c r="B30" s="46" t="s">
        <v>161</v>
      </c>
      <c r="C30" s="343">
        <v>4500000</v>
      </c>
      <c r="E30" s="381"/>
    </row>
    <row r="31" spans="1:5" s="340" customFormat="1" ht="12" customHeight="1">
      <c r="A31" s="339" t="s">
        <v>162</v>
      </c>
      <c r="B31" s="49" t="s">
        <v>163</v>
      </c>
      <c r="C31" s="50"/>
      <c r="E31" s="381"/>
    </row>
    <row r="32" spans="1:5" s="340" customFormat="1" ht="12" customHeight="1">
      <c r="A32" s="339" t="s">
        <v>164</v>
      </c>
      <c r="B32" s="49" t="s">
        <v>165</v>
      </c>
      <c r="C32" s="50">
        <v>48000000</v>
      </c>
      <c r="E32" s="381"/>
    </row>
    <row r="33" spans="1:5" s="340" customFormat="1" ht="12" customHeight="1">
      <c r="A33" s="339" t="s">
        <v>166</v>
      </c>
      <c r="B33" s="49" t="s">
        <v>167</v>
      </c>
      <c r="C33" s="50"/>
      <c r="E33" s="381"/>
    </row>
    <row r="34" spans="1:5" s="340" customFormat="1" ht="12" customHeight="1">
      <c r="A34" s="339" t="s">
        <v>168</v>
      </c>
      <c r="B34" s="49" t="s">
        <v>169</v>
      </c>
      <c r="C34" s="50">
        <v>7500000</v>
      </c>
      <c r="E34" s="381"/>
    </row>
    <row r="35" spans="1:5" s="340" customFormat="1" ht="12" customHeight="1">
      <c r="A35" s="339" t="s">
        <v>170</v>
      </c>
      <c r="B35" s="49" t="s">
        <v>171</v>
      </c>
      <c r="C35" s="50"/>
      <c r="E35" s="381"/>
    </row>
    <row r="36" spans="1:5" s="340" customFormat="1" ht="12" customHeight="1">
      <c r="A36" s="341" t="s">
        <v>172</v>
      </c>
      <c r="B36" s="60" t="s">
        <v>173</v>
      </c>
      <c r="C36" s="61"/>
      <c r="E36" s="381"/>
    </row>
    <row r="37" spans="1:5" s="340" customFormat="1" ht="12" customHeight="1">
      <c r="A37" s="336" t="s">
        <v>174</v>
      </c>
      <c r="B37" s="42" t="s">
        <v>175</v>
      </c>
      <c r="C37" s="43">
        <f>SUM(C38:C48)</f>
        <v>37493800</v>
      </c>
      <c r="E37" s="380"/>
    </row>
    <row r="38" spans="1:5" s="340" customFormat="1" ht="12" customHeight="1">
      <c r="A38" s="337" t="s">
        <v>176</v>
      </c>
      <c r="B38" s="46" t="s">
        <v>177</v>
      </c>
      <c r="C38" s="47">
        <v>2000000</v>
      </c>
      <c r="E38" s="381"/>
    </row>
    <row r="39" spans="1:5" s="340" customFormat="1" ht="12" customHeight="1">
      <c r="A39" s="339" t="s">
        <v>178</v>
      </c>
      <c r="B39" s="49" t="s">
        <v>179</v>
      </c>
      <c r="C39" s="50">
        <v>5986000</v>
      </c>
      <c r="E39" s="381"/>
    </row>
    <row r="40" spans="1:5" s="340" customFormat="1" ht="12" customHeight="1">
      <c r="A40" s="339" t="s">
        <v>180</v>
      </c>
      <c r="B40" s="49" t="s">
        <v>181</v>
      </c>
      <c r="C40" s="50">
        <v>8300000</v>
      </c>
      <c r="E40" s="381"/>
    </row>
    <row r="41" spans="1:5" s="340" customFormat="1" ht="12" customHeight="1">
      <c r="A41" s="339" t="s">
        <v>182</v>
      </c>
      <c r="B41" s="49" t="s">
        <v>183</v>
      </c>
      <c r="C41" s="50">
        <v>13541000</v>
      </c>
      <c r="E41" s="381"/>
    </row>
    <row r="42" spans="1:5" s="340" customFormat="1" ht="12" customHeight="1">
      <c r="A42" s="339" t="s">
        <v>184</v>
      </c>
      <c r="B42" s="49" t="s">
        <v>185</v>
      </c>
      <c r="C42" s="50"/>
      <c r="E42" s="381"/>
    </row>
    <row r="43" spans="1:5" s="340" customFormat="1" ht="12" customHeight="1">
      <c r="A43" s="339" t="s">
        <v>186</v>
      </c>
      <c r="B43" s="49" t="s">
        <v>187</v>
      </c>
      <c r="C43" s="50">
        <v>6666800</v>
      </c>
      <c r="E43" s="381"/>
    </row>
    <row r="44" spans="1:5" s="340" customFormat="1" ht="12" customHeight="1">
      <c r="A44" s="339" t="s">
        <v>188</v>
      </c>
      <c r="B44" s="49" t="s">
        <v>189</v>
      </c>
      <c r="C44" s="50"/>
      <c r="E44" s="381"/>
    </row>
    <row r="45" spans="1:5" s="340" customFormat="1" ht="12" customHeight="1">
      <c r="A45" s="339" t="s">
        <v>190</v>
      </c>
      <c r="B45" s="49" t="s">
        <v>191</v>
      </c>
      <c r="C45" s="50"/>
      <c r="E45" s="381"/>
    </row>
    <row r="46" spans="1:5" s="340" customFormat="1" ht="12" customHeight="1">
      <c r="A46" s="339" t="s">
        <v>192</v>
      </c>
      <c r="B46" s="49" t="s">
        <v>193</v>
      </c>
      <c r="C46" s="50"/>
      <c r="E46" s="381"/>
    </row>
    <row r="47" spans="1:5" s="340" customFormat="1" ht="12" customHeight="1">
      <c r="A47" s="341" t="s">
        <v>194</v>
      </c>
      <c r="B47" s="62" t="s">
        <v>195</v>
      </c>
      <c r="C47" s="61"/>
      <c r="E47" s="381"/>
    </row>
    <row r="48" spans="1:5" s="340" customFormat="1" ht="12" customHeight="1">
      <c r="A48" s="341" t="s">
        <v>196</v>
      </c>
      <c r="B48" s="62" t="s">
        <v>197</v>
      </c>
      <c r="C48" s="58">
        <v>1000000</v>
      </c>
      <c r="E48" s="381"/>
    </row>
    <row r="49" spans="1:5" s="340" customFormat="1" ht="12" customHeight="1">
      <c r="A49" s="336" t="s">
        <v>198</v>
      </c>
      <c r="B49" s="42" t="s">
        <v>199</v>
      </c>
      <c r="C49" s="43">
        <f>SUM(C50:C54)</f>
        <v>0</v>
      </c>
      <c r="E49" s="380"/>
    </row>
    <row r="50" spans="1:5" s="340" customFormat="1" ht="12" customHeight="1">
      <c r="A50" s="337" t="s">
        <v>200</v>
      </c>
      <c r="B50" s="46" t="s">
        <v>201</v>
      </c>
      <c r="C50" s="47"/>
      <c r="E50" s="381"/>
    </row>
    <row r="51" spans="1:5" s="340" customFormat="1" ht="12" customHeight="1">
      <c r="A51" s="339" t="s">
        <v>202</v>
      </c>
      <c r="B51" s="49" t="s">
        <v>203</v>
      </c>
      <c r="C51" s="50"/>
      <c r="E51" s="381"/>
    </row>
    <row r="52" spans="1:5" s="340" customFormat="1" ht="12" customHeight="1">
      <c r="A52" s="339" t="s">
        <v>204</v>
      </c>
      <c r="B52" s="49" t="s">
        <v>205</v>
      </c>
      <c r="C52" s="50"/>
      <c r="E52" s="381"/>
    </row>
    <row r="53" spans="1:5" s="340" customFormat="1" ht="12" customHeight="1">
      <c r="A53" s="339" t="s">
        <v>206</v>
      </c>
      <c r="B53" s="49" t="s">
        <v>207</v>
      </c>
      <c r="C53" s="50"/>
      <c r="E53" s="381"/>
    </row>
    <row r="54" spans="1:5" s="340" customFormat="1" ht="12" customHeight="1">
      <c r="A54" s="341" t="s">
        <v>208</v>
      </c>
      <c r="B54" s="62" t="s">
        <v>209</v>
      </c>
      <c r="C54" s="61"/>
      <c r="E54" s="381"/>
    </row>
    <row r="55" spans="1:5" s="340" customFormat="1" ht="12" customHeight="1">
      <c r="A55" s="336" t="s">
        <v>210</v>
      </c>
      <c r="B55" s="42" t="s">
        <v>211</v>
      </c>
      <c r="C55" s="43">
        <f>SUM(C56:C58)</f>
        <v>0</v>
      </c>
      <c r="E55" s="380"/>
    </row>
    <row r="56" spans="1:5" s="340" customFormat="1" ht="12" customHeight="1">
      <c r="A56" s="337" t="s">
        <v>212</v>
      </c>
      <c r="B56" s="46" t="s">
        <v>213</v>
      </c>
      <c r="C56" s="47"/>
      <c r="E56" s="381"/>
    </row>
    <row r="57" spans="1:5" s="340" customFormat="1" ht="12" customHeight="1">
      <c r="A57" s="339" t="s">
        <v>214</v>
      </c>
      <c r="B57" s="49" t="s">
        <v>215</v>
      </c>
      <c r="C57" s="50"/>
      <c r="E57" s="381"/>
    </row>
    <row r="58" spans="1:5" s="340" customFormat="1" ht="12" customHeight="1">
      <c r="A58" s="339" t="s">
        <v>216</v>
      </c>
      <c r="B58" s="49" t="s">
        <v>217</v>
      </c>
      <c r="C58" s="50"/>
      <c r="E58" s="381"/>
    </row>
    <row r="59" spans="1:5" s="340" customFormat="1" ht="12" customHeight="1">
      <c r="A59" s="341" t="s">
        <v>218</v>
      </c>
      <c r="B59" s="62" t="s">
        <v>219</v>
      </c>
      <c r="C59" s="61"/>
      <c r="E59" s="381"/>
    </row>
    <row r="60" spans="1:5" s="340" customFormat="1" ht="12" customHeight="1">
      <c r="A60" s="336" t="s">
        <v>220</v>
      </c>
      <c r="B60" s="54" t="s">
        <v>221</v>
      </c>
      <c r="C60" s="43">
        <f>SUM(C61:C63)</f>
        <v>13000000</v>
      </c>
      <c r="E60" s="380"/>
    </row>
    <row r="61" spans="1:5" s="340" customFormat="1" ht="12" customHeight="1">
      <c r="A61" s="337" t="s">
        <v>222</v>
      </c>
      <c r="B61" s="46" t="s">
        <v>223</v>
      </c>
      <c r="C61" s="50"/>
      <c r="E61" s="381"/>
    </row>
    <row r="62" spans="1:5" s="340" customFormat="1" ht="12" customHeight="1">
      <c r="A62" s="339" t="s">
        <v>224</v>
      </c>
      <c r="B62" s="49" t="s">
        <v>225</v>
      </c>
      <c r="C62" s="50"/>
      <c r="E62" s="381"/>
    </row>
    <row r="63" spans="1:5" s="340" customFormat="1" ht="12" customHeight="1">
      <c r="A63" s="339" t="s">
        <v>226</v>
      </c>
      <c r="B63" s="49" t="s">
        <v>227</v>
      </c>
      <c r="C63" s="50">
        <v>13000000</v>
      </c>
      <c r="E63" s="381"/>
    </row>
    <row r="64" spans="1:5" s="340" customFormat="1" ht="12" customHeight="1">
      <c r="A64" s="341" t="s">
        <v>228</v>
      </c>
      <c r="B64" s="62" t="s">
        <v>229</v>
      </c>
      <c r="C64" s="50"/>
      <c r="E64" s="381"/>
    </row>
    <row r="65" spans="1:5" s="340" customFormat="1" ht="12" customHeight="1">
      <c r="A65" s="336" t="s">
        <v>367</v>
      </c>
      <c r="B65" s="42" t="s">
        <v>231</v>
      </c>
      <c r="C65" s="43">
        <f>+C8+C15+C22+C29+C37+C49+C55+C60</f>
        <v>552340199</v>
      </c>
      <c r="E65" s="380"/>
    </row>
    <row r="66" spans="1:5" s="340" customFormat="1" ht="12" customHeight="1">
      <c r="A66" s="344" t="s">
        <v>548</v>
      </c>
      <c r="B66" s="54" t="s">
        <v>233</v>
      </c>
      <c r="C66" s="43">
        <f>SUM(C67:C69)</f>
        <v>0</v>
      </c>
      <c r="E66" s="380"/>
    </row>
    <row r="67" spans="1:5" s="340" customFormat="1" ht="12" customHeight="1">
      <c r="A67" s="337" t="s">
        <v>234</v>
      </c>
      <c r="B67" s="46" t="s">
        <v>235</v>
      </c>
      <c r="C67" s="50"/>
      <c r="E67" s="381"/>
    </row>
    <row r="68" spans="1:5" s="340" customFormat="1" ht="12" customHeight="1">
      <c r="A68" s="339" t="s">
        <v>236</v>
      </c>
      <c r="B68" s="49" t="s">
        <v>237</v>
      </c>
      <c r="C68" s="50"/>
      <c r="E68" s="381"/>
    </row>
    <row r="69" spans="1:5" s="340" customFormat="1" ht="12" customHeight="1">
      <c r="A69" s="341" t="s">
        <v>238</v>
      </c>
      <c r="B69" s="345" t="s">
        <v>568</v>
      </c>
      <c r="C69" s="50"/>
      <c r="E69" s="381"/>
    </row>
    <row r="70" spans="1:5" s="340" customFormat="1" ht="12" customHeight="1">
      <c r="A70" s="344" t="s">
        <v>240</v>
      </c>
      <c r="B70" s="54" t="s">
        <v>241</v>
      </c>
      <c r="C70" s="43">
        <f>SUM(C71:C74)</f>
        <v>0</v>
      </c>
      <c r="E70" s="380"/>
    </row>
    <row r="71" spans="1:5" s="340" customFormat="1" ht="12" customHeight="1">
      <c r="A71" s="337" t="s">
        <v>242</v>
      </c>
      <c r="B71" s="46" t="s">
        <v>243</v>
      </c>
      <c r="C71" s="50"/>
      <c r="E71" s="381"/>
    </row>
    <row r="72" spans="1:5" s="340" customFormat="1" ht="12" customHeight="1">
      <c r="A72" s="339" t="s">
        <v>244</v>
      </c>
      <c r="B72" s="49" t="s">
        <v>245</v>
      </c>
      <c r="C72" s="50"/>
      <c r="E72" s="381"/>
    </row>
    <row r="73" spans="1:5" s="340" customFormat="1" ht="12" customHeight="1">
      <c r="A73" s="339" t="s">
        <v>246</v>
      </c>
      <c r="B73" s="49" t="s">
        <v>247</v>
      </c>
      <c r="C73" s="50"/>
      <c r="E73" s="381"/>
    </row>
    <row r="74" spans="1:5" s="340" customFormat="1" ht="12" customHeight="1">
      <c r="A74" s="341" t="s">
        <v>248</v>
      </c>
      <c r="B74" s="53" t="s">
        <v>249</v>
      </c>
      <c r="C74" s="50"/>
      <c r="E74" s="381"/>
    </row>
    <row r="75" spans="1:5" s="340" customFormat="1" ht="12" customHeight="1">
      <c r="A75" s="344" t="s">
        <v>250</v>
      </c>
      <c r="B75" s="54" t="s">
        <v>251</v>
      </c>
      <c r="C75" s="43">
        <f>SUM(C76:C77)</f>
        <v>230456308</v>
      </c>
      <c r="E75" s="380"/>
    </row>
    <row r="76" spans="1:5" s="340" customFormat="1" ht="12" customHeight="1">
      <c r="A76" s="337" t="s">
        <v>252</v>
      </c>
      <c r="B76" s="46" t="s">
        <v>253</v>
      </c>
      <c r="C76" s="50">
        <v>230456308</v>
      </c>
      <c r="E76" s="381"/>
    </row>
    <row r="77" spans="1:5" s="340" customFormat="1" ht="12" customHeight="1">
      <c r="A77" s="341" t="s">
        <v>254</v>
      </c>
      <c r="B77" s="62" t="s">
        <v>255</v>
      </c>
      <c r="C77" s="50"/>
      <c r="E77" s="381"/>
    </row>
    <row r="78" spans="1:5" s="338" customFormat="1" ht="12" customHeight="1">
      <c r="A78" s="344" t="s">
        <v>256</v>
      </c>
      <c r="B78" s="54" t="s">
        <v>257</v>
      </c>
      <c r="C78" s="43">
        <f>SUM(C79:C81)</f>
        <v>0</v>
      </c>
      <c r="E78" s="380"/>
    </row>
    <row r="79" spans="1:5" s="340" customFormat="1" ht="12" customHeight="1">
      <c r="A79" s="337" t="s">
        <v>258</v>
      </c>
      <c r="B79" s="46" t="s">
        <v>259</v>
      </c>
      <c r="C79" s="50"/>
      <c r="E79" s="381"/>
    </row>
    <row r="80" spans="1:5" s="340" customFormat="1" ht="12" customHeight="1">
      <c r="A80" s="339" t="s">
        <v>260</v>
      </c>
      <c r="B80" s="49" t="s">
        <v>261</v>
      </c>
      <c r="C80" s="50"/>
      <c r="E80" s="381"/>
    </row>
    <row r="81" spans="1:5" s="340" customFormat="1" ht="12" customHeight="1">
      <c r="A81" s="341" t="s">
        <v>262</v>
      </c>
      <c r="B81" s="62" t="s">
        <v>263</v>
      </c>
      <c r="C81" s="50"/>
      <c r="E81" s="381"/>
    </row>
    <row r="82" spans="1:5" s="340" customFormat="1" ht="12" customHeight="1">
      <c r="A82" s="344" t="s">
        <v>264</v>
      </c>
      <c r="B82" s="54" t="s">
        <v>265</v>
      </c>
      <c r="C82" s="43">
        <f>SUM(C83:C86)</f>
        <v>0</v>
      </c>
      <c r="E82" s="380"/>
    </row>
    <row r="83" spans="1:5" s="340" customFormat="1" ht="12" customHeight="1">
      <c r="A83" s="346" t="s">
        <v>266</v>
      </c>
      <c r="B83" s="46" t="s">
        <v>267</v>
      </c>
      <c r="C83" s="50"/>
      <c r="E83" s="381"/>
    </row>
    <row r="84" spans="1:5" s="340" customFormat="1" ht="12" customHeight="1">
      <c r="A84" s="347" t="s">
        <v>268</v>
      </c>
      <c r="B84" s="49" t="s">
        <v>269</v>
      </c>
      <c r="C84" s="50"/>
      <c r="E84" s="381"/>
    </row>
    <row r="85" spans="1:5" s="340" customFormat="1" ht="12" customHeight="1">
      <c r="A85" s="347" t="s">
        <v>270</v>
      </c>
      <c r="B85" s="49" t="s">
        <v>271</v>
      </c>
      <c r="C85" s="50"/>
      <c r="E85" s="381"/>
    </row>
    <row r="86" spans="1:5" s="338" customFormat="1" ht="12" customHeight="1">
      <c r="A86" s="348" t="s">
        <v>272</v>
      </c>
      <c r="B86" s="62" t="s">
        <v>273</v>
      </c>
      <c r="C86" s="50"/>
      <c r="E86" s="381"/>
    </row>
    <row r="87" spans="1:5" s="338" customFormat="1" ht="12" customHeight="1">
      <c r="A87" s="344" t="s">
        <v>274</v>
      </c>
      <c r="B87" s="54" t="s">
        <v>275</v>
      </c>
      <c r="C87" s="77"/>
      <c r="E87" s="382"/>
    </row>
    <row r="88" spans="1:5" s="338" customFormat="1" ht="12" customHeight="1">
      <c r="A88" s="344" t="s">
        <v>550</v>
      </c>
      <c r="B88" s="54" t="s">
        <v>277</v>
      </c>
      <c r="C88" s="77"/>
      <c r="E88" s="382"/>
    </row>
    <row r="89" spans="1:5" s="338" customFormat="1" ht="12" customHeight="1">
      <c r="A89" s="344" t="s">
        <v>551</v>
      </c>
      <c r="B89" s="78" t="s">
        <v>279</v>
      </c>
      <c r="C89" s="43">
        <f>+C66+C70+C75+C78+C82+C88+C87</f>
        <v>230456308</v>
      </c>
      <c r="E89" s="380"/>
    </row>
    <row r="90" spans="1:5" s="338" customFormat="1" ht="12" customHeight="1">
      <c r="A90" s="349" t="s">
        <v>552</v>
      </c>
      <c r="B90" s="80" t="s">
        <v>553</v>
      </c>
      <c r="C90" s="43">
        <f>+C65+C89</f>
        <v>782796507</v>
      </c>
      <c r="E90" s="380"/>
    </row>
    <row r="91" spans="1:5" s="340" customFormat="1" ht="15" customHeight="1">
      <c r="A91" s="350"/>
      <c r="B91" s="351"/>
      <c r="C91" s="352"/>
      <c r="E91" s="383"/>
    </row>
    <row r="92" spans="1:5" s="332" customFormat="1" ht="16.5" customHeight="1">
      <c r="A92" s="353"/>
      <c r="B92" s="354" t="s">
        <v>383</v>
      </c>
      <c r="C92" s="355"/>
      <c r="E92" s="376"/>
    </row>
    <row r="93" spans="1:5" s="357" customFormat="1" ht="12" customHeight="1">
      <c r="A93" s="356" t="s">
        <v>116</v>
      </c>
      <c r="B93" s="90" t="s">
        <v>554</v>
      </c>
      <c r="C93" s="91">
        <f>+C94+C95+C96+C97+C98+C111</f>
        <v>230890347</v>
      </c>
      <c r="E93" s="380"/>
    </row>
    <row r="94" spans="1:5" ht="12" customHeight="1">
      <c r="A94" s="358" t="s">
        <v>118</v>
      </c>
      <c r="B94" s="93" t="s">
        <v>286</v>
      </c>
      <c r="C94" s="94">
        <v>71188134</v>
      </c>
      <c r="E94" s="381"/>
    </row>
    <row r="95" spans="1:5" ht="12" customHeight="1">
      <c r="A95" s="339" t="s">
        <v>120</v>
      </c>
      <c r="B95" s="95" t="s">
        <v>287</v>
      </c>
      <c r="C95" s="50">
        <v>10437700</v>
      </c>
      <c r="E95" s="381"/>
    </row>
    <row r="96" spans="1:5" ht="12" customHeight="1">
      <c r="A96" s="339" t="s">
        <v>122</v>
      </c>
      <c r="B96" s="95" t="s">
        <v>288</v>
      </c>
      <c r="C96" s="61">
        <v>93468015</v>
      </c>
      <c r="E96" s="381"/>
    </row>
    <row r="97" spans="1:5" ht="12" customHeight="1">
      <c r="A97" s="339" t="s">
        <v>124</v>
      </c>
      <c r="B97" s="96" t="s">
        <v>289</v>
      </c>
      <c r="C97" s="61">
        <v>26630000</v>
      </c>
      <c r="E97" s="381"/>
    </row>
    <row r="98" spans="1:5" ht="12" customHeight="1">
      <c r="A98" s="339" t="s">
        <v>290</v>
      </c>
      <c r="B98" s="97" t="s">
        <v>291</v>
      </c>
      <c r="C98" s="61">
        <v>9166498</v>
      </c>
      <c r="E98" s="381"/>
    </row>
    <row r="99" spans="1:5" ht="12" customHeight="1">
      <c r="A99" s="339" t="s">
        <v>128</v>
      </c>
      <c r="B99" s="95" t="s">
        <v>555</v>
      </c>
      <c r="C99" s="61">
        <v>5000000</v>
      </c>
      <c r="E99" s="381"/>
    </row>
    <row r="100" spans="1:5" ht="12" customHeight="1">
      <c r="A100" s="339" t="s">
        <v>293</v>
      </c>
      <c r="B100" s="99" t="s">
        <v>294</v>
      </c>
      <c r="C100" s="61"/>
      <c r="E100" s="381"/>
    </row>
    <row r="101" spans="1:5" ht="12" customHeight="1">
      <c r="A101" s="339" t="s">
        <v>295</v>
      </c>
      <c r="B101" s="99" t="s">
        <v>296</v>
      </c>
      <c r="C101" s="61"/>
      <c r="E101" s="381"/>
    </row>
    <row r="102" spans="1:5" ht="12" customHeight="1">
      <c r="A102" s="339" t="s">
        <v>297</v>
      </c>
      <c r="B102" s="99" t="s">
        <v>298</v>
      </c>
      <c r="C102" s="61"/>
      <c r="E102" s="381"/>
    </row>
    <row r="103" spans="1:5" ht="12" customHeight="1">
      <c r="A103" s="339" t="s">
        <v>299</v>
      </c>
      <c r="B103" s="100" t="s">
        <v>300</v>
      </c>
      <c r="C103" s="61"/>
      <c r="E103" s="381"/>
    </row>
    <row r="104" spans="1:5" ht="12" customHeight="1">
      <c r="A104" s="339" t="s">
        <v>301</v>
      </c>
      <c r="B104" s="100" t="s">
        <v>302</v>
      </c>
      <c r="C104" s="61"/>
      <c r="E104" s="381"/>
    </row>
    <row r="105" spans="1:5" ht="12" customHeight="1">
      <c r="A105" s="339" t="s">
        <v>303</v>
      </c>
      <c r="B105" s="99" t="s">
        <v>304</v>
      </c>
      <c r="C105" s="61">
        <v>8170838</v>
      </c>
      <c r="E105" s="381"/>
    </row>
    <row r="106" spans="1:5" ht="12" customHeight="1">
      <c r="A106" s="339" t="s">
        <v>305</v>
      </c>
      <c r="B106" s="99" t="s">
        <v>306</v>
      </c>
      <c r="C106" s="61"/>
      <c r="E106" s="381"/>
    </row>
    <row r="107" spans="1:5" ht="12" customHeight="1">
      <c r="A107" s="339" t="s">
        <v>307</v>
      </c>
      <c r="B107" s="100" t="s">
        <v>308</v>
      </c>
      <c r="C107" s="61"/>
      <c r="E107" s="381"/>
    </row>
    <row r="108" spans="1:5" ht="12" customHeight="1">
      <c r="A108" s="359" t="s">
        <v>309</v>
      </c>
      <c r="B108" s="98" t="s">
        <v>310</v>
      </c>
      <c r="C108" s="61"/>
      <c r="E108" s="381"/>
    </row>
    <row r="109" spans="1:5" ht="12" customHeight="1">
      <c r="A109" s="339" t="s">
        <v>311</v>
      </c>
      <c r="B109" s="98" t="s">
        <v>312</v>
      </c>
      <c r="C109" s="61"/>
      <c r="E109" s="381"/>
    </row>
    <row r="110" spans="1:5" ht="12" customHeight="1">
      <c r="A110" s="339" t="s">
        <v>313</v>
      </c>
      <c r="B110" s="100" t="s">
        <v>314</v>
      </c>
      <c r="C110" s="50">
        <v>995660</v>
      </c>
      <c r="E110" s="381"/>
    </row>
    <row r="111" spans="1:5" ht="12" customHeight="1">
      <c r="A111" s="339" t="s">
        <v>315</v>
      </c>
      <c r="B111" s="96" t="s">
        <v>316</v>
      </c>
      <c r="C111" s="50">
        <f>SUM(C112:C113)</f>
        <v>20000000</v>
      </c>
      <c r="E111" s="381"/>
    </row>
    <row r="112" spans="1:5" ht="12" customHeight="1">
      <c r="A112" s="341" t="s">
        <v>317</v>
      </c>
      <c r="B112" s="95" t="s">
        <v>556</v>
      </c>
      <c r="C112" s="61">
        <v>17647000</v>
      </c>
      <c r="E112" s="381"/>
    </row>
    <row r="113" spans="1:5" ht="12" customHeight="1">
      <c r="A113" s="360" t="s">
        <v>319</v>
      </c>
      <c r="B113" s="361" t="s">
        <v>557</v>
      </c>
      <c r="C113" s="73">
        <v>2353000</v>
      </c>
      <c r="E113" s="381"/>
    </row>
    <row r="114" spans="1:5" ht="12" customHeight="1">
      <c r="A114" s="336" t="s">
        <v>130</v>
      </c>
      <c r="B114" s="125" t="s">
        <v>321</v>
      </c>
      <c r="C114" s="43">
        <f>+C115+C117+C119</f>
        <v>186775694</v>
      </c>
      <c r="E114" s="380"/>
    </row>
    <row r="115" spans="1:5" ht="12" customHeight="1">
      <c r="A115" s="337" t="s">
        <v>132</v>
      </c>
      <c r="B115" s="95" t="s">
        <v>322</v>
      </c>
      <c r="C115" s="47">
        <v>27211862</v>
      </c>
      <c r="E115" s="381"/>
    </row>
    <row r="116" spans="1:5" ht="12" customHeight="1">
      <c r="A116" s="337" t="s">
        <v>134</v>
      </c>
      <c r="B116" s="105" t="s">
        <v>323</v>
      </c>
      <c r="C116" s="106"/>
      <c r="E116" s="381"/>
    </row>
    <row r="117" spans="1:5" ht="12" customHeight="1">
      <c r="A117" s="337" t="s">
        <v>136</v>
      </c>
      <c r="B117" s="105" t="s">
        <v>324</v>
      </c>
      <c r="C117" s="50">
        <v>155763832</v>
      </c>
      <c r="E117" s="381"/>
    </row>
    <row r="118" spans="1:5" ht="12" customHeight="1">
      <c r="A118" s="337" t="s">
        <v>138</v>
      </c>
      <c r="B118" s="105" t="s">
        <v>325</v>
      </c>
      <c r="C118" s="107">
        <v>120091212</v>
      </c>
      <c r="E118" s="381"/>
    </row>
    <row r="119" spans="1:5" ht="12" customHeight="1">
      <c r="A119" s="337" t="s">
        <v>140</v>
      </c>
      <c r="B119" s="53" t="s">
        <v>444</v>
      </c>
      <c r="C119" s="108">
        <v>3800000</v>
      </c>
      <c r="E119" s="381"/>
    </row>
    <row r="120" spans="1:5" ht="12" customHeight="1">
      <c r="A120" s="337" t="s">
        <v>142</v>
      </c>
      <c r="B120" s="51" t="s">
        <v>327</v>
      </c>
      <c r="C120" s="108"/>
      <c r="E120" s="381"/>
    </row>
    <row r="121" spans="1:5" ht="12" customHeight="1">
      <c r="A121" s="337" t="s">
        <v>328</v>
      </c>
      <c r="B121" s="109" t="s">
        <v>329</v>
      </c>
      <c r="C121" s="108"/>
      <c r="E121" s="381"/>
    </row>
    <row r="122" spans="1:5" ht="12" customHeight="1">
      <c r="A122" s="337" t="s">
        <v>330</v>
      </c>
      <c r="B122" s="100" t="s">
        <v>302</v>
      </c>
      <c r="C122" s="108"/>
      <c r="E122" s="381"/>
    </row>
    <row r="123" spans="1:5" ht="12" customHeight="1">
      <c r="A123" s="337" t="s">
        <v>331</v>
      </c>
      <c r="B123" s="100" t="s">
        <v>332</v>
      </c>
      <c r="C123" s="108"/>
      <c r="E123" s="381"/>
    </row>
    <row r="124" spans="1:5" ht="12" customHeight="1">
      <c r="A124" s="337" t="s">
        <v>333</v>
      </c>
      <c r="B124" s="100" t="s">
        <v>334</v>
      </c>
      <c r="C124" s="108"/>
      <c r="E124" s="381"/>
    </row>
    <row r="125" spans="1:5" ht="12" customHeight="1">
      <c r="A125" s="337" t="s">
        <v>335</v>
      </c>
      <c r="B125" s="100" t="s">
        <v>308</v>
      </c>
      <c r="C125" s="108"/>
      <c r="E125" s="381"/>
    </row>
    <row r="126" spans="1:5" ht="12" customHeight="1">
      <c r="A126" s="337" t="s">
        <v>336</v>
      </c>
      <c r="B126" s="100" t="s">
        <v>337</v>
      </c>
      <c r="C126" s="108"/>
      <c r="E126" s="381"/>
    </row>
    <row r="127" spans="1:5" ht="12" customHeight="1">
      <c r="A127" s="359" t="s">
        <v>338</v>
      </c>
      <c r="B127" s="100" t="s">
        <v>339</v>
      </c>
      <c r="C127" s="110">
        <v>3800000</v>
      </c>
      <c r="E127" s="381"/>
    </row>
    <row r="128" spans="1:5" ht="12" customHeight="1">
      <c r="A128" s="336" t="s">
        <v>144</v>
      </c>
      <c r="B128" s="42" t="s">
        <v>340</v>
      </c>
      <c r="C128" s="43">
        <f>+C93+C114</f>
        <v>417666041</v>
      </c>
      <c r="E128" s="380"/>
    </row>
    <row r="129" spans="1:5" ht="12" customHeight="1">
      <c r="A129" s="336" t="s">
        <v>341</v>
      </c>
      <c r="B129" s="42" t="s">
        <v>342</v>
      </c>
      <c r="C129" s="43">
        <f>+C130+C131+C132</f>
        <v>0</v>
      </c>
      <c r="E129" s="380"/>
    </row>
    <row r="130" spans="1:5" s="357" customFormat="1" ht="12" customHeight="1">
      <c r="A130" s="337" t="s">
        <v>160</v>
      </c>
      <c r="B130" s="111" t="s">
        <v>558</v>
      </c>
      <c r="C130" s="108"/>
      <c r="E130" s="381"/>
    </row>
    <row r="131" spans="1:5" ht="12" customHeight="1">
      <c r="A131" s="337" t="s">
        <v>162</v>
      </c>
      <c r="B131" s="111" t="s">
        <v>344</v>
      </c>
      <c r="C131" s="108"/>
      <c r="E131" s="381"/>
    </row>
    <row r="132" spans="1:5" ht="12" customHeight="1">
      <c r="A132" s="359" t="s">
        <v>164</v>
      </c>
      <c r="B132" s="112" t="s">
        <v>559</v>
      </c>
      <c r="C132" s="108"/>
      <c r="E132" s="381"/>
    </row>
    <row r="133" spans="1:5" ht="12" customHeight="1">
      <c r="A133" s="336" t="s">
        <v>174</v>
      </c>
      <c r="B133" s="42" t="s">
        <v>346</v>
      </c>
      <c r="C133" s="43">
        <f>+C134+C135+C136+C137+C138+C139</f>
        <v>0</v>
      </c>
      <c r="E133" s="380"/>
    </row>
    <row r="134" spans="1:5" ht="12" customHeight="1">
      <c r="A134" s="337" t="s">
        <v>176</v>
      </c>
      <c r="B134" s="111" t="s">
        <v>347</v>
      </c>
      <c r="C134" s="108"/>
      <c r="E134" s="381"/>
    </row>
    <row r="135" spans="1:5" ht="12" customHeight="1">
      <c r="A135" s="337" t="s">
        <v>178</v>
      </c>
      <c r="B135" s="111" t="s">
        <v>348</v>
      </c>
      <c r="C135" s="108"/>
      <c r="E135" s="381"/>
    </row>
    <row r="136" spans="1:5" ht="12" customHeight="1">
      <c r="A136" s="337" t="s">
        <v>180</v>
      </c>
      <c r="B136" s="111" t="s">
        <v>349</v>
      </c>
      <c r="C136" s="108"/>
      <c r="E136" s="381"/>
    </row>
    <row r="137" spans="1:5" ht="12" customHeight="1">
      <c r="A137" s="337" t="s">
        <v>182</v>
      </c>
      <c r="B137" s="111" t="s">
        <v>560</v>
      </c>
      <c r="C137" s="108"/>
      <c r="E137" s="381"/>
    </row>
    <row r="138" spans="1:5" ht="12" customHeight="1">
      <c r="A138" s="337" t="s">
        <v>184</v>
      </c>
      <c r="B138" s="111" t="s">
        <v>351</v>
      </c>
      <c r="C138" s="108"/>
      <c r="E138" s="381"/>
    </row>
    <row r="139" spans="1:5" s="357" customFormat="1" ht="12" customHeight="1">
      <c r="A139" s="359" t="s">
        <v>186</v>
      </c>
      <c r="B139" s="112" t="s">
        <v>352</v>
      </c>
      <c r="C139" s="108"/>
      <c r="E139" s="381"/>
    </row>
    <row r="140" spans="1:11" ht="12" customHeight="1">
      <c r="A140" s="336" t="s">
        <v>198</v>
      </c>
      <c r="B140" s="42" t="s">
        <v>561</v>
      </c>
      <c r="C140" s="43">
        <f>+C141+C142+C144+C145+C143</f>
        <v>365130466</v>
      </c>
      <c r="E140" s="380"/>
      <c r="K140" s="362"/>
    </row>
    <row r="141" spans="1:5" ht="12.75">
      <c r="A141" s="337" t="s">
        <v>200</v>
      </c>
      <c r="B141" s="111" t="s">
        <v>354</v>
      </c>
      <c r="C141" s="108"/>
      <c r="E141" s="381"/>
    </row>
    <row r="142" spans="1:5" ht="12" customHeight="1">
      <c r="A142" s="337" t="s">
        <v>202</v>
      </c>
      <c r="B142" s="111" t="s">
        <v>355</v>
      </c>
      <c r="C142" s="108">
        <v>15390031</v>
      </c>
      <c r="E142" s="381"/>
    </row>
    <row r="143" spans="1:5" s="357" customFormat="1" ht="12" customHeight="1">
      <c r="A143" s="337" t="s">
        <v>204</v>
      </c>
      <c r="B143" s="111" t="s">
        <v>562</v>
      </c>
      <c r="C143" s="108">
        <v>349740435</v>
      </c>
      <c r="E143" s="381"/>
    </row>
    <row r="144" spans="1:5" s="357" customFormat="1" ht="12" customHeight="1">
      <c r="A144" s="337" t="s">
        <v>206</v>
      </c>
      <c r="B144" s="111" t="s">
        <v>356</v>
      </c>
      <c r="C144" s="108"/>
      <c r="E144" s="381"/>
    </row>
    <row r="145" spans="1:5" s="357" customFormat="1" ht="12" customHeight="1">
      <c r="A145" s="359" t="s">
        <v>208</v>
      </c>
      <c r="B145" s="112" t="s">
        <v>357</v>
      </c>
      <c r="C145" s="108"/>
      <c r="E145" s="381"/>
    </row>
    <row r="146" spans="1:5" s="357" customFormat="1" ht="12" customHeight="1">
      <c r="A146" s="336" t="s">
        <v>358</v>
      </c>
      <c r="B146" s="42" t="s">
        <v>359</v>
      </c>
      <c r="C146" s="115">
        <f>+C147+C148+C149+C150+C151</f>
        <v>0</v>
      </c>
      <c r="E146" s="384"/>
    </row>
    <row r="147" spans="1:5" s="357" customFormat="1" ht="12" customHeight="1">
      <c r="A147" s="337" t="s">
        <v>212</v>
      </c>
      <c r="B147" s="111" t="s">
        <v>360</v>
      </c>
      <c r="C147" s="108"/>
      <c r="E147" s="381"/>
    </row>
    <row r="148" spans="1:5" s="357" customFormat="1" ht="12" customHeight="1">
      <c r="A148" s="337" t="s">
        <v>214</v>
      </c>
      <c r="B148" s="111" t="s">
        <v>361</v>
      </c>
      <c r="C148" s="108"/>
      <c r="E148" s="381"/>
    </row>
    <row r="149" spans="1:5" s="357" customFormat="1" ht="12" customHeight="1">
      <c r="A149" s="337" t="s">
        <v>216</v>
      </c>
      <c r="B149" s="111" t="s">
        <v>362</v>
      </c>
      <c r="C149" s="108"/>
      <c r="E149" s="381"/>
    </row>
    <row r="150" spans="1:5" ht="12.75" customHeight="1">
      <c r="A150" s="337" t="s">
        <v>218</v>
      </c>
      <c r="B150" s="111" t="s">
        <v>363</v>
      </c>
      <c r="C150" s="108"/>
      <c r="E150" s="381"/>
    </row>
    <row r="151" spans="1:5" ht="12.75" customHeight="1">
      <c r="A151" s="359" t="s">
        <v>364</v>
      </c>
      <c r="B151" s="112" t="s">
        <v>365</v>
      </c>
      <c r="C151" s="110"/>
      <c r="E151" s="381"/>
    </row>
    <row r="152" spans="1:5" ht="12.75" customHeight="1">
      <c r="A152" s="363" t="s">
        <v>220</v>
      </c>
      <c r="B152" s="42" t="s">
        <v>366</v>
      </c>
      <c r="C152" s="115"/>
      <c r="E152" s="384"/>
    </row>
    <row r="153" spans="1:5" ht="12" customHeight="1">
      <c r="A153" s="363" t="s">
        <v>367</v>
      </c>
      <c r="B153" s="42" t="s">
        <v>368</v>
      </c>
      <c r="C153" s="115"/>
      <c r="E153" s="384"/>
    </row>
    <row r="154" spans="1:5" ht="15" customHeight="1">
      <c r="A154" s="336" t="s">
        <v>369</v>
      </c>
      <c r="B154" s="42" t="s">
        <v>370</v>
      </c>
      <c r="C154" s="364">
        <f>+C129+C133+C140+C146+C152+C153</f>
        <v>365130466</v>
      </c>
      <c r="E154" s="385"/>
    </row>
    <row r="155" spans="1:5" ht="12.75">
      <c r="A155" s="365" t="s">
        <v>371</v>
      </c>
      <c r="B155" s="366" t="s">
        <v>372</v>
      </c>
      <c r="C155" s="364">
        <f>+C128+C154</f>
        <v>782796507</v>
      </c>
      <c r="E155" s="385"/>
    </row>
    <row r="156" spans="3:5" ht="15" customHeight="1">
      <c r="C156" s="367">
        <f>C90-C155</f>
        <v>0</v>
      </c>
      <c r="E156" s="386"/>
    </row>
    <row r="157" spans="1:5" ht="14.25" customHeight="1">
      <c r="A157" s="368" t="s">
        <v>563</v>
      </c>
      <c r="B157" s="369"/>
      <c r="C157" s="370">
        <v>5.5</v>
      </c>
      <c r="E157" s="387"/>
    </row>
    <row r="158" spans="1:5" ht="12.75">
      <c r="A158" s="368" t="s">
        <v>564</v>
      </c>
      <c r="B158" s="369"/>
      <c r="C158" s="371">
        <v>51</v>
      </c>
      <c r="E158" s="387"/>
    </row>
    <row r="159" spans="1:5" ht="12.75">
      <c r="A159" s="372"/>
      <c r="B159" s="373"/>
      <c r="C159" s="375"/>
      <c r="E159" s="388"/>
    </row>
    <row r="160" spans="1:5" ht="12.75">
      <c r="A160" s="372"/>
      <c r="B160" s="373"/>
      <c r="E160" s="388"/>
    </row>
    <row r="161" spans="1:5" ht="12.75">
      <c r="A161" s="372"/>
      <c r="B161" s="373"/>
      <c r="C161" s="375"/>
      <c r="E161" s="388"/>
    </row>
    <row r="162" spans="1:5" ht="12.75">
      <c r="A162" s="372"/>
      <c r="B162" s="373"/>
      <c r="C162" s="375"/>
      <c r="E162" s="388"/>
    </row>
    <row r="163" spans="1:5" ht="12.75">
      <c r="A163" s="372"/>
      <c r="B163" s="373"/>
      <c r="C163" s="375"/>
      <c r="E163" s="388"/>
    </row>
    <row r="164" spans="1:5" ht="12.75">
      <c r="A164" s="372"/>
      <c r="B164" s="373"/>
      <c r="C164" s="375"/>
      <c r="E164" s="388"/>
    </row>
    <row r="165" spans="1:3" ht="12.75">
      <c r="A165" s="372"/>
      <c r="B165" s="373"/>
      <c r="C165" s="375"/>
    </row>
    <row r="166" spans="1:3" ht="12.75">
      <c r="A166" s="372"/>
      <c r="B166" s="373"/>
      <c r="C166" s="375"/>
    </row>
    <row r="167" spans="1:3" ht="12.75">
      <c r="A167" s="372"/>
      <c r="B167" s="373"/>
      <c r="C167" s="375"/>
    </row>
    <row r="168" spans="1:3" ht="12.75">
      <c r="A168" s="372"/>
      <c r="B168" s="373"/>
      <c r="C168" s="375"/>
    </row>
    <row r="169" spans="1:3" ht="12.75">
      <c r="A169" s="372"/>
      <c r="B169" s="373"/>
      <c r="C169" s="375"/>
    </row>
    <row r="170" spans="1:3" ht="12.75">
      <c r="A170" s="372"/>
      <c r="B170" s="373"/>
      <c r="C170" s="375"/>
    </row>
    <row r="171" spans="1:3" ht="12.75">
      <c r="A171" s="372"/>
      <c r="B171" s="373"/>
      <c r="C171" s="375"/>
    </row>
    <row r="172" spans="1:3" ht="12.75">
      <c r="A172" s="372"/>
      <c r="B172" s="373"/>
      <c r="C172" s="375"/>
    </row>
    <row r="173" spans="1:3" ht="12.75">
      <c r="A173" s="372"/>
      <c r="B173" s="373"/>
      <c r="C173" s="375"/>
    </row>
    <row r="174" spans="1:3" ht="12.75">
      <c r="A174" s="372"/>
      <c r="B174" s="373"/>
      <c r="C174" s="375"/>
    </row>
    <row r="175" spans="1:3" ht="12.75">
      <c r="A175" s="372"/>
      <c r="B175" s="373"/>
      <c r="C175" s="375"/>
    </row>
    <row r="176" spans="1:3" ht="12.75">
      <c r="A176" s="372"/>
      <c r="B176" s="373"/>
      <c r="C176" s="375"/>
    </row>
    <row r="177" spans="1:3" ht="12.75">
      <c r="A177" s="372"/>
      <c r="B177" s="373"/>
      <c r="C177" s="375"/>
    </row>
    <row r="178" spans="1:3" ht="12.75">
      <c r="A178" s="372"/>
      <c r="B178" s="373"/>
      <c r="C178" s="375"/>
    </row>
  </sheetData>
  <sheetProtection selectLockedCells="1" selectUnlockedCells="1"/>
  <printOptions horizontalCentered="1"/>
  <pageMargins left="0.25" right="0.25" top="0.75" bottom="0.75" header="0.5118055555555555" footer="0.5118055555555555"/>
  <pageSetup horizontalDpi="300" verticalDpi="300" orientation="portrait" paperSize="9" scale="75"/>
  <rowBreaks count="1" manualBreakCount="1">
    <brk id="90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50"/>
  </sheetPr>
  <dimension ref="A1:K178"/>
  <sheetViews>
    <sheetView zoomScale="120" zoomScaleNormal="120" zoomScaleSheetLayoutView="85" zoomScalePageLayoutView="0" workbookViewId="0" topLeftCell="A145">
      <selection activeCell="C158" sqref="C158"/>
    </sheetView>
  </sheetViews>
  <sheetFormatPr defaultColWidth="9.00390625" defaultRowHeight="12.75"/>
  <cols>
    <col min="1" max="1" width="19.50390625" style="308" customWidth="1"/>
    <col min="2" max="2" width="72.00390625" style="309" customWidth="1"/>
    <col min="3" max="3" width="25.00390625" style="310" customWidth="1"/>
    <col min="4" max="16384" width="9.375" style="311" customWidth="1"/>
  </cols>
  <sheetData>
    <row r="1" spans="1:3" s="315" customFormat="1" ht="16.5" customHeight="1">
      <c r="A1" s="312"/>
      <c r="B1" s="313"/>
      <c r="C1" s="314" t="str">
        <f>CONCATENATE("9.1.2. melléklet ",ALAPADATOK!A7," ",ALAPADATOK!B7," ",ALAPADATOK!C7," ",ALAPADATOK!D7," ",ALAPADATOK!E7," ",ALAPADATOK!F7," ",ALAPADATOK!G7," ",ALAPADATOK!H7)</f>
        <v>9.1.2. melléklet a … / 2019 ( … ) önkormányzati rendelethez</v>
      </c>
    </row>
    <row r="2" spans="1:3" s="319" customFormat="1" ht="21" customHeight="1">
      <c r="A2" s="316" t="s">
        <v>384</v>
      </c>
      <c r="B2" s="317" t="str">
        <f>CONCATENATE(ALAPADATOK!A3)</f>
        <v>ELEK VÁROS ÖNKORMÁNYZATA</v>
      </c>
      <c r="C2" s="318" t="s">
        <v>536</v>
      </c>
    </row>
    <row r="3" spans="1:3" s="319" customFormat="1" ht="15.75">
      <c r="A3" s="320" t="s">
        <v>537</v>
      </c>
      <c r="B3" s="321" t="s">
        <v>569</v>
      </c>
      <c r="C3" s="322" t="s">
        <v>570</v>
      </c>
    </row>
    <row r="4" spans="1:3" s="325" customFormat="1" ht="15.75" customHeight="1">
      <c r="A4" s="323"/>
      <c r="B4" s="323"/>
      <c r="C4" s="324" t="str">
        <f>'KV_9.1.1.sz.mell'!C4</f>
        <v>Forintban!</v>
      </c>
    </row>
    <row r="5" spans="1:3" ht="12.75">
      <c r="A5" s="326" t="s">
        <v>539</v>
      </c>
      <c r="B5" s="327" t="s">
        <v>540</v>
      </c>
      <c r="C5" s="328" t="s">
        <v>541</v>
      </c>
    </row>
    <row r="6" spans="1:3" s="332" customFormat="1" ht="12.75" customHeight="1">
      <c r="A6" s="329"/>
      <c r="B6" s="330" t="s">
        <v>114</v>
      </c>
      <c r="C6" s="331" t="s">
        <v>115</v>
      </c>
    </row>
    <row r="7" spans="1:3" s="332" customFormat="1" ht="15.75" customHeight="1">
      <c r="A7" s="377"/>
      <c r="B7" s="378" t="s">
        <v>382</v>
      </c>
      <c r="C7" s="379"/>
    </row>
    <row r="8" spans="1:3" s="332" customFormat="1" ht="12" customHeight="1">
      <c r="A8" s="336" t="s">
        <v>116</v>
      </c>
      <c r="B8" s="42" t="s">
        <v>117</v>
      </c>
      <c r="C8" s="43">
        <f>+C9+C10+C11+C12+C13+C14</f>
        <v>0</v>
      </c>
    </row>
    <row r="9" spans="1:3" s="338" customFormat="1" ht="12" customHeight="1">
      <c r="A9" s="337" t="s">
        <v>118</v>
      </c>
      <c r="B9" s="46" t="s">
        <v>119</v>
      </c>
      <c r="C9" s="47"/>
    </row>
    <row r="10" spans="1:3" s="340" customFormat="1" ht="12" customHeight="1">
      <c r="A10" s="339" t="s">
        <v>120</v>
      </c>
      <c r="B10" s="49" t="s">
        <v>121</v>
      </c>
      <c r="C10" s="50"/>
    </row>
    <row r="11" spans="1:3" s="340" customFormat="1" ht="12" customHeight="1">
      <c r="A11" s="339" t="s">
        <v>122</v>
      </c>
      <c r="B11" s="49" t="s">
        <v>123</v>
      </c>
      <c r="C11" s="50"/>
    </row>
    <row r="12" spans="1:3" s="340" customFormat="1" ht="12" customHeight="1">
      <c r="A12" s="339" t="s">
        <v>124</v>
      </c>
      <c r="B12" s="49" t="s">
        <v>125</v>
      </c>
      <c r="C12" s="50"/>
    </row>
    <row r="13" spans="1:3" s="340" customFormat="1" ht="12" customHeight="1">
      <c r="A13" s="339" t="s">
        <v>126</v>
      </c>
      <c r="B13" s="49" t="s">
        <v>542</v>
      </c>
      <c r="C13" s="50"/>
    </row>
    <row r="14" spans="1:3" s="338" customFormat="1" ht="12" customHeight="1">
      <c r="A14" s="341" t="s">
        <v>128</v>
      </c>
      <c r="B14" s="62" t="s">
        <v>129</v>
      </c>
      <c r="C14" s="50"/>
    </row>
    <row r="15" spans="1:3" s="338" customFormat="1" ht="12" customHeight="1">
      <c r="A15" s="336" t="s">
        <v>130</v>
      </c>
      <c r="B15" s="54" t="s">
        <v>131</v>
      </c>
      <c r="C15" s="43">
        <f>+C16+C17+C18+C19+C20</f>
        <v>3739296</v>
      </c>
    </row>
    <row r="16" spans="1:3" s="338" customFormat="1" ht="12" customHeight="1">
      <c r="A16" s="337" t="s">
        <v>132</v>
      </c>
      <c r="B16" s="46" t="s">
        <v>133</v>
      </c>
      <c r="C16" s="47"/>
    </row>
    <row r="17" spans="1:3" s="338" customFormat="1" ht="12" customHeight="1">
      <c r="A17" s="339" t="s">
        <v>134</v>
      </c>
      <c r="B17" s="49" t="s">
        <v>135</v>
      </c>
      <c r="C17" s="50"/>
    </row>
    <row r="18" spans="1:3" s="338" customFormat="1" ht="12" customHeight="1">
      <c r="A18" s="339" t="s">
        <v>136</v>
      </c>
      <c r="B18" s="49" t="s">
        <v>137</v>
      </c>
      <c r="C18" s="50"/>
    </row>
    <row r="19" spans="1:3" s="338" customFormat="1" ht="12" customHeight="1">
      <c r="A19" s="339" t="s">
        <v>138</v>
      </c>
      <c r="B19" s="49" t="s">
        <v>139</v>
      </c>
      <c r="C19" s="50"/>
    </row>
    <row r="20" spans="1:3" s="338" customFormat="1" ht="12" customHeight="1">
      <c r="A20" s="339" t="s">
        <v>140</v>
      </c>
      <c r="B20" s="49" t="s">
        <v>544</v>
      </c>
      <c r="C20" s="50">
        <v>3739296</v>
      </c>
    </row>
    <row r="21" spans="1:3" s="340" customFormat="1" ht="12" customHeight="1">
      <c r="A21" s="341" t="s">
        <v>142</v>
      </c>
      <c r="B21" s="62" t="s">
        <v>143</v>
      </c>
      <c r="C21" s="61">
        <v>3139296</v>
      </c>
    </row>
    <row r="22" spans="1:3" s="340" customFormat="1" ht="12" customHeight="1">
      <c r="A22" s="336" t="s">
        <v>144</v>
      </c>
      <c r="B22" s="42" t="s">
        <v>145</v>
      </c>
      <c r="C22" s="43">
        <f>+C23+C24+C25+C26+C27</f>
        <v>0</v>
      </c>
    </row>
    <row r="23" spans="1:3" s="340" customFormat="1" ht="12" customHeight="1">
      <c r="A23" s="337" t="s">
        <v>146</v>
      </c>
      <c r="B23" s="46" t="s">
        <v>147</v>
      </c>
      <c r="C23" s="47"/>
    </row>
    <row r="24" spans="1:3" s="338" customFormat="1" ht="12" customHeight="1">
      <c r="A24" s="339" t="s">
        <v>148</v>
      </c>
      <c r="B24" s="49" t="s">
        <v>149</v>
      </c>
      <c r="C24" s="50"/>
    </row>
    <row r="25" spans="1:3" s="340" customFormat="1" ht="12" customHeight="1">
      <c r="A25" s="339" t="s">
        <v>150</v>
      </c>
      <c r="B25" s="49" t="s">
        <v>151</v>
      </c>
      <c r="C25" s="50"/>
    </row>
    <row r="26" spans="1:3" s="340" customFormat="1" ht="12" customHeight="1">
      <c r="A26" s="339" t="s">
        <v>152</v>
      </c>
      <c r="B26" s="49" t="s">
        <v>153</v>
      </c>
      <c r="C26" s="50"/>
    </row>
    <row r="27" spans="1:3" s="340" customFormat="1" ht="12" customHeight="1">
      <c r="A27" s="339" t="s">
        <v>154</v>
      </c>
      <c r="B27" s="49" t="s">
        <v>155</v>
      </c>
      <c r="C27" s="50"/>
    </row>
    <row r="28" spans="1:3" s="340" customFormat="1" ht="12" customHeight="1">
      <c r="A28" s="341" t="s">
        <v>156</v>
      </c>
      <c r="B28" s="62" t="s">
        <v>567</v>
      </c>
      <c r="C28" s="61"/>
    </row>
    <row r="29" spans="1:3" s="340" customFormat="1" ht="12" customHeight="1">
      <c r="A29" s="336" t="s">
        <v>158</v>
      </c>
      <c r="B29" s="42" t="s">
        <v>571</v>
      </c>
      <c r="C29" s="43">
        <f>SUM(C30:C36)</f>
        <v>0</v>
      </c>
    </row>
    <row r="30" spans="1:3" s="340" customFormat="1" ht="12" customHeight="1">
      <c r="A30" s="337" t="s">
        <v>160</v>
      </c>
      <c r="B30" s="46" t="s">
        <v>161</v>
      </c>
      <c r="C30" s="47"/>
    </row>
    <row r="31" spans="1:3" s="340" customFormat="1" ht="12" customHeight="1">
      <c r="A31" s="339" t="s">
        <v>162</v>
      </c>
      <c r="B31" s="49" t="s">
        <v>163</v>
      </c>
      <c r="C31" s="50"/>
    </row>
    <row r="32" spans="1:3" s="340" customFormat="1" ht="12" customHeight="1">
      <c r="A32" s="339" t="s">
        <v>164</v>
      </c>
      <c r="B32" s="49" t="s">
        <v>165</v>
      </c>
      <c r="C32" s="50"/>
    </row>
    <row r="33" spans="1:3" s="340" customFormat="1" ht="12" customHeight="1">
      <c r="A33" s="339" t="s">
        <v>166</v>
      </c>
      <c r="B33" s="49" t="s">
        <v>167</v>
      </c>
      <c r="C33" s="50"/>
    </row>
    <row r="34" spans="1:3" s="340" customFormat="1" ht="12" customHeight="1">
      <c r="A34" s="339" t="s">
        <v>168</v>
      </c>
      <c r="B34" s="49" t="s">
        <v>169</v>
      </c>
      <c r="C34" s="50"/>
    </row>
    <row r="35" spans="1:3" s="340" customFormat="1" ht="12" customHeight="1">
      <c r="A35" s="339" t="s">
        <v>170</v>
      </c>
      <c r="B35" s="49" t="s">
        <v>171</v>
      </c>
      <c r="C35" s="50"/>
    </row>
    <row r="36" spans="1:3" s="340" customFormat="1" ht="12" customHeight="1">
      <c r="A36" s="341" t="s">
        <v>172</v>
      </c>
      <c r="B36" s="62" t="s">
        <v>173</v>
      </c>
      <c r="C36" s="61"/>
    </row>
    <row r="37" spans="1:3" s="340" customFormat="1" ht="12" customHeight="1">
      <c r="A37" s="336" t="s">
        <v>174</v>
      </c>
      <c r="B37" s="42" t="s">
        <v>175</v>
      </c>
      <c r="C37" s="43">
        <f>SUM(C38:C48)</f>
        <v>4516000</v>
      </c>
    </row>
    <row r="38" spans="1:3" s="340" customFormat="1" ht="12" customHeight="1">
      <c r="A38" s="337" t="s">
        <v>176</v>
      </c>
      <c r="B38" s="46" t="s">
        <v>177</v>
      </c>
      <c r="C38" s="47">
        <v>3500000</v>
      </c>
    </row>
    <row r="39" spans="1:3" s="340" customFormat="1" ht="12" customHeight="1">
      <c r="A39" s="339" t="s">
        <v>178</v>
      </c>
      <c r="B39" s="49" t="s">
        <v>179</v>
      </c>
      <c r="C39" s="50"/>
    </row>
    <row r="40" spans="1:3" s="340" customFormat="1" ht="12" customHeight="1">
      <c r="A40" s="339" t="s">
        <v>180</v>
      </c>
      <c r="B40" s="49" t="s">
        <v>181</v>
      </c>
      <c r="C40" s="50"/>
    </row>
    <row r="41" spans="1:3" s="340" customFormat="1" ht="12" customHeight="1">
      <c r="A41" s="339" t="s">
        <v>182</v>
      </c>
      <c r="B41" s="49" t="s">
        <v>183</v>
      </c>
      <c r="C41" s="50">
        <v>800000</v>
      </c>
    </row>
    <row r="42" spans="1:3" s="340" customFormat="1" ht="12" customHeight="1">
      <c r="A42" s="339" t="s">
        <v>184</v>
      </c>
      <c r="B42" s="49" t="s">
        <v>185</v>
      </c>
      <c r="C42" s="50"/>
    </row>
    <row r="43" spans="1:3" s="340" customFormat="1" ht="12" customHeight="1">
      <c r="A43" s="339" t="s">
        <v>186</v>
      </c>
      <c r="B43" s="49" t="s">
        <v>187</v>
      </c>
      <c r="C43" s="50">
        <v>216000</v>
      </c>
    </row>
    <row r="44" spans="1:3" s="340" customFormat="1" ht="12" customHeight="1">
      <c r="A44" s="339" t="s">
        <v>188</v>
      </c>
      <c r="B44" s="49" t="s">
        <v>189</v>
      </c>
      <c r="C44" s="50"/>
    </row>
    <row r="45" spans="1:3" s="340" customFormat="1" ht="12" customHeight="1">
      <c r="A45" s="339" t="s">
        <v>190</v>
      </c>
      <c r="B45" s="49" t="s">
        <v>572</v>
      </c>
      <c r="C45" s="50"/>
    </row>
    <row r="46" spans="1:3" s="340" customFormat="1" ht="12" customHeight="1">
      <c r="A46" s="339" t="s">
        <v>192</v>
      </c>
      <c r="B46" s="49" t="s">
        <v>193</v>
      </c>
      <c r="C46" s="50"/>
    </row>
    <row r="47" spans="1:3" s="340" customFormat="1" ht="12" customHeight="1">
      <c r="A47" s="341" t="s">
        <v>194</v>
      </c>
      <c r="B47" s="62" t="s">
        <v>195</v>
      </c>
      <c r="C47" s="61"/>
    </row>
    <row r="48" spans="1:3" s="340" customFormat="1" ht="12" customHeight="1">
      <c r="A48" s="341" t="s">
        <v>196</v>
      </c>
      <c r="B48" s="62" t="s">
        <v>197</v>
      </c>
      <c r="C48" s="61"/>
    </row>
    <row r="49" spans="1:3" s="340" customFormat="1" ht="12" customHeight="1">
      <c r="A49" s="336" t="s">
        <v>198</v>
      </c>
      <c r="B49" s="42" t="s">
        <v>199</v>
      </c>
      <c r="C49" s="43">
        <f>SUM(C50:C54)</f>
        <v>0</v>
      </c>
    </row>
    <row r="50" spans="1:3" s="340" customFormat="1" ht="12" customHeight="1">
      <c r="A50" s="337" t="s">
        <v>200</v>
      </c>
      <c r="B50" s="46" t="s">
        <v>201</v>
      </c>
      <c r="C50" s="47"/>
    </row>
    <row r="51" spans="1:3" s="340" customFormat="1" ht="12" customHeight="1">
      <c r="A51" s="339" t="s">
        <v>202</v>
      </c>
      <c r="B51" s="49" t="s">
        <v>203</v>
      </c>
      <c r="C51" s="50"/>
    </row>
    <row r="52" spans="1:3" s="340" customFormat="1" ht="12" customHeight="1">
      <c r="A52" s="339" t="s">
        <v>204</v>
      </c>
      <c r="B52" s="49" t="s">
        <v>205</v>
      </c>
      <c r="C52" s="50"/>
    </row>
    <row r="53" spans="1:3" s="340" customFormat="1" ht="12" customHeight="1">
      <c r="A53" s="339" t="s">
        <v>206</v>
      </c>
      <c r="B53" s="49" t="s">
        <v>207</v>
      </c>
      <c r="C53" s="50"/>
    </row>
    <row r="54" spans="1:3" s="340" customFormat="1" ht="12" customHeight="1">
      <c r="A54" s="341" t="s">
        <v>208</v>
      </c>
      <c r="B54" s="62" t="s">
        <v>209</v>
      </c>
      <c r="C54" s="61"/>
    </row>
    <row r="55" spans="1:3" s="340" customFormat="1" ht="12" customHeight="1">
      <c r="A55" s="336" t="s">
        <v>210</v>
      </c>
      <c r="B55" s="42" t="s">
        <v>211</v>
      </c>
      <c r="C55" s="43">
        <f>SUM(C56:C58)</f>
        <v>0</v>
      </c>
    </row>
    <row r="56" spans="1:3" s="340" customFormat="1" ht="12" customHeight="1">
      <c r="A56" s="337" t="s">
        <v>212</v>
      </c>
      <c r="B56" s="46" t="s">
        <v>213</v>
      </c>
      <c r="C56" s="47"/>
    </row>
    <row r="57" spans="1:3" s="340" customFormat="1" ht="12" customHeight="1">
      <c r="A57" s="339" t="s">
        <v>214</v>
      </c>
      <c r="B57" s="49" t="s">
        <v>215</v>
      </c>
      <c r="C57" s="50"/>
    </row>
    <row r="58" spans="1:3" s="340" customFormat="1" ht="12" customHeight="1">
      <c r="A58" s="339" t="s">
        <v>216</v>
      </c>
      <c r="B58" s="49" t="s">
        <v>217</v>
      </c>
      <c r="C58" s="50"/>
    </row>
    <row r="59" spans="1:3" s="340" customFormat="1" ht="12" customHeight="1">
      <c r="A59" s="341" t="s">
        <v>218</v>
      </c>
      <c r="B59" s="62" t="s">
        <v>219</v>
      </c>
      <c r="C59" s="61"/>
    </row>
    <row r="60" spans="1:3" s="340" customFormat="1" ht="12" customHeight="1">
      <c r="A60" s="336" t="s">
        <v>220</v>
      </c>
      <c r="B60" s="54" t="s">
        <v>221</v>
      </c>
      <c r="C60" s="43">
        <f>SUM(C61:C63)</f>
        <v>0</v>
      </c>
    </row>
    <row r="61" spans="1:3" s="340" customFormat="1" ht="12" customHeight="1">
      <c r="A61" s="337" t="s">
        <v>222</v>
      </c>
      <c r="B61" s="46" t="s">
        <v>223</v>
      </c>
      <c r="C61" s="50"/>
    </row>
    <row r="62" spans="1:3" s="340" customFormat="1" ht="12" customHeight="1">
      <c r="A62" s="339" t="s">
        <v>224</v>
      </c>
      <c r="B62" s="49" t="s">
        <v>225</v>
      </c>
      <c r="C62" s="50"/>
    </row>
    <row r="63" spans="1:3" s="340" customFormat="1" ht="12" customHeight="1">
      <c r="A63" s="339" t="s">
        <v>226</v>
      </c>
      <c r="B63" s="49" t="s">
        <v>227</v>
      </c>
      <c r="C63" s="50"/>
    </row>
    <row r="64" spans="1:3" s="340" customFormat="1" ht="12" customHeight="1">
      <c r="A64" s="341" t="s">
        <v>228</v>
      </c>
      <c r="B64" s="62" t="s">
        <v>229</v>
      </c>
      <c r="C64" s="50"/>
    </row>
    <row r="65" spans="1:3" s="340" customFormat="1" ht="12" customHeight="1">
      <c r="A65" s="336" t="s">
        <v>367</v>
      </c>
      <c r="B65" s="42" t="s">
        <v>231</v>
      </c>
      <c r="C65" s="43">
        <f>+C8+C15+C22+C29+C37+C49+C55+C60</f>
        <v>8255296</v>
      </c>
    </row>
    <row r="66" spans="1:3" s="340" customFormat="1" ht="12" customHeight="1">
      <c r="A66" s="344" t="s">
        <v>548</v>
      </c>
      <c r="B66" s="54" t="s">
        <v>233</v>
      </c>
      <c r="C66" s="43">
        <f>SUM(C67:C69)</f>
        <v>0</v>
      </c>
    </row>
    <row r="67" spans="1:3" s="340" customFormat="1" ht="12" customHeight="1">
      <c r="A67" s="337" t="s">
        <v>234</v>
      </c>
      <c r="B67" s="46" t="s">
        <v>235</v>
      </c>
      <c r="C67" s="50"/>
    </row>
    <row r="68" spans="1:3" s="340" customFormat="1" ht="12" customHeight="1">
      <c r="A68" s="339" t="s">
        <v>236</v>
      </c>
      <c r="B68" s="49" t="s">
        <v>237</v>
      </c>
      <c r="C68" s="50"/>
    </row>
    <row r="69" spans="1:3" s="340" customFormat="1" ht="12" customHeight="1">
      <c r="A69" s="341" t="s">
        <v>238</v>
      </c>
      <c r="B69" s="345" t="s">
        <v>568</v>
      </c>
      <c r="C69" s="50"/>
    </row>
    <row r="70" spans="1:3" s="340" customFormat="1" ht="12" customHeight="1">
      <c r="A70" s="344" t="s">
        <v>240</v>
      </c>
      <c r="B70" s="54" t="s">
        <v>241</v>
      </c>
      <c r="C70" s="43">
        <f>SUM(C71:C74)</f>
        <v>0</v>
      </c>
    </row>
    <row r="71" spans="1:3" s="340" customFormat="1" ht="12" customHeight="1">
      <c r="A71" s="337" t="s">
        <v>242</v>
      </c>
      <c r="B71" s="46" t="s">
        <v>243</v>
      </c>
      <c r="C71" s="50"/>
    </row>
    <row r="72" spans="1:3" s="340" customFormat="1" ht="12" customHeight="1">
      <c r="A72" s="339" t="s">
        <v>244</v>
      </c>
      <c r="B72" s="49" t="s">
        <v>245</v>
      </c>
      <c r="C72" s="50"/>
    </row>
    <row r="73" spans="1:3" s="340" customFormat="1" ht="12" customHeight="1">
      <c r="A73" s="339" t="s">
        <v>246</v>
      </c>
      <c r="B73" s="49" t="s">
        <v>247</v>
      </c>
      <c r="C73" s="50"/>
    </row>
    <row r="74" spans="1:3" s="340" customFormat="1" ht="12" customHeight="1">
      <c r="A74" s="341" t="s">
        <v>248</v>
      </c>
      <c r="B74" s="53" t="s">
        <v>249</v>
      </c>
      <c r="C74" s="50"/>
    </row>
    <row r="75" spans="1:3" s="340" customFormat="1" ht="12" customHeight="1">
      <c r="A75" s="344" t="s">
        <v>250</v>
      </c>
      <c r="B75" s="54" t="s">
        <v>251</v>
      </c>
      <c r="C75" s="43">
        <f>SUM(C76:C77)</f>
        <v>11048234</v>
      </c>
    </row>
    <row r="76" spans="1:3" s="340" customFormat="1" ht="12" customHeight="1">
      <c r="A76" s="337" t="s">
        <v>252</v>
      </c>
      <c r="B76" s="46" t="s">
        <v>253</v>
      </c>
      <c r="C76" s="50">
        <v>11048234</v>
      </c>
    </row>
    <row r="77" spans="1:3" s="340" customFormat="1" ht="12" customHeight="1">
      <c r="A77" s="341" t="s">
        <v>254</v>
      </c>
      <c r="B77" s="62" t="s">
        <v>255</v>
      </c>
      <c r="C77" s="50"/>
    </row>
    <row r="78" spans="1:3" s="338" customFormat="1" ht="12" customHeight="1">
      <c r="A78" s="344" t="s">
        <v>256</v>
      </c>
      <c r="B78" s="54" t="s">
        <v>257</v>
      </c>
      <c r="C78" s="43">
        <f>SUM(C79:C81)</f>
        <v>0</v>
      </c>
    </row>
    <row r="79" spans="1:3" s="340" customFormat="1" ht="12" customHeight="1">
      <c r="A79" s="337" t="s">
        <v>258</v>
      </c>
      <c r="B79" s="46" t="s">
        <v>259</v>
      </c>
      <c r="C79" s="50"/>
    </row>
    <row r="80" spans="1:3" s="340" customFormat="1" ht="12" customHeight="1">
      <c r="A80" s="339" t="s">
        <v>260</v>
      </c>
      <c r="B80" s="49" t="s">
        <v>261</v>
      </c>
      <c r="C80" s="50"/>
    </row>
    <row r="81" spans="1:3" s="340" customFormat="1" ht="12" customHeight="1">
      <c r="A81" s="341" t="s">
        <v>262</v>
      </c>
      <c r="B81" s="62" t="s">
        <v>263</v>
      </c>
      <c r="C81" s="50"/>
    </row>
    <row r="82" spans="1:3" s="340" customFormat="1" ht="12" customHeight="1">
      <c r="A82" s="344" t="s">
        <v>264</v>
      </c>
      <c r="B82" s="54" t="s">
        <v>265</v>
      </c>
      <c r="C82" s="43">
        <f>SUM(C83:C86)</f>
        <v>0</v>
      </c>
    </row>
    <row r="83" spans="1:3" s="340" customFormat="1" ht="12" customHeight="1">
      <c r="A83" s="346" t="s">
        <v>266</v>
      </c>
      <c r="B83" s="46" t="s">
        <v>267</v>
      </c>
      <c r="C83" s="50"/>
    </row>
    <row r="84" spans="1:3" s="340" customFormat="1" ht="12" customHeight="1">
      <c r="A84" s="347" t="s">
        <v>268</v>
      </c>
      <c r="B84" s="49" t="s">
        <v>269</v>
      </c>
      <c r="C84" s="50"/>
    </row>
    <row r="85" spans="1:3" s="340" customFormat="1" ht="12" customHeight="1">
      <c r="A85" s="347" t="s">
        <v>270</v>
      </c>
      <c r="B85" s="49" t="s">
        <v>271</v>
      </c>
      <c r="C85" s="50"/>
    </row>
    <row r="86" spans="1:3" s="338" customFormat="1" ht="12" customHeight="1">
      <c r="A86" s="348" t="s">
        <v>272</v>
      </c>
      <c r="B86" s="62" t="s">
        <v>273</v>
      </c>
      <c r="C86" s="50"/>
    </row>
    <row r="87" spans="1:3" s="338" customFormat="1" ht="12" customHeight="1">
      <c r="A87" s="344" t="s">
        <v>274</v>
      </c>
      <c r="B87" s="54" t="s">
        <v>275</v>
      </c>
      <c r="C87" s="77"/>
    </row>
    <row r="88" spans="1:3" s="338" customFormat="1" ht="12" customHeight="1">
      <c r="A88" s="344" t="s">
        <v>550</v>
      </c>
      <c r="B88" s="54" t="s">
        <v>277</v>
      </c>
      <c r="C88" s="77"/>
    </row>
    <row r="89" spans="1:3" s="338" customFormat="1" ht="12" customHeight="1">
      <c r="A89" s="344" t="s">
        <v>551</v>
      </c>
      <c r="B89" s="78" t="s">
        <v>279</v>
      </c>
      <c r="C89" s="43">
        <f>+C66+C70+C75+C78+C82+C88+C87</f>
        <v>11048234</v>
      </c>
    </row>
    <row r="90" spans="1:3" s="338" customFormat="1" ht="12" customHeight="1">
      <c r="A90" s="349" t="s">
        <v>552</v>
      </c>
      <c r="B90" s="80" t="s">
        <v>553</v>
      </c>
      <c r="C90" s="43">
        <f>+C65+C89</f>
        <v>19303530</v>
      </c>
    </row>
    <row r="91" spans="1:3" s="340" customFormat="1" ht="15" customHeight="1">
      <c r="A91" s="350"/>
      <c r="B91" s="351"/>
      <c r="C91" s="352"/>
    </row>
    <row r="92" spans="1:3" s="332" customFormat="1" ht="16.5" customHeight="1">
      <c r="A92" s="353"/>
      <c r="B92" s="354" t="s">
        <v>383</v>
      </c>
      <c r="C92" s="355"/>
    </row>
    <row r="93" spans="1:3" s="357" customFormat="1" ht="12" customHeight="1">
      <c r="A93" s="356" t="s">
        <v>116</v>
      </c>
      <c r="B93" s="90" t="s">
        <v>554</v>
      </c>
      <c r="C93" s="91">
        <f>+C94+C95+C96+C97+C98+C111</f>
        <v>16303530</v>
      </c>
    </row>
    <row r="94" spans="1:3" ht="12" customHeight="1">
      <c r="A94" s="358" t="s">
        <v>118</v>
      </c>
      <c r="B94" s="93" t="s">
        <v>286</v>
      </c>
      <c r="C94" s="94">
        <v>5600000</v>
      </c>
    </row>
    <row r="95" spans="1:3" ht="12" customHeight="1">
      <c r="A95" s="339" t="s">
        <v>120</v>
      </c>
      <c r="B95" s="95" t="s">
        <v>287</v>
      </c>
      <c r="C95" s="50">
        <v>1063530</v>
      </c>
    </row>
    <row r="96" spans="1:3" ht="12" customHeight="1">
      <c r="A96" s="339" t="s">
        <v>122</v>
      </c>
      <c r="B96" s="95" t="s">
        <v>288</v>
      </c>
      <c r="C96" s="61">
        <v>7640000</v>
      </c>
    </row>
    <row r="97" spans="1:3" ht="12" customHeight="1">
      <c r="A97" s="339" t="s">
        <v>124</v>
      </c>
      <c r="B97" s="96" t="s">
        <v>289</v>
      </c>
      <c r="C97" s="61"/>
    </row>
    <row r="98" spans="1:3" ht="12" customHeight="1">
      <c r="A98" s="339" t="s">
        <v>290</v>
      </c>
      <c r="B98" s="97" t="s">
        <v>291</v>
      </c>
      <c r="C98" s="61">
        <v>2000000</v>
      </c>
    </row>
    <row r="99" spans="1:3" ht="12" customHeight="1">
      <c r="A99" s="339" t="s">
        <v>128</v>
      </c>
      <c r="B99" s="95" t="s">
        <v>555</v>
      </c>
      <c r="C99" s="61"/>
    </row>
    <row r="100" spans="1:3" ht="12" customHeight="1">
      <c r="A100" s="339" t="s">
        <v>293</v>
      </c>
      <c r="B100" s="99" t="s">
        <v>294</v>
      </c>
      <c r="C100" s="61"/>
    </row>
    <row r="101" spans="1:3" ht="12" customHeight="1">
      <c r="A101" s="339" t="s">
        <v>295</v>
      </c>
      <c r="B101" s="99" t="s">
        <v>296</v>
      </c>
      <c r="C101" s="61"/>
    </row>
    <row r="102" spans="1:3" ht="12" customHeight="1">
      <c r="A102" s="339" t="s">
        <v>297</v>
      </c>
      <c r="B102" s="99" t="s">
        <v>298</v>
      </c>
      <c r="C102" s="61"/>
    </row>
    <row r="103" spans="1:3" ht="12" customHeight="1">
      <c r="A103" s="339" t="s">
        <v>299</v>
      </c>
      <c r="B103" s="100" t="s">
        <v>300</v>
      </c>
      <c r="C103" s="61"/>
    </row>
    <row r="104" spans="1:3" ht="12" customHeight="1">
      <c r="A104" s="339" t="s">
        <v>301</v>
      </c>
      <c r="B104" s="100" t="s">
        <v>302</v>
      </c>
      <c r="C104" s="61"/>
    </row>
    <row r="105" spans="1:3" ht="12" customHeight="1">
      <c r="A105" s="339" t="s">
        <v>303</v>
      </c>
      <c r="B105" s="99" t="s">
        <v>304</v>
      </c>
      <c r="C105" s="61"/>
    </row>
    <row r="106" spans="1:3" ht="12" customHeight="1">
      <c r="A106" s="339" t="s">
        <v>305</v>
      </c>
      <c r="B106" s="99" t="s">
        <v>306</v>
      </c>
      <c r="C106" s="61"/>
    </row>
    <row r="107" spans="1:3" ht="12" customHeight="1">
      <c r="A107" s="339" t="s">
        <v>307</v>
      </c>
      <c r="B107" s="100" t="s">
        <v>308</v>
      </c>
      <c r="C107" s="61"/>
    </row>
    <row r="108" spans="1:3" ht="12" customHeight="1">
      <c r="A108" s="359" t="s">
        <v>309</v>
      </c>
      <c r="B108" s="98" t="s">
        <v>310</v>
      </c>
      <c r="C108" s="61"/>
    </row>
    <row r="109" spans="1:3" ht="12" customHeight="1">
      <c r="A109" s="339" t="s">
        <v>311</v>
      </c>
      <c r="B109" s="98" t="s">
        <v>312</v>
      </c>
      <c r="C109" s="61"/>
    </row>
    <row r="110" spans="1:3" ht="12" customHeight="1">
      <c r="A110" s="339" t="s">
        <v>313</v>
      </c>
      <c r="B110" s="100" t="s">
        <v>314</v>
      </c>
      <c r="C110" s="50">
        <v>2000000</v>
      </c>
    </row>
    <row r="111" spans="1:3" ht="12" customHeight="1">
      <c r="A111" s="339" t="s">
        <v>315</v>
      </c>
      <c r="B111" s="96" t="s">
        <v>316</v>
      </c>
      <c r="C111" s="50"/>
    </row>
    <row r="112" spans="1:3" ht="12" customHeight="1">
      <c r="A112" s="341" t="s">
        <v>317</v>
      </c>
      <c r="B112" s="95" t="s">
        <v>556</v>
      </c>
      <c r="C112" s="61"/>
    </row>
    <row r="113" spans="1:3" ht="12" customHeight="1">
      <c r="A113" s="360" t="s">
        <v>319</v>
      </c>
      <c r="B113" s="361" t="s">
        <v>557</v>
      </c>
      <c r="C113" s="73"/>
    </row>
    <row r="114" spans="1:3" ht="12" customHeight="1">
      <c r="A114" s="336" t="s">
        <v>130</v>
      </c>
      <c r="B114" s="125" t="s">
        <v>321</v>
      </c>
      <c r="C114" s="43">
        <f>+C115+C117+C119</f>
        <v>3000000</v>
      </c>
    </row>
    <row r="115" spans="1:3" ht="12" customHeight="1">
      <c r="A115" s="337" t="s">
        <v>132</v>
      </c>
      <c r="B115" s="95" t="s">
        <v>322</v>
      </c>
      <c r="C115" s="47"/>
    </row>
    <row r="116" spans="1:3" ht="12" customHeight="1">
      <c r="A116" s="337" t="s">
        <v>134</v>
      </c>
      <c r="B116" s="105" t="s">
        <v>323</v>
      </c>
      <c r="C116" s="47"/>
    </row>
    <row r="117" spans="1:3" ht="12" customHeight="1">
      <c r="A117" s="337" t="s">
        <v>136</v>
      </c>
      <c r="B117" s="105" t="s">
        <v>324</v>
      </c>
      <c r="C117" s="50"/>
    </row>
    <row r="118" spans="1:3" ht="12" customHeight="1">
      <c r="A118" s="337" t="s">
        <v>138</v>
      </c>
      <c r="B118" s="105" t="s">
        <v>325</v>
      </c>
      <c r="C118" s="108"/>
    </row>
    <row r="119" spans="1:3" ht="12" customHeight="1">
      <c r="A119" s="337" t="s">
        <v>140</v>
      </c>
      <c r="B119" s="53" t="s">
        <v>444</v>
      </c>
      <c r="C119" s="108">
        <v>3000000</v>
      </c>
    </row>
    <row r="120" spans="1:3" ht="12" customHeight="1">
      <c r="A120" s="337" t="s">
        <v>142</v>
      </c>
      <c r="B120" s="51" t="s">
        <v>327</v>
      </c>
      <c r="C120" s="108"/>
    </row>
    <row r="121" spans="1:3" ht="12" customHeight="1">
      <c r="A121" s="337" t="s">
        <v>328</v>
      </c>
      <c r="B121" s="109" t="s">
        <v>329</v>
      </c>
      <c r="C121" s="108"/>
    </row>
    <row r="122" spans="1:3" ht="12" customHeight="1">
      <c r="A122" s="337" t="s">
        <v>330</v>
      </c>
      <c r="B122" s="100" t="s">
        <v>302</v>
      </c>
      <c r="C122" s="108"/>
    </row>
    <row r="123" spans="1:3" ht="12" customHeight="1">
      <c r="A123" s="337" t="s">
        <v>331</v>
      </c>
      <c r="B123" s="100" t="s">
        <v>332</v>
      </c>
      <c r="C123" s="108"/>
    </row>
    <row r="124" spans="1:3" ht="12" customHeight="1">
      <c r="A124" s="337" t="s">
        <v>333</v>
      </c>
      <c r="B124" s="100" t="s">
        <v>334</v>
      </c>
      <c r="C124" s="108"/>
    </row>
    <row r="125" spans="1:3" ht="12" customHeight="1">
      <c r="A125" s="337" t="s">
        <v>335</v>
      </c>
      <c r="B125" s="100" t="s">
        <v>308</v>
      </c>
      <c r="C125" s="108"/>
    </row>
    <row r="126" spans="1:3" ht="12" customHeight="1">
      <c r="A126" s="337" t="s">
        <v>336</v>
      </c>
      <c r="B126" s="100" t="s">
        <v>337</v>
      </c>
      <c r="C126" s="108">
        <v>3000000</v>
      </c>
    </row>
    <row r="127" spans="1:3" ht="12" customHeight="1">
      <c r="A127" s="359" t="s">
        <v>338</v>
      </c>
      <c r="B127" s="100" t="s">
        <v>339</v>
      </c>
      <c r="C127" s="110"/>
    </row>
    <row r="128" spans="1:3" ht="12" customHeight="1">
      <c r="A128" s="336" t="s">
        <v>144</v>
      </c>
      <c r="B128" s="42" t="s">
        <v>340</v>
      </c>
      <c r="C128" s="43">
        <f>+C93+C114</f>
        <v>19303530</v>
      </c>
    </row>
    <row r="129" spans="1:3" ht="12" customHeight="1">
      <c r="A129" s="336" t="s">
        <v>341</v>
      </c>
      <c r="B129" s="42" t="s">
        <v>342</v>
      </c>
      <c r="C129" s="43">
        <f>+C130+C131+C132</f>
        <v>0</v>
      </c>
    </row>
    <row r="130" spans="1:3" s="357" customFormat="1" ht="12" customHeight="1">
      <c r="A130" s="337" t="s">
        <v>160</v>
      </c>
      <c r="B130" s="111" t="s">
        <v>558</v>
      </c>
      <c r="C130" s="108"/>
    </row>
    <row r="131" spans="1:3" ht="12" customHeight="1">
      <c r="A131" s="337" t="s">
        <v>162</v>
      </c>
      <c r="B131" s="111" t="s">
        <v>344</v>
      </c>
      <c r="C131" s="108"/>
    </row>
    <row r="132" spans="1:3" ht="12" customHeight="1">
      <c r="A132" s="359" t="s">
        <v>164</v>
      </c>
      <c r="B132" s="112" t="s">
        <v>559</v>
      </c>
      <c r="C132" s="108"/>
    </row>
    <row r="133" spans="1:3" ht="12" customHeight="1">
      <c r="A133" s="336" t="s">
        <v>174</v>
      </c>
      <c r="B133" s="42" t="s">
        <v>346</v>
      </c>
      <c r="C133" s="43">
        <f>+C134+C135+C136+C137+C138+C139</f>
        <v>0</v>
      </c>
    </row>
    <row r="134" spans="1:3" ht="12" customHeight="1">
      <c r="A134" s="337" t="s">
        <v>176</v>
      </c>
      <c r="B134" s="111" t="s">
        <v>347</v>
      </c>
      <c r="C134" s="108"/>
    </row>
    <row r="135" spans="1:3" ht="12" customHeight="1">
      <c r="A135" s="337" t="s">
        <v>178</v>
      </c>
      <c r="B135" s="111" t="s">
        <v>348</v>
      </c>
      <c r="C135" s="108"/>
    </row>
    <row r="136" spans="1:3" ht="12" customHeight="1">
      <c r="A136" s="337" t="s">
        <v>180</v>
      </c>
      <c r="B136" s="111" t="s">
        <v>349</v>
      </c>
      <c r="C136" s="108"/>
    </row>
    <row r="137" spans="1:3" ht="12" customHeight="1">
      <c r="A137" s="337" t="s">
        <v>182</v>
      </c>
      <c r="B137" s="111" t="s">
        <v>560</v>
      </c>
      <c r="C137" s="108"/>
    </row>
    <row r="138" spans="1:3" ht="12" customHeight="1">
      <c r="A138" s="337" t="s">
        <v>184</v>
      </c>
      <c r="B138" s="111" t="s">
        <v>351</v>
      </c>
      <c r="C138" s="108"/>
    </row>
    <row r="139" spans="1:3" s="357" customFormat="1" ht="12" customHeight="1">
      <c r="A139" s="359" t="s">
        <v>186</v>
      </c>
      <c r="B139" s="112" t="s">
        <v>352</v>
      </c>
      <c r="C139" s="108"/>
    </row>
    <row r="140" spans="1:11" ht="12" customHeight="1">
      <c r="A140" s="336" t="s">
        <v>198</v>
      </c>
      <c r="B140" s="42" t="s">
        <v>561</v>
      </c>
      <c r="C140" s="43">
        <f>+C141+C142+C144+C145+C143</f>
        <v>0</v>
      </c>
      <c r="K140" s="362"/>
    </row>
    <row r="141" spans="1:3" ht="12.75">
      <c r="A141" s="337" t="s">
        <v>200</v>
      </c>
      <c r="B141" s="111" t="s">
        <v>354</v>
      </c>
      <c r="C141" s="108"/>
    </row>
    <row r="142" spans="1:3" ht="12" customHeight="1">
      <c r="A142" s="337" t="s">
        <v>202</v>
      </c>
      <c r="B142" s="111" t="s">
        <v>355</v>
      </c>
      <c r="C142" s="108"/>
    </row>
    <row r="143" spans="1:3" s="357" customFormat="1" ht="12" customHeight="1">
      <c r="A143" s="337" t="s">
        <v>204</v>
      </c>
      <c r="B143" s="111" t="s">
        <v>562</v>
      </c>
      <c r="C143" s="108"/>
    </row>
    <row r="144" spans="1:3" s="357" customFormat="1" ht="12" customHeight="1">
      <c r="A144" s="337" t="s">
        <v>206</v>
      </c>
      <c r="B144" s="111" t="s">
        <v>356</v>
      </c>
      <c r="C144" s="108"/>
    </row>
    <row r="145" spans="1:3" s="357" customFormat="1" ht="12" customHeight="1">
      <c r="A145" s="359" t="s">
        <v>208</v>
      </c>
      <c r="B145" s="112" t="s">
        <v>357</v>
      </c>
      <c r="C145" s="108"/>
    </row>
    <row r="146" spans="1:3" s="357" customFormat="1" ht="12" customHeight="1">
      <c r="A146" s="336" t="s">
        <v>358</v>
      </c>
      <c r="B146" s="42" t="s">
        <v>359</v>
      </c>
      <c r="C146" s="115">
        <f>+C147+C148+C149+C150+C151</f>
        <v>0</v>
      </c>
    </row>
    <row r="147" spans="1:3" s="357" customFormat="1" ht="12" customHeight="1">
      <c r="A147" s="337" t="s">
        <v>212</v>
      </c>
      <c r="B147" s="111" t="s">
        <v>360</v>
      </c>
      <c r="C147" s="108"/>
    </row>
    <row r="148" spans="1:3" s="357" customFormat="1" ht="12" customHeight="1">
      <c r="A148" s="337" t="s">
        <v>214</v>
      </c>
      <c r="B148" s="111" t="s">
        <v>361</v>
      </c>
      <c r="C148" s="108"/>
    </row>
    <row r="149" spans="1:3" s="357" customFormat="1" ht="12" customHeight="1">
      <c r="A149" s="337" t="s">
        <v>216</v>
      </c>
      <c r="B149" s="111" t="s">
        <v>362</v>
      </c>
      <c r="C149" s="108"/>
    </row>
    <row r="150" spans="1:3" ht="12.75" customHeight="1">
      <c r="A150" s="337" t="s">
        <v>218</v>
      </c>
      <c r="B150" s="111" t="s">
        <v>363</v>
      </c>
      <c r="C150" s="108"/>
    </row>
    <row r="151" spans="1:3" ht="12.75" customHeight="1">
      <c r="A151" s="359" t="s">
        <v>364</v>
      </c>
      <c r="B151" s="112" t="s">
        <v>365</v>
      </c>
      <c r="C151" s="110"/>
    </row>
    <row r="152" spans="1:3" ht="12.75" customHeight="1">
      <c r="A152" s="363" t="s">
        <v>220</v>
      </c>
      <c r="B152" s="42" t="s">
        <v>366</v>
      </c>
      <c r="C152" s="115"/>
    </row>
    <row r="153" spans="1:3" ht="12" customHeight="1">
      <c r="A153" s="363" t="s">
        <v>367</v>
      </c>
      <c r="B153" s="42" t="s">
        <v>368</v>
      </c>
      <c r="C153" s="115"/>
    </row>
    <row r="154" spans="1:3" ht="15" customHeight="1">
      <c r="A154" s="336" t="s">
        <v>369</v>
      </c>
      <c r="B154" s="42" t="s">
        <v>370</v>
      </c>
      <c r="C154" s="364">
        <f>+C129+C133+C140+C146+C152+C153</f>
        <v>0</v>
      </c>
    </row>
    <row r="155" spans="1:3" ht="12.75">
      <c r="A155" s="365" t="s">
        <v>371</v>
      </c>
      <c r="B155" s="366" t="s">
        <v>372</v>
      </c>
      <c r="C155" s="364">
        <f>+C128+C154</f>
        <v>19303530</v>
      </c>
    </row>
    <row r="156" ht="15" customHeight="1">
      <c r="C156" s="367">
        <f>C90-C155</f>
        <v>0</v>
      </c>
    </row>
    <row r="157" spans="1:3" ht="14.25" customHeight="1">
      <c r="A157" s="368" t="s">
        <v>563</v>
      </c>
      <c r="B157" s="369"/>
      <c r="C157" s="370">
        <v>2</v>
      </c>
    </row>
    <row r="158" spans="1:3" ht="12.75">
      <c r="A158" s="368" t="s">
        <v>564</v>
      </c>
      <c r="B158" s="369"/>
      <c r="C158" s="370">
        <v>0</v>
      </c>
    </row>
    <row r="159" spans="1:3" ht="12.75">
      <c r="A159" s="372"/>
      <c r="B159" s="373"/>
      <c r="C159" s="375"/>
    </row>
    <row r="160" spans="1:2" ht="12.75">
      <c r="A160" s="372"/>
      <c r="B160" s="373"/>
    </row>
    <row r="161" spans="1:3" ht="12.75">
      <c r="A161" s="372"/>
      <c r="B161" s="373"/>
      <c r="C161" s="375"/>
    </row>
    <row r="162" spans="1:3" ht="12.75">
      <c r="A162" s="372"/>
      <c r="B162" s="373"/>
      <c r="C162" s="375"/>
    </row>
    <row r="163" spans="1:3" ht="12.75">
      <c r="A163" s="372"/>
      <c r="B163" s="373"/>
      <c r="C163" s="375"/>
    </row>
    <row r="164" spans="1:3" ht="12.75">
      <c r="A164" s="372"/>
      <c r="B164" s="373"/>
      <c r="C164" s="375"/>
    </row>
    <row r="165" spans="1:3" ht="12.75">
      <c r="A165" s="372"/>
      <c r="B165" s="373"/>
      <c r="C165" s="375"/>
    </row>
    <row r="166" spans="1:3" ht="12.75">
      <c r="A166" s="372"/>
      <c r="B166" s="373"/>
      <c r="C166" s="375"/>
    </row>
    <row r="167" spans="1:3" ht="12.75">
      <c r="A167" s="372"/>
      <c r="B167" s="373"/>
      <c r="C167" s="375"/>
    </row>
    <row r="168" spans="1:3" ht="12.75">
      <c r="A168" s="372"/>
      <c r="B168" s="373"/>
      <c r="C168" s="375"/>
    </row>
    <row r="169" spans="1:3" ht="12.75">
      <c r="A169" s="372"/>
      <c r="B169" s="373"/>
      <c r="C169" s="375"/>
    </row>
    <row r="170" spans="1:3" ht="12.75">
      <c r="A170" s="372"/>
      <c r="B170" s="373"/>
      <c r="C170" s="375"/>
    </row>
    <row r="171" spans="1:3" ht="12.75">
      <c r="A171" s="372"/>
      <c r="B171" s="373"/>
      <c r="C171" s="375"/>
    </row>
    <row r="172" spans="1:3" ht="12.75">
      <c r="A172" s="372"/>
      <c r="B172" s="373"/>
      <c r="C172" s="375"/>
    </row>
    <row r="173" spans="1:3" ht="12.75">
      <c r="A173" s="372"/>
      <c r="B173" s="373"/>
      <c r="C173" s="375"/>
    </row>
    <row r="174" spans="1:3" ht="12.75">
      <c r="A174" s="372"/>
      <c r="B174" s="373"/>
      <c r="C174" s="375"/>
    </row>
    <row r="175" spans="1:3" ht="12.75">
      <c r="A175" s="372"/>
      <c r="B175" s="373"/>
      <c r="C175" s="375"/>
    </row>
    <row r="176" spans="1:3" ht="12.75">
      <c r="A176" s="372"/>
      <c r="B176" s="373"/>
      <c r="C176" s="375"/>
    </row>
    <row r="177" spans="1:3" ht="12.75">
      <c r="A177" s="372"/>
      <c r="B177" s="373"/>
      <c r="C177" s="375"/>
    </row>
    <row r="178" spans="1:3" ht="12.75">
      <c r="A178" s="372"/>
      <c r="B178" s="373"/>
      <c r="C178" s="375"/>
    </row>
  </sheetData>
  <sheetProtection selectLockedCells="1" selectUnlockedCells="1"/>
  <printOptions horizontalCentered="1"/>
  <pageMargins left="0.25" right="0.25" top="0.75" bottom="0.75" header="0.5118055555555555" footer="0.5118055555555555"/>
  <pageSetup horizontalDpi="300" verticalDpi="300" orientation="portrait" paperSize="9" scale="75"/>
  <rowBreaks count="1" manualBreakCount="1">
    <brk id="9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="120" zoomScaleNormal="120" zoomScalePageLayoutView="0" workbookViewId="0" topLeftCell="A1">
      <selection activeCell="M11" sqref="M11"/>
    </sheetView>
  </sheetViews>
  <sheetFormatPr defaultColWidth="9.00390625" defaultRowHeight="12.75"/>
  <cols>
    <col min="1" max="1" width="33.50390625" style="0" customWidth="1"/>
    <col min="2" max="2" width="18.875" style="0" customWidth="1"/>
    <col min="3" max="3" width="1.875" style="0" customWidth="1"/>
    <col min="4" max="4" width="5.50390625" style="0" customWidth="1"/>
    <col min="5" max="5" width="1.875" style="0" customWidth="1"/>
    <col min="6" max="6" width="11.00390625" style="0" customWidth="1"/>
  </cols>
  <sheetData>
    <row r="1" spans="1:10" ht="18.75">
      <c r="A1" s="731" t="s">
        <v>64</v>
      </c>
      <c r="B1" s="731"/>
      <c r="C1" s="731"/>
      <c r="D1" s="731"/>
      <c r="E1" s="731"/>
      <c r="F1" s="731"/>
      <c r="G1" s="731"/>
      <c r="H1" s="731"/>
      <c r="I1" s="731"/>
      <c r="J1" s="731"/>
    </row>
    <row r="3" spans="1:9" ht="15.75">
      <c r="A3" s="732" t="s">
        <v>65</v>
      </c>
      <c r="B3" s="732"/>
      <c r="C3" s="732"/>
      <c r="D3" s="732"/>
      <c r="E3" s="732"/>
      <c r="F3" s="732"/>
      <c r="G3" s="10"/>
      <c r="H3" s="10"/>
      <c r="I3" s="10"/>
    </row>
    <row r="6" ht="15">
      <c r="A6" s="11" t="s">
        <v>66</v>
      </c>
    </row>
    <row r="7" spans="1:11" ht="12.75">
      <c r="A7" s="12" t="s">
        <v>67</v>
      </c>
      <c r="B7" s="13" t="s">
        <v>68</v>
      </c>
      <c r="C7" s="14" t="s">
        <v>69</v>
      </c>
      <c r="D7" s="14">
        <v>2019</v>
      </c>
      <c r="E7" s="14" t="s">
        <v>70</v>
      </c>
      <c r="F7" s="13" t="s">
        <v>68</v>
      </c>
      <c r="G7" s="14" t="s">
        <v>71</v>
      </c>
      <c r="H7" s="14" t="s">
        <v>72</v>
      </c>
      <c r="I7" s="14"/>
      <c r="J7" s="14"/>
      <c r="K7" s="14"/>
    </row>
    <row r="8" spans="1:6" ht="12.75">
      <c r="A8" s="15"/>
      <c r="B8" s="16"/>
      <c r="F8" s="16"/>
    </row>
    <row r="9" spans="1:6" ht="12.75">
      <c r="A9" s="15"/>
      <c r="B9" s="16"/>
      <c r="F9" s="16"/>
    </row>
    <row r="11" spans="1:10" ht="15.75">
      <c r="A11" s="732" t="s">
        <v>73</v>
      </c>
      <c r="B11" s="732"/>
      <c r="C11" s="732"/>
      <c r="D11" s="732"/>
      <c r="E11" s="732"/>
      <c r="F11" s="732"/>
      <c r="G11" s="732"/>
      <c r="H11" s="732"/>
      <c r="I11" s="732"/>
      <c r="J11" s="732"/>
    </row>
    <row r="13" spans="1:10" ht="14.25">
      <c r="A13" s="17" t="s">
        <v>74</v>
      </c>
      <c r="B13" s="730" t="s">
        <v>75</v>
      </c>
      <c r="C13" s="730"/>
      <c r="D13" s="730"/>
      <c r="E13" s="730"/>
      <c r="F13" s="730"/>
      <c r="G13" s="730"/>
      <c r="H13" s="730"/>
      <c r="I13" s="730"/>
      <c r="J13" s="730"/>
    </row>
    <row r="14" spans="2:10" ht="14.25">
      <c r="B14" s="18"/>
      <c r="C14" s="10"/>
      <c r="D14" s="10"/>
      <c r="E14" s="10"/>
      <c r="F14" s="10"/>
      <c r="G14" s="10"/>
      <c r="H14" s="10"/>
      <c r="I14" s="10"/>
      <c r="J14" s="10"/>
    </row>
    <row r="15" spans="1:10" ht="14.25">
      <c r="A15" s="17" t="s">
        <v>76</v>
      </c>
      <c r="B15" s="730" t="s">
        <v>77</v>
      </c>
      <c r="C15" s="730"/>
      <c r="D15" s="730"/>
      <c r="E15" s="730"/>
      <c r="F15" s="730"/>
      <c r="G15" s="730"/>
      <c r="H15" s="730"/>
      <c r="I15" s="730"/>
      <c r="J15" s="730"/>
    </row>
    <row r="16" spans="2:10" ht="14.25">
      <c r="B16" s="18"/>
      <c r="C16" s="10"/>
      <c r="D16" s="10"/>
      <c r="E16" s="10"/>
      <c r="F16" s="10"/>
      <c r="G16" s="10"/>
      <c r="H16" s="10"/>
      <c r="I16" s="10"/>
      <c r="J16" s="10"/>
    </row>
    <row r="17" spans="1:10" ht="14.25">
      <c r="A17" s="17" t="s">
        <v>78</v>
      </c>
      <c r="B17" s="730" t="s">
        <v>79</v>
      </c>
      <c r="C17" s="730"/>
      <c r="D17" s="730"/>
      <c r="E17" s="730"/>
      <c r="F17" s="730"/>
      <c r="G17" s="730"/>
      <c r="H17" s="730"/>
      <c r="I17" s="730"/>
      <c r="J17" s="730"/>
    </row>
    <row r="18" spans="2:10" ht="14.25">
      <c r="B18" s="18"/>
      <c r="C18" s="10"/>
      <c r="D18" s="10"/>
      <c r="E18" s="10"/>
      <c r="F18" s="10"/>
      <c r="G18" s="10"/>
      <c r="H18" s="10"/>
      <c r="I18" s="10"/>
      <c r="J18" s="10"/>
    </row>
    <row r="19" spans="1:10" ht="14.25">
      <c r="A19" s="17" t="s">
        <v>80</v>
      </c>
      <c r="B19" s="730" t="s">
        <v>81</v>
      </c>
      <c r="C19" s="730"/>
      <c r="D19" s="730"/>
      <c r="E19" s="730"/>
      <c r="F19" s="730"/>
      <c r="G19" s="730"/>
      <c r="H19" s="730"/>
      <c r="I19" s="730"/>
      <c r="J19" s="730"/>
    </row>
    <row r="20" spans="2:10" ht="14.25">
      <c r="B20" s="18"/>
      <c r="C20" s="10"/>
      <c r="D20" s="10"/>
      <c r="E20" s="10"/>
      <c r="F20" s="10"/>
      <c r="G20" s="10"/>
      <c r="H20" s="10"/>
      <c r="I20" s="10"/>
      <c r="J20" s="10"/>
    </row>
    <row r="21" spans="1:10" ht="14.25">
      <c r="A21" s="17" t="s">
        <v>82</v>
      </c>
      <c r="B21" s="730" t="s">
        <v>83</v>
      </c>
      <c r="C21" s="730"/>
      <c r="D21" s="730"/>
      <c r="E21" s="730"/>
      <c r="F21" s="730"/>
      <c r="G21" s="730"/>
      <c r="H21" s="730"/>
      <c r="I21" s="730"/>
      <c r="J21" s="730"/>
    </row>
    <row r="22" spans="2:10" ht="14.25">
      <c r="B22" s="18"/>
      <c r="C22" s="10"/>
      <c r="D22" s="10"/>
      <c r="E22" s="10"/>
      <c r="F22" s="10"/>
      <c r="G22" s="10"/>
      <c r="H22" s="10"/>
      <c r="I22" s="10"/>
      <c r="J22" s="10"/>
    </row>
    <row r="23" spans="1:10" ht="14.25">
      <c r="A23" s="17" t="s">
        <v>84</v>
      </c>
      <c r="B23" s="730" t="s">
        <v>85</v>
      </c>
      <c r="C23" s="730"/>
      <c r="D23" s="730"/>
      <c r="E23" s="730"/>
      <c r="F23" s="730"/>
      <c r="G23" s="730"/>
      <c r="H23" s="730"/>
      <c r="I23" s="730"/>
      <c r="J23" s="730"/>
    </row>
    <row r="24" spans="2:10" ht="14.25">
      <c r="B24" s="18"/>
      <c r="C24" s="10"/>
      <c r="D24" s="10"/>
      <c r="E24" s="10"/>
      <c r="F24" s="10"/>
      <c r="G24" s="10"/>
      <c r="H24" s="10"/>
      <c r="I24" s="10"/>
      <c r="J24" s="10"/>
    </row>
    <row r="25" spans="1:10" ht="14.25">
      <c r="A25" s="17" t="s">
        <v>86</v>
      </c>
      <c r="B25" s="730" t="s">
        <v>87</v>
      </c>
      <c r="C25" s="730"/>
      <c r="D25" s="730"/>
      <c r="E25" s="730"/>
      <c r="F25" s="730"/>
      <c r="G25" s="730"/>
      <c r="H25" s="730"/>
      <c r="I25" s="730"/>
      <c r="J25" s="730"/>
    </row>
    <row r="26" spans="2:10" ht="14.25">
      <c r="B26" s="18"/>
      <c r="C26" s="10"/>
      <c r="D26" s="10"/>
      <c r="E26" s="10"/>
      <c r="F26" s="10"/>
      <c r="G26" s="10"/>
      <c r="H26" s="10"/>
      <c r="I26" s="10"/>
      <c r="J26" s="10"/>
    </row>
    <row r="27" spans="1:10" ht="14.25">
      <c r="A27" s="17" t="s">
        <v>88</v>
      </c>
      <c r="B27" s="730" t="s">
        <v>89</v>
      </c>
      <c r="C27" s="730"/>
      <c r="D27" s="730"/>
      <c r="E27" s="730"/>
      <c r="F27" s="730"/>
      <c r="G27" s="730"/>
      <c r="H27" s="730"/>
      <c r="I27" s="730"/>
      <c r="J27" s="730"/>
    </row>
    <row r="28" spans="2:10" ht="14.25">
      <c r="B28" s="18"/>
      <c r="C28" s="10"/>
      <c r="D28" s="10"/>
      <c r="E28" s="10"/>
      <c r="F28" s="10"/>
      <c r="G28" s="10"/>
      <c r="H28" s="10"/>
      <c r="I28" s="10"/>
      <c r="J28" s="10"/>
    </row>
    <row r="29" spans="1:10" ht="14.25">
      <c r="A29" s="17" t="s">
        <v>88</v>
      </c>
      <c r="B29" s="730" t="s">
        <v>90</v>
      </c>
      <c r="C29" s="730"/>
      <c r="D29" s="730"/>
      <c r="E29" s="730"/>
      <c r="F29" s="730"/>
      <c r="G29" s="730"/>
      <c r="H29" s="730"/>
      <c r="I29" s="730"/>
      <c r="J29" s="730"/>
    </row>
    <row r="30" spans="2:10" ht="14.25">
      <c r="B30" s="18"/>
      <c r="C30" s="10"/>
      <c r="D30" s="10"/>
      <c r="E30" s="10"/>
      <c r="F30" s="10"/>
      <c r="G30" s="10"/>
      <c r="H30" s="10"/>
      <c r="I30" s="10"/>
      <c r="J30" s="10"/>
    </row>
    <row r="31" spans="1:10" ht="14.25">
      <c r="A31" s="17" t="s">
        <v>91</v>
      </c>
      <c r="B31" s="730" t="s">
        <v>92</v>
      </c>
      <c r="C31" s="730"/>
      <c r="D31" s="730"/>
      <c r="E31" s="730"/>
      <c r="F31" s="730"/>
      <c r="G31" s="730"/>
      <c r="H31" s="730"/>
      <c r="I31" s="730"/>
      <c r="J31" s="730"/>
    </row>
    <row r="33" ht="14.25">
      <c r="A33" s="17"/>
    </row>
  </sheetData>
  <sheetProtection sheet="1"/>
  <mergeCells count="13">
    <mergeCell ref="A1:J1"/>
    <mergeCell ref="A3:F3"/>
    <mergeCell ref="A11:J11"/>
    <mergeCell ref="B13:J13"/>
    <mergeCell ref="B15:J15"/>
    <mergeCell ref="B17:J17"/>
    <mergeCell ref="B31:J31"/>
    <mergeCell ref="B19:J19"/>
    <mergeCell ref="B21:J21"/>
    <mergeCell ref="B23:J23"/>
    <mergeCell ref="B25:J25"/>
    <mergeCell ref="B27:J27"/>
    <mergeCell ref="B29:J29"/>
  </mergeCells>
  <dataValidations count="1">
    <dataValidation type="list" allowBlank="1" showErrorMessage="1" sqref="A6">
      <formula1>",Előterjesztéskor,Jóváhagyás után"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50"/>
  </sheetPr>
  <dimension ref="A1:C158"/>
  <sheetViews>
    <sheetView zoomScale="120" zoomScaleNormal="120" zoomScalePageLayoutView="0" workbookViewId="0" topLeftCell="A1">
      <selection activeCell="D135" sqref="D135"/>
    </sheetView>
  </sheetViews>
  <sheetFormatPr defaultColWidth="9.00390625" defaultRowHeight="12.75"/>
  <cols>
    <col min="1" max="1" width="19.50390625" style="0" customWidth="1"/>
    <col min="2" max="2" width="72.00390625" style="0" customWidth="1"/>
    <col min="3" max="3" width="25.00390625" style="0" customWidth="1"/>
  </cols>
  <sheetData>
    <row r="1" spans="1:3" ht="15.75">
      <c r="A1" s="312"/>
      <c r="B1" s="313"/>
      <c r="C1" s="314" t="s">
        <v>573</v>
      </c>
    </row>
    <row r="2" spans="1:3" ht="14.25">
      <c r="A2" s="316" t="s">
        <v>384</v>
      </c>
      <c r="B2" s="317" t="s">
        <v>65</v>
      </c>
      <c r="C2" s="318" t="s">
        <v>536</v>
      </c>
    </row>
    <row r="3" spans="1:3" ht="12.75">
      <c r="A3" s="320" t="s">
        <v>537</v>
      </c>
      <c r="B3" s="389" t="s">
        <v>574</v>
      </c>
      <c r="C3" s="322" t="s">
        <v>570</v>
      </c>
    </row>
    <row r="4" spans="1:3" ht="13.5">
      <c r="A4" s="323"/>
      <c r="B4" s="323"/>
      <c r="C4" s="324" t="s">
        <v>111</v>
      </c>
    </row>
    <row r="5" spans="1:3" ht="12.75">
      <c r="A5" s="326" t="s">
        <v>539</v>
      </c>
      <c r="B5" s="327" t="s">
        <v>540</v>
      </c>
      <c r="C5" s="328" t="s">
        <v>541</v>
      </c>
    </row>
    <row r="6" spans="1:3" ht="12.75">
      <c r="A6" s="329"/>
      <c r="B6" s="330" t="s">
        <v>114</v>
      </c>
      <c r="C6" s="331" t="s">
        <v>115</v>
      </c>
    </row>
    <row r="7" spans="1:3" ht="12.75">
      <c r="A7" s="377"/>
      <c r="B7" s="378" t="s">
        <v>382</v>
      </c>
      <c r="C7" s="379"/>
    </row>
    <row r="8" spans="1:3" ht="12.75">
      <c r="A8" s="336" t="s">
        <v>116</v>
      </c>
      <c r="B8" s="42" t="s">
        <v>117</v>
      </c>
      <c r="C8" s="43">
        <v>0</v>
      </c>
    </row>
    <row r="9" spans="1:3" ht="12.75">
      <c r="A9" s="337" t="s">
        <v>118</v>
      </c>
      <c r="B9" s="46" t="s">
        <v>119</v>
      </c>
      <c r="C9" s="47"/>
    </row>
    <row r="10" spans="1:3" ht="12.75">
      <c r="A10" s="339" t="s">
        <v>120</v>
      </c>
      <c r="B10" s="49" t="s">
        <v>121</v>
      </c>
      <c r="C10" s="50"/>
    </row>
    <row r="11" spans="1:3" ht="12.75">
      <c r="A11" s="339" t="s">
        <v>122</v>
      </c>
      <c r="B11" s="49" t="s">
        <v>123</v>
      </c>
      <c r="C11" s="50"/>
    </row>
    <row r="12" spans="1:3" ht="12.75">
      <c r="A12" s="339" t="s">
        <v>124</v>
      </c>
      <c r="B12" s="49" t="s">
        <v>125</v>
      </c>
      <c r="C12" s="50"/>
    </row>
    <row r="13" spans="1:3" ht="12.75">
      <c r="A13" s="339" t="s">
        <v>126</v>
      </c>
      <c r="B13" s="49" t="s">
        <v>542</v>
      </c>
      <c r="C13" s="50"/>
    </row>
    <row r="14" spans="1:3" ht="12.75">
      <c r="A14" s="341" t="s">
        <v>128</v>
      </c>
      <c r="B14" s="62" t="s">
        <v>129</v>
      </c>
      <c r="C14" s="50"/>
    </row>
    <row r="15" spans="1:3" ht="12.75">
      <c r="A15" s="336" t="s">
        <v>130</v>
      </c>
      <c r="B15" s="54" t="s">
        <v>131</v>
      </c>
      <c r="C15" s="43"/>
    </row>
    <row r="16" spans="1:3" ht="12.75">
      <c r="A16" s="337" t="s">
        <v>132</v>
      </c>
      <c r="B16" s="46" t="s">
        <v>133</v>
      </c>
      <c r="C16" s="47"/>
    </row>
    <row r="17" spans="1:3" ht="12.75">
      <c r="A17" s="339" t="s">
        <v>134</v>
      </c>
      <c r="B17" s="49" t="s">
        <v>135</v>
      </c>
      <c r="C17" s="50"/>
    </row>
    <row r="18" spans="1:3" ht="12.75">
      <c r="A18" s="339" t="s">
        <v>136</v>
      </c>
      <c r="B18" s="49" t="s">
        <v>137</v>
      </c>
      <c r="C18" s="50"/>
    </row>
    <row r="19" spans="1:3" ht="12.75">
      <c r="A19" s="339" t="s">
        <v>138</v>
      </c>
      <c r="B19" s="49" t="s">
        <v>139</v>
      </c>
      <c r="C19" s="50"/>
    </row>
    <row r="20" spans="1:3" ht="12.75">
      <c r="A20" s="339" t="s">
        <v>140</v>
      </c>
      <c r="B20" s="49" t="s">
        <v>544</v>
      </c>
      <c r="C20" s="50"/>
    </row>
    <row r="21" spans="1:3" ht="12.75">
      <c r="A21" s="341" t="s">
        <v>142</v>
      </c>
      <c r="B21" s="62" t="s">
        <v>143</v>
      </c>
      <c r="C21" s="61"/>
    </row>
    <row r="22" spans="1:3" ht="12.75">
      <c r="A22" s="336" t="s">
        <v>144</v>
      </c>
      <c r="B22" s="42" t="s">
        <v>145</v>
      </c>
      <c r="C22" s="43">
        <v>0</v>
      </c>
    </row>
    <row r="23" spans="1:3" ht="12.75">
      <c r="A23" s="337" t="s">
        <v>146</v>
      </c>
      <c r="B23" s="46" t="s">
        <v>147</v>
      </c>
      <c r="C23" s="47"/>
    </row>
    <row r="24" spans="1:3" ht="12.75">
      <c r="A24" s="339" t="s">
        <v>148</v>
      </c>
      <c r="B24" s="49" t="s">
        <v>149</v>
      </c>
      <c r="C24" s="50"/>
    </row>
    <row r="25" spans="1:3" ht="12.75">
      <c r="A25" s="339" t="s">
        <v>150</v>
      </c>
      <c r="B25" s="49" t="s">
        <v>151</v>
      </c>
      <c r="C25" s="50"/>
    </row>
    <row r="26" spans="1:3" ht="12.75">
      <c r="A26" s="339" t="s">
        <v>152</v>
      </c>
      <c r="B26" s="49" t="s">
        <v>153</v>
      </c>
      <c r="C26" s="50"/>
    </row>
    <row r="27" spans="1:3" ht="12.75">
      <c r="A27" s="339" t="s">
        <v>154</v>
      </c>
      <c r="B27" s="49" t="s">
        <v>155</v>
      </c>
      <c r="C27" s="50"/>
    </row>
    <row r="28" spans="1:3" ht="12.75">
      <c r="A28" s="341" t="s">
        <v>156</v>
      </c>
      <c r="B28" s="62" t="s">
        <v>567</v>
      </c>
      <c r="C28" s="61"/>
    </row>
    <row r="29" spans="1:3" ht="12.75">
      <c r="A29" s="336" t="s">
        <v>158</v>
      </c>
      <c r="B29" s="42" t="s">
        <v>571</v>
      </c>
      <c r="C29" s="43">
        <v>0</v>
      </c>
    </row>
    <row r="30" spans="1:3" ht="12.75">
      <c r="A30" s="337" t="s">
        <v>160</v>
      </c>
      <c r="B30" s="46" t="s">
        <v>161</v>
      </c>
      <c r="C30" s="47"/>
    </row>
    <row r="31" spans="1:3" ht="12.75">
      <c r="A31" s="339" t="s">
        <v>162</v>
      </c>
      <c r="B31" s="49" t="s">
        <v>163</v>
      </c>
      <c r="C31" s="50"/>
    </row>
    <row r="32" spans="1:3" ht="12.75">
      <c r="A32" s="339" t="s">
        <v>164</v>
      </c>
      <c r="B32" s="49" t="s">
        <v>165</v>
      </c>
      <c r="C32" s="50"/>
    </row>
    <row r="33" spans="1:3" ht="12.75">
      <c r="A33" s="339" t="s">
        <v>166</v>
      </c>
      <c r="B33" s="49" t="s">
        <v>167</v>
      </c>
      <c r="C33" s="50"/>
    </row>
    <row r="34" spans="1:3" ht="12.75">
      <c r="A34" s="339" t="s">
        <v>168</v>
      </c>
      <c r="B34" s="49" t="s">
        <v>169</v>
      </c>
      <c r="C34" s="50"/>
    </row>
    <row r="35" spans="1:3" ht="12.75">
      <c r="A35" s="339" t="s">
        <v>170</v>
      </c>
      <c r="B35" s="49" t="s">
        <v>171</v>
      </c>
      <c r="C35" s="50"/>
    </row>
    <row r="36" spans="1:3" ht="12.75">
      <c r="A36" s="341" t="s">
        <v>172</v>
      </c>
      <c r="B36" s="62" t="s">
        <v>173</v>
      </c>
      <c r="C36" s="61"/>
    </row>
    <row r="37" spans="1:3" ht="12.75">
      <c r="A37" s="336" t="s">
        <v>174</v>
      </c>
      <c r="B37" s="42" t="s">
        <v>175</v>
      </c>
      <c r="C37" s="43"/>
    </row>
    <row r="38" spans="1:3" ht="12.75">
      <c r="A38" s="337" t="s">
        <v>176</v>
      </c>
      <c r="B38" s="46" t="s">
        <v>177</v>
      </c>
      <c r="C38" s="47"/>
    </row>
    <row r="39" spans="1:3" ht="12.75">
      <c r="A39" s="339" t="s">
        <v>178</v>
      </c>
      <c r="B39" s="49" t="s">
        <v>179</v>
      </c>
      <c r="C39" s="50"/>
    </row>
    <row r="40" spans="1:3" ht="12.75">
      <c r="A40" s="339" t="s">
        <v>180</v>
      </c>
      <c r="B40" s="49" t="s">
        <v>181</v>
      </c>
      <c r="C40" s="50"/>
    </row>
    <row r="41" spans="1:3" ht="12.75">
      <c r="A41" s="339" t="s">
        <v>182</v>
      </c>
      <c r="B41" s="49" t="s">
        <v>183</v>
      </c>
      <c r="C41" s="50"/>
    </row>
    <row r="42" spans="1:3" ht="12.75">
      <c r="A42" s="339" t="s">
        <v>184</v>
      </c>
      <c r="B42" s="49" t="s">
        <v>185</v>
      </c>
      <c r="C42" s="50"/>
    </row>
    <row r="43" spans="1:3" ht="12.75">
      <c r="A43" s="339" t="s">
        <v>186</v>
      </c>
      <c r="B43" s="49" t="s">
        <v>187</v>
      </c>
      <c r="C43" s="50"/>
    </row>
    <row r="44" spans="1:3" ht="12.75">
      <c r="A44" s="339" t="s">
        <v>188</v>
      </c>
      <c r="B44" s="49" t="s">
        <v>189</v>
      </c>
      <c r="C44" s="50"/>
    </row>
    <row r="45" spans="1:3" ht="12.75">
      <c r="A45" s="339" t="s">
        <v>190</v>
      </c>
      <c r="B45" s="49" t="s">
        <v>572</v>
      </c>
      <c r="C45" s="50"/>
    </row>
    <row r="46" spans="1:3" ht="12.75">
      <c r="A46" s="339" t="s">
        <v>192</v>
      </c>
      <c r="B46" s="49" t="s">
        <v>193</v>
      </c>
      <c r="C46" s="50"/>
    </row>
    <row r="47" spans="1:3" ht="12.75">
      <c r="A47" s="341" t="s">
        <v>194</v>
      </c>
      <c r="B47" s="62" t="s">
        <v>195</v>
      </c>
      <c r="C47" s="61"/>
    </row>
    <row r="48" spans="1:3" ht="12.75">
      <c r="A48" s="341" t="s">
        <v>196</v>
      </c>
      <c r="B48" s="62" t="s">
        <v>197</v>
      </c>
      <c r="C48" s="61"/>
    </row>
    <row r="49" spans="1:3" ht="12.75">
      <c r="A49" s="336" t="s">
        <v>198</v>
      </c>
      <c r="B49" s="42" t="s">
        <v>199</v>
      </c>
      <c r="C49" s="43">
        <v>0</v>
      </c>
    </row>
    <row r="50" spans="1:3" ht="12.75">
      <c r="A50" s="337" t="s">
        <v>200</v>
      </c>
      <c r="B50" s="46" t="s">
        <v>201</v>
      </c>
      <c r="C50" s="47"/>
    </row>
    <row r="51" spans="1:3" ht="12.75">
      <c r="A51" s="339" t="s">
        <v>202</v>
      </c>
      <c r="B51" s="49" t="s">
        <v>203</v>
      </c>
      <c r="C51" s="50"/>
    </row>
    <row r="52" spans="1:3" ht="12.75">
      <c r="A52" s="339" t="s">
        <v>204</v>
      </c>
      <c r="B52" s="49" t="s">
        <v>205</v>
      </c>
      <c r="C52" s="50"/>
    </row>
    <row r="53" spans="1:3" ht="12.75">
      <c r="A53" s="339" t="s">
        <v>206</v>
      </c>
      <c r="B53" s="49" t="s">
        <v>207</v>
      </c>
      <c r="C53" s="50"/>
    </row>
    <row r="54" spans="1:3" ht="12.75">
      <c r="A54" s="341" t="s">
        <v>208</v>
      </c>
      <c r="B54" s="62" t="s">
        <v>209</v>
      </c>
      <c r="C54" s="61"/>
    </row>
    <row r="55" spans="1:3" ht="12.75">
      <c r="A55" s="336" t="s">
        <v>210</v>
      </c>
      <c r="B55" s="42" t="s">
        <v>211</v>
      </c>
      <c r="C55" s="43">
        <v>0</v>
      </c>
    </row>
    <row r="56" spans="1:3" ht="12.75">
      <c r="A56" s="337" t="s">
        <v>212</v>
      </c>
      <c r="B56" s="46" t="s">
        <v>213</v>
      </c>
      <c r="C56" s="47"/>
    </row>
    <row r="57" spans="1:3" ht="12.75">
      <c r="A57" s="339" t="s">
        <v>214</v>
      </c>
      <c r="B57" s="49" t="s">
        <v>215</v>
      </c>
      <c r="C57" s="50"/>
    </row>
    <row r="58" spans="1:3" ht="12.75">
      <c r="A58" s="339" t="s">
        <v>216</v>
      </c>
      <c r="B58" s="49" t="s">
        <v>217</v>
      </c>
      <c r="C58" s="50"/>
    </row>
    <row r="59" spans="1:3" ht="12.75">
      <c r="A59" s="341" t="s">
        <v>218</v>
      </c>
      <c r="B59" s="62" t="s">
        <v>219</v>
      </c>
      <c r="C59" s="61"/>
    </row>
    <row r="60" spans="1:3" ht="12.75">
      <c r="A60" s="336" t="s">
        <v>220</v>
      </c>
      <c r="B60" s="54" t="s">
        <v>221</v>
      </c>
      <c r="C60" s="43">
        <v>0</v>
      </c>
    </row>
    <row r="61" spans="1:3" ht="12.75">
      <c r="A61" s="337" t="s">
        <v>222</v>
      </c>
      <c r="B61" s="46" t="s">
        <v>223</v>
      </c>
      <c r="C61" s="50"/>
    </row>
    <row r="62" spans="1:3" ht="12.75">
      <c r="A62" s="339" t="s">
        <v>224</v>
      </c>
      <c r="B62" s="49" t="s">
        <v>225</v>
      </c>
      <c r="C62" s="50"/>
    </row>
    <row r="63" spans="1:3" ht="12.75">
      <c r="A63" s="339" t="s">
        <v>226</v>
      </c>
      <c r="B63" s="49" t="s">
        <v>227</v>
      </c>
      <c r="C63" s="50"/>
    </row>
    <row r="64" spans="1:3" ht="12.75">
      <c r="A64" s="341" t="s">
        <v>228</v>
      </c>
      <c r="B64" s="62" t="s">
        <v>229</v>
      </c>
      <c r="C64" s="50"/>
    </row>
    <row r="65" spans="1:3" ht="12.75">
      <c r="A65" s="336" t="s">
        <v>367</v>
      </c>
      <c r="B65" s="42" t="s">
        <v>231</v>
      </c>
      <c r="C65" s="43"/>
    </row>
    <row r="66" spans="1:3" ht="12.75">
      <c r="A66" s="344" t="s">
        <v>548</v>
      </c>
      <c r="B66" s="54" t="s">
        <v>233</v>
      </c>
      <c r="C66" s="43">
        <v>0</v>
      </c>
    </row>
    <row r="67" spans="1:3" ht="12.75">
      <c r="A67" s="337" t="s">
        <v>234</v>
      </c>
      <c r="B67" s="46" t="s">
        <v>235</v>
      </c>
      <c r="C67" s="50"/>
    </row>
    <row r="68" spans="1:3" ht="12.75">
      <c r="A68" s="339" t="s">
        <v>236</v>
      </c>
      <c r="B68" s="49" t="s">
        <v>237</v>
      </c>
      <c r="C68" s="50"/>
    </row>
    <row r="69" spans="1:3" ht="12.75">
      <c r="A69" s="341" t="s">
        <v>238</v>
      </c>
      <c r="B69" s="345" t="s">
        <v>568</v>
      </c>
      <c r="C69" s="50"/>
    </row>
    <row r="70" spans="1:3" ht="12.75">
      <c r="A70" s="344" t="s">
        <v>240</v>
      </c>
      <c r="B70" s="54" t="s">
        <v>241</v>
      </c>
      <c r="C70" s="43">
        <v>0</v>
      </c>
    </row>
    <row r="71" spans="1:3" ht="12.75">
      <c r="A71" s="337" t="s">
        <v>242</v>
      </c>
      <c r="B71" s="46" t="s">
        <v>243</v>
      </c>
      <c r="C71" s="50"/>
    </row>
    <row r="72" spans="1:3" ht="12.75">
      <c r="A72" s="339" t="s">
        <v>244</v>
      </c>
      <c r="B72" s="49" t="s">
        <v>245</v>
      </c>
      <c r="C72" s="50"/>
    </row>
    <row r="73" spans="1:3" ht="12.75">
      <c r="A73" s="339" t="s">
        <v>246</v>
      </c>
      <c r="B73" s="49" t="s">
        <v>247</v>
      </c>
      <c r="C73" s="50"/>
    </row>
    <row r="74" spans="1:3" ht="12.75">
      <c r="A74" s="341" t="s">
        <v>248</v>
      </c>
      <c r="B74" s="53" t="s">
        <v>249</v>
      </c>
      <c r="C74" s="50"/>
    </row>
    <row r="75" spans="1:3" ht="12.75">
      <c r="A75" s="344" t="s">
        <v>250</v>
      </c>
      <c r="B75" s="54" t="s">
        <v>251</v>
      </c>
      <c r="C75" s="43"/>
    </row>
    <row r="76" spans="1:3" ht="12.75">
      <c r="A76" s="337" t="s">
        <v>252</v>
      </c>
      <c r="B76" s="46" t="s">
        <v>253</v>
      </c>
      <c r="C76" s="50"/>
    </row>
    <row r="77" spans="1:3" ht="12.75">
      <c r="A77" s="341" t="s">
        <v>254</v>
      </c>
      <c r="B77" s="62" t="s">
        <v>255</v>
      </c>
      <c r="C77" s="50"/>
    </row>
    <row r="78" spans="1:3" ht="12.75">
      <c r="A78" s="344" t="s">
        <v>256</v>
      </c>
      <c r="B78" s="54" t="s">
        <v>257</v>
      </c>
      <c r="C78" s="43">
        <v>0</v>
      </c>
    </row>
    <row r="79" spans="1:3" ht="12.75">
      <c r="A79" s="337" t="s">
        <v>258</v>
      </c>
      <c r="B79" s="46" t="s">
        <v>259</v>
      </c>
      <c r="C79" s="50"/>
    </row>
    <row r="80" spans="1:3" ht="12.75">
      <c r="A80" s="339" t="s">
        <v>260</v>
      </c>
      <c r="B80" s="49" t="s">
        <v>261</v>
      </c>
      <c r="C80" s="50"/>
    </row>
    <row r="81" spans="1:3" ht="12.75">
      <c r="A81" s="341" t="s">
        <v>262</v>
      </c>
      <c r="B81" s="62" t="s">
        <v>263</v>
      </c>
      <c r="C81" s="50"/>
    </row>
    <row r="82" spans="1:3" ht="12.75">
      <c r="A82" s="344" t="s">
        <v>264</v>
      </c>
      <c r="B82" s="54" t="s">
        <v>265</v>
      </c>
      <c r="C82" s="43">
        <v>0</v>
      </c>
    </row>
    <row r="83" spans="1:3" ht="12.75">
      <c r="A83" s="346" t="s">
        <v>266</v>
      </c>
      <c r="B83" s="46" t="s">
        <v>267</v>
      </c>
      <c r="C83" s="50"/>
    </row>
    <row r="84" spans="1:3" ht="12.75">
      <c r="A84" s="347" t="s">
        <v>268</v>
      </c>
      <c r="B84" s="49" t="s">
        <v>269</v>
      </c>
      <c r="C84" s="50"/>
    </row>
    <row r="85" spans="1:3" ht="12.75">
      <c r="A85" s="347" t="s">
        <v>270</v>
      </c>
      <c r="B85" s="49" t="s">
        <v>271</v>
      </c>
      <c r="C85" s="50"/>
    </row>
    <row r="86" spans="1:3" ht="12.75">
      <c r="A86" s="348" t="s">
        <v>272</v>
      </c>
      <c r="B86" s="62" t="s">
        <v>273</v>
      </c>
      <c r="C86" s="50"/>
    </row>
    <row r="87" spans="1:3" ht="12.75">
      <c r="A87" s="344" t="s">
        <v>274</v>
      </c>
      <c r="B87" s="54" t="s">
        <v>275</v>
      </c>
      <c r="C87" s="77"/>
    </row>
    <row r="88" spans="1:3" ht="12.75">
      <c r="A88" s="344" t="s">
        <v>550</v>
      </c>
      <c r="B88" s="54" t="s">
        <v>277</v>
      </c>
      <c r="C88" s="77"/>
    </row>
    <row r="89" spans="1:3" ht="12.75">
      <c r="A89" s="344" t="s">
        <v>551</v>
      </c>
      <c r="B89" s="78" t="s">
        <v>279</v>
      </c>
      <c r="C89" s="43"/>
    </row>
    <row r="90" spans="1:3" ht="12.75">
      <c r="A90" s="349" t="s">
        <v>552</v>
      </c>
      <c r="B90" s="80" t="s">
        <v>553</v>
      </c>
      <c r="C90" s="43"/>
    </row>
    <row r="91" spans="1:3" ht="12.75">
      <c r="A91" s="350"/>
      <c r="B91" s="351"/>
      <c r="C91" s="352"/>
    </row>
    <row r="92" spans="1:3" ht="12.75">
      <c r="A92" s="353"/>
      <c r="B92" s="354" t="s">
        <v>383</v>
      </c>
      <c r="C92" s="355"/>
    </row>
    <row r="93" spans="1:3" ht="12.75">
      <c r="A93" s="356" t="s">
        <v>116</v>
      </c>
      <c r="B93" s="90" t="s">
        <v>575</v>
      </c>
      <c r="C93" s="91"/>
    </row>
    <row r="94" spans="1:3" ht="12.75">
      <c r="A94" s="358" t="s">
        <v>118</v>
      </c>
      <c r="B94" s="93" t="s">
        <v>286</v>
      </c>
      <c r="C94" s="94"/>
    </row>
    <row r="95" spans="1:3" ht="12.75">
      <c r="A95" s="339" t="s">
        <v>120</v>
      </c>
      <c r="B95" s="95" t="s">
        <v>287</v>
      </c>
      <c r="C95" s="50"/>
    </row>
    <row r="96" spans="1:3" ht="12.75">
      <c r="A96" s="339" t="s">
        <v>122</v>
      </c>
      <c r="B96" s="95" t="s">
        <v>288</v>
      </c>
      <c r="C96" s="61"/>
    </row>
    <row r="97" spans="1:3" ht="12.75">
      <c r="A97" s="339" t="s">
        <v>124</v>
      </c>
      <c r="B97" s="96" t="s">
        <v>289</v>
      </c>
      <c r="C97" s="61"/>
    </row>
    <row r="98" spans="1:3" ht="12.75">
      <c r="A98" s="339" t="s">
        <v>290</v>
      </c>
      <c r="B98" s="97" t="s">
        <v>291</v>
      </c>
      <c r="C98" s="61"/>
    </row>
    <row r="99" spans="1:3" ht="12.75">
      <c r="A99" s="339" t="s">
        <v>128</v>
      </c>
      <c r="B99" s="95" t="s">
        <v>555</v>
      </c>
      <c r="C99" s="61"/>
    </row>
    <row r="100" spans="1:3" ht="12.75">
      <c r="A100" s="339" t="s">
        <v>293</v>
      </c>
      <c r="B100" s="99" t="s">
        <v>294</v>
      </c>
      <c r="C100" s="61"/>
    </row>
    <row r="101" spans="1:3" ht="12.75">
      <c r="A101" s="339" t="s">
        <v>295</v>
      </c>
      <c r="B101" s="99" t="s">
        <v>296</v>
      </c>
      <c r="C101" s="61"/>
    </row>
    <row r="102" spans="1:3" ht="12.75">
      <c r="A102" s="339" t="s">
        <v>297</v>
      </c>
      <c r="B102" s="99" t="s">
        <v>298</v>
      </c>
      <c r="C102" s="61"/>
    </row>
    <row r="103" spans="1:3" ht="12.75">
      <c r="A103" s="339" t="s">
        <v>299</v>
      </c>
      <c r="B103" s="100" t="s">
        <v>300</v>
      </c>
      <c r="C103" s="61"/>
    </row>
    <row r="104" spans="1:3" ht="12.75">
      <c r="A104" s="339" t="s">
        <v>301</v>
      </c>
      <c r="B104" s="100" t="s">
        <v>302</v>
      </c>
      <c r="C104" s="61"/>
    </row>
    <row r="105" spans="1:3" ht="12.75">
      <c r="A105" s="339" t="s">
        <v>303</v>
      </c>
      <c r="B105" s="99" t="s">
        <v>304</v>
      </c>
      <c r="C105" s="61"/>
    </row>
    <row r="106" spans="1:3" ht="12.75">
      <c r="A106" s="339" t="s">
        <v>305</v>
      </c>
      <c r="B106" s="99" t="s">
        <v>306</v>
      </c>
      <c r="C106" s="61"/>
    </row>
    <row r="107" spans="1:3" ht="12.75">
      <c r="A107" s="339" t="s">
        <v>307</v>
      </c>
      <c r="B107" s="100" t="s">
        <v>308</v>
      </c>
      <c r="C107" s="61"/>
    </row>
    <row r="108" spans="1:3" ht="12.75">
      <c r="A108" s="359" t="s">
        <v>309</v>
      </c>
      <c r="B108" s="98" t="s">
        <v>310</v>
      </c>
      <c r="C108" s="61"/>
    </row>
    <row r="109" spans="1:3" ht="12.75">
      <c r="A109" s="339" t="s">
        <v>311</v>
      </c>
      <c r="B109" s="98" t="s">
        <v>312</v>
      </c>
      <c r="C109" s="61"/>
    </row>
    <row r="110" spans="1:3" ht="12.75">
      <c r="A110" s="339" t="s">
        <v>313</v>
      </c>
      <c r="B110" s="100" t="s">
        <v>314</v>
      </c>
      <c r="C110" s="50"/>
    </row>
    <row r="111" spans="1:3" ht="12.75">
      <c r="A111" s="339" t="s">
        <v>315</v>
      </c>
      <c r="B111" s="96" t="s">
        <v>316</v>
      </c>
      <c r="C111" s="50"/>
    </row>
    <row r="112" spans="1:3" ht="12.75">
      <c r="A112" s="341" t="s">
        <v>317</v>
      </c>
      <c r="B112" s="95" t="s">
        <v>556</v>
      </c>
      <c r="C112" s="61"/>
    </row>
    <row r="113" spans="1:3" ht="12.75">
      <c r="A113" s="360" t="s">
        <v>319</v>
      </c>
      <c r="B113" s="361" t="s">
        <v>557</v>
      </c>
      <c r="C113" s="73"/>
    </row>
    <row r="114" spans="1:3" ht="12.75">
      <c r="A114" s="336" t="s">
        <v>130</v>
      </c>
      <c r="B114" s="125" t="s">
        <v>576</v>
      </c>
      <c r="C114" s="43"/>
    </row>
    <row r="115" spans="1:3" ht="12.75">
      <c r="A115" s="337" t="s">
        <v>132</v>
      </c>
      <c r="B115" s="95" t="s">
        <v>322</v>
      </c>
      <c r="C115" s="47"/>
    </row>
    <row r="116" spans="1:3" ht="12.75">
      <c r="A116" s="337" t="s">
        <v>134</v>
      </c>
      <c r="B116" s="105" t="s">
        <v>323</v>
      </c>
      <c r="C116" s="47"/>
    </row>
    <row r="117" spans="1:3" ht="12.75">
      <c r="A117" s="337" t="s">
        <v>136</v>
      </c>
      <c r="B117" s="105" t="s">
        <v>324</v>
      </c>
      <c r="C117" s="50"/>
    </row>
    <row r="118" spans="1:3" ht="12.75">
      <c r="A118" s="337" t="s">
        <v>138</v>
      </c>
      <c r="B118" s="105" t="s">
        <v>325</v>
      </c>
      <c r="C118" s="108"/>
    </row>
    <row r="119" spans="1:3" ht="12.75">
      <c r="A119" s="337" t="s">
        <v>140</v>
      </c>
      <c r="B119" s="53" t="s">
        <v>444</v>
      </c>
      <c r="C119" s="108"/>
    </row>
    <row r="120" spans="1:3" ht="12.75">
      <c r="A120" s="337" t="s">
        <v>142</v>
      </c>
      <c r="B120" s="51" t="s">
        <v>327</v>
      </c>
      <c r="C120" s="108"/>
    </row>
    <row r="121" spans="1:3" ht="12.75">
      <c r="A121" s="337" t="s">
        <v>328</v>
      </c>
      <c r="B121" s="109" t="s">
        <v>329</v>
      </c>
      <c r="C121" s="108"/>
    </row>
    <row r="122" spans="1:3" ht="12.75">
      <c r="A122" s="337" t="s">
        <v>330</v>
      </c>
      <c r="B122" s="100" t="s">
        <v>302</v>
      </c>
      <c r="C122" s="108"/>
    </row>
    <row r="123" spans="1:3" ht="12.75">
      <c r="A123" s="337" t="s">
        <v>331</v>
      </c>
      <c r="B123" s="100" t="s">
        <v>332</v>
      </c>
      <c r="C123" s="108"/>
    </row>
    <row r="124" spans="1:3" ht="12.75">
      <c r="A124" s="337" t="s">
        <v>333</v>
      </c>
      <c r="B124" s="100" t="s">
        <v>334</v>
      </c>
      <c r="C124" s="108"/>
    </row>
    <row r="125" spans="1:3" ht="12.75">
      <c r="A125" s="337" t="s">
        <v>335</v>
      </c>
      <c r="B125" s="100" t="s">
        <v>308</v>
      </c>
      <c r="C125" s="108"/>
    </row>
    <row r="126" spans="1:3" ht="12.75">
      <c r="A126" s="337" t="s">
        <v>336</v>
      </c>
      <c r="B126" s="100" t="s">
        <v>337</v>
      </c>
      <c r="C126" s="108"/>
    </row>
    <row r="127" spans="1:3" ht="12.75">
      <c r="A127" s="359" t="s">
        <v>338</v>
      </c>
      <c r="B127" s="100" t="s">
        <v>339</v>
      </c>
      <c r="C127" s="110"/>
    </row>
    <row r="128" spans="1:3" ht="12.75">
      <c r="A128" s="336" t="s">
        <v>144</v>
      </c>
      <c r="B128" s="42" t="s">
        <v>340</v>
      </c>
      <c r="C128" s="43"/>
    </row>
    <row r="129" spans="1:3" ht="12.75">
      <c r="A129" s="336" t="s">
        <v>341</v>
      </c>
      <c r="B129" s="42" t="s">
        <v>342</v>
      </c>
      <c r="C129" s="43">
        <v>0</v>
      </c>
    </row>
    <row r="130" spans="1:3" ht="12.75">
      <c r="A130" s="337" t="s">
        <v>160</v>
      </c>
      <c r="B130" s="111" t="s">
        <v>558</v>
      </c>
      <c r="C130" s="108"/>
    </row>
    <row r="131" spans="1:3" ht="12.75">
      <c r="A131" s="337" t="s">
        <v>162</v>
      </c>
      <c r="B131" s="111" t="s">
        <v>344</v>
      </c>
      <c r="C131" s="108"/>
    </row>
    <row r="132" spans="1:3" ht="12.75">
      <c r="A132" s="359" t="s">
        <v>164</v>
      </c>
      <c r="B132" s="112" t="s">
        <v>559</v>
      </c>
      <c r="C132" s="108"/>
    </row>
    <row r="133" spans="1:3" ht="12.75">
      <c r="A133" s="336" t="s">
        <v>174</v>
      </c>
      <c r="B133" s="42" t="s">
        <v>346</v>
      </c>
      <c r="C133" s="43">
        <v>0</v>
      </c>
    </row>
    <row r="134" spans="1:3" ht="12.75">
      <c r="A134" s="337" t="s">
        <v>176</v>
      </c>
      <c r="B134" s="111" t="s">
        <v>347</v>
      </c>
      <c r="C134" s="108"/>
    </row>
    <row r="135" spans="1:3" ht="12.75">
      <c r="A135" s="337" t="s">
        <v>178</v>
      </c>
      <c r="B135" s="111" t="s">
        <v>348</v>
      </c>
      <c r="C135" s="108"/>
    </row>
    <row r="136" spans="1:3" ht="12.75">
      <c r="A136" s="337" t="s">
        <v>180</v>
      </c>
      <c r="B136" s="111" t="s">
        <v>349</v>
      </c>
      <c r="C136" s="108"/>
    </row>
    <row r="137" spans="1:3" ht="12.75">
      <c r="A137" s="337" t="s">
        <v>182</v>
      </c>
      <c r="B137" s="111" t="s">
        <v>560</v>
      </c>
      <c r="C137" s="108"/>
    </row>
    <row r="138" spans="1:3" ht="12.75">
      <c r="A138" s="337" t="s">
        <v>184</v>
      </c>
      <c r="B138" s="111" t="s">
        <v>351</v>
      </c>
      <c r="C138" s="108"/>
    </row>
    <row r="139" spans="1:3" ht="12.75">
      <c r="A139" s="359" t="s">
        <v>186</v>
      </c>
      <c r="B139" s="112" t="s">
        <v>352</v>
      </c>
      <c r="C139" s="108"/>
    </row>
    <row r="140" spans="1:3" ht="12.75">
      <c r="A140" s="336" t="s">
        <v>198</v>
      </c>
      <c r="B140" s="42" t="s">
        <v>561</v>
      </c>
      <c r="C140" s="43">
        <v>0</v>
      </c>
    </row>
    <row r="141" spans="1:3" ht="12.75">
      <c r="A141" s="337" t="s">
        <v>200</v>
      </c>
      <c r="B141" s="111" t="s">
        <v>354</v>
      </c>
      <c r="C141" s="108"/>
    </row>
    <row r="142" spans="1:3" ht="12.75">
      <c r="A142" s="337" t="s">
        <v>202</v>
      </c>
      <c r="B142" s="111" t="s">
        <v>355</v>
      </c>
      <c r="C142" s="108"/>
    </row>
    <row r="143" spans="1:3" ht="12.75">
      <c r="A143" s="337" t="s">
        <v>204</v>
      </c>
      <c r="B143" s="111" t="s">
        <v>562</v>
      </c>
      <c r="C143" s="108"/>
    </row>
    <row r="144" spans="1:3" ht="12.75">
      <c r="A144" s="337" t="s">
        <v>206</v>
      </c>
      <c r="B144" s="111" t="s">
        <v>356</v>
      </c>
      <c r="C144" s="108"/>
    </row>
    <row r="145" spans="1:3" ht="12.75">
      <c r="A145" s="359" t="s">
        <v>208</v>
      </c>
      <c r="B145" s="112" t="s">
        <v>357</v>
      </c>
      <c r="C145" s="108"/>
    </row>
    <row r="146" spans="1:3" ht="12.75">
      <c r="A146" s="336" t="s">
        <v>358</v>
      </c>
      <c r="B146" s="42" t="s">
        <v>359</v>
      </c>
      <c r="C146" s="115">
        <v>0</v>
      </c>
    </row>
    <row r="147" spans="1:3" ht="12.75">
      <c r="A147" s="337" t="s">
        <v>212</v>
      </c>
      <c r="B147" s="111" t="s">
        <v>360</v>
      </c>
      <c r="C147" s="108"/>
    </row>
    <row r="148" spans="1:3" ht="12.75">
      <c r="A148" s="337" t="s">
        <v>214</v>
      </c>
      <c r="B148" s="111" t="s">
        <v>361</v>
      </c>
      <c r="C148" s="108"/>
    </row>
    <row r="149" spans="1:3" ht="12.75">
      <c r="A149" s="337" t="s">
        <v>216</v>
      </c>
      <c r="B149" s="111" t="s">
        <v>362</v>
      </c>
      <c r="C149" s="108"/>
    </row>
    <row r="150" spans="1:3" ht="12.75">
      <c r="A150" s="337" t="s">
        <v>218</v>
      </c>
      <c r="B150" s="111" t="s">
        <v>363</v>
      </c>
      <c r="C150" s="108"/>
    </row>
    <row r="151" spans="1:3" ht="12.75">
      <c r="A151" s="359" t="s">
        <v>364</v>
      </c>
      <c r="B151" s="112" t="s">
        <v>365</v>
      </c>
      <c r="C151" s="110"/>
    </row>
    <row r="152" spans="1:3" ht="12.75">
      <c r="A152" s="363" t="s">
        <v>220</v>
      </c>
      <c r="B152" s="42" t="s">
        <v>366</v>
      </c>
      <c r="C152" s="115"/>
    </row>
    <row r="153" spans="1:3" ht="12.75">
      <c r="A153" s="363" t="s">
        <v>367</v>
      </c>
      <c r="B153" s="42" t="s">
        <v>368</v>
      </c>
      <c r="C153" s="115"/>
    </row>
    <row r="154" spans="1:3" ht="12.75">
      <c r="A154" s="336" t="s">
        <v>369</v>
      </c>
      <c r="B154" s="42" t="s">
        <v>370</v>
      </c>
      <c r="C154" s="364">
        <v>0</v>
      </c>
    </row>
    <row r="155" spans="1:3" ht="12.75">
      <c r="A155" s="365" t="s">
        <v>371</v>
      </c>
      <c r="B155" s="366" t="s">
        <v>372</v>
      </c>
      <c r="C155" s="364"/>
    </row>
    <row r="156" spans="1:3" ht="12.75">
      <c r="A156" s="308"/>
      <c r="B156" s="309"/>
      <c r="C156" s="367">
        <v>0</v>
      </c>
    </row>
    <row r="157" spans="1:3" ht="12.75">
      <c r="A157" s="368" t="s">
        <v>563</v>
      </c>
      <c r="B157" s="369"/>
      <c r="C157" s="370"/>
    </row>
    <row r="158" spans="1:3" ht="12.75">
      <c r="A158" s="368" t="s">
        <v>564</v>
      </c>
      <c r="B158" s="369"/>
      <c r="C158" s="37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50"/>
  </sheetPr>
  <dimension ref="A1:C83"/>
  <sheetViews>
    <sheetView zoomScale="120" zoomScaleNormal="120" zoomScalePageLayoutView="0" workbookViewId="0" topLeftCell="B1">
      <selection activeCell="C5" sqref="C5"/>
    </sheetView>
  </sheetViews>
  <sheetFormatPr defaultColWidth="9.00390625" defaultRowHeight="12.75"/>
  <cols>
    <col min="1" max="1" width="13.875" style="390" customWidth="1"/>
    <col min="2" max="2" width="79.125" style="391" customWidth="1"/>
    <col min="3" max="3" width="25.00390625" style="391" customWidth="1"/>
    <col min="4" max="16384" width="9.375" style="391" customWidth="1"/>
  </cols>
  <sheetData>
    <row r="1" spans="1:3" s="392" customFormat="1" ht="21" customHeight="1">
      <c r="A1" s="312"/>
      <c r="B1" s="313"/>
      <c r="C1" s="314" t="str">
        <f>CONCATENATE("9.2. melléklet ",ALAPADATOK!A7," ",ALAPADATOK!B7," ",ALAPADATOK!C7," ",ALAPADATOK!D7," ",ALAPADATOK!E7," ",ALAPADATOK!F7," ",ALAPADATOK!G7," ",ALAPADATOK!H7)</f>
        <v>9.2. melléklet a … / 2019 ( … ) önkormányzati rendelethez</v>
      </c>
    </row>
    <row r="2" spans="1:3" s="394" customFormat="1" ht="36">
      <c r="A2" s="316" t="s">
        <v>577</v>
      </c>
      <c r="B2" s="317" t="str">
        <f>CONCATENATE(ALAPADATOK!A11)</f>
        <v>Eleki Közös Önkormányzati Hivatal</v>
      </c>
      <c r="C2" s="393" t="s">
        <v>566</v>
      </c>
    </row>
    <row r="3" spans="1:3" s="394" customFormat="1" ht="24">
      <c r="A3" s="395" t="s">
        <v>537</v>
      </c>
      <c r="B3" s="321" t="s">
        <v>538</v>
      </c>
      <c r="C3" s="396" t="s">
        <v>536</v>
      </c>
    </row>
    <row r="4" spans="1:3" s="397" customFormat="1" ht="15.75" customHeight="1">
      <c r="A4" s="323"/>
      <c r="B4" s="321" t="s">
        <v>578</v>
      </c>
      <c r="C4" s="324" t="s">
        <v>111</v>
      </c>
    </row>
    <row r="5" spans="1:3" ht="12.75">
      <c r="A5" s="326" t="s">
        <v>539</v>
      </c>
      <c r="B5" s="327" t="s">
        <v>540</v>
      </c>
      <c r="C5" s="398" t="s">
        <v>541</v>
      </c>
    </row>
    <row r="6" spans="1:3" s="399" customFormat="1" ht="12.75" customHeight="1">
      <c r="A6" s="329"/>
      <c r="B6" s="330" t="s">
        <v>114</v>
      </c>
      <c r="C6" s="331" t="s">
        <v>115</v>
      </c>
    </row>
    <row r="7" spans="1:3" s="399" customFormat="1" ht="15.75" customHeight="1">
      <c r="A7" s="377"/>
      <c r="B7" s="378" t="s">
        <v>382</v>
      </c>
      <c r="C7" s="400"/>
    </row>
    <row r="8" spans="1:3" s="403" customFormat="1" ht="12" customHeight="1">
      <c r="A8" s="401" t="s">
        <v>116</v>
      </c>
      <c r="B8" s="402" t="s">
        <v>579</v>
      </c>
      <c r="C8" s="157">
        <f>SUM(C9:C19)</f>
        <v>465000</v>
      </c>
    </row>
    <row r="9" spans="1:3" s="403" customFormat="1" ht="12" customHeight="1">
      <c r="A9" s="404" t="s">
        <v>118</v>
      </c>
      <c r="B9" s="93" t="s">
        <v>177</v>
      </c>
      <c r="C9" s="405"/>
    </row>
    <row r="10" spans="1:3" s="403" customFormat="1" ht="12" customHeight="1">
      <c r="A10" s="406" t="s">
        <v>120</v>
      </c>
      <c r="B10" s="95" t="s">
        <v>179</v>
      </c>
      <c r="C10" s="146">
        <v>140000</v>
      </c>
    </row>
    <row r="11" spans="1:3" s="403" customFormat="1" ht="12" customHeight="1">
      <c r="A11" s="406" t="s">
        <v>122</v>
      </c>
      <c r="B11" s="95" t="s">
        <v>181</v>
      </c>
      <c r="C11" s="146">
        <v>320000</v>
      </c>
    </row>
    <row r="12" spans="1:3" s="403" customFormat="1" ht="12" customHeight="1">
      <c r="A12" s="406" t="s">
        <v>124</v>
      </c>
      <c r="B12" s="95" t="s">
        <v>183</v>
      </c>
      <c r="C12" s="146"/>
    </row>
    <row r="13" spans="1:3" s="403" customFormat="1" ht="12" customHeight="1">
      <c r="A13" s="406" t="s">
        <v>126</v>
      </c>
      <c r="B13" s="95" t="s">
        <v>185</v>
      </c>
      <c r="C13" s="146"/>
    </row>
    <row r="14" spans="1:3" s="403" customFormat="1" ht="12" customHeight="1">
      <c r="A14" s="406" t="s">
        <v>128</v>
      </c>
      <c r="B14" s="95" t="s">
        <v>580</v>
      </c>
      <c r="C14" s="146"/>
    </row>
    <row r="15" spans="1:3" s="403" customFormat="1" ht="12" customHeight="1">
      <c r="A15" s="406" t="s">
        <v>293</v>
      </c>
      <c r="B15" s="112" t="s">
        <v>581</v>
      </c>
      <c r="C15" s="146"/>
    </row>
    <row r="16" spans="1:3" s="403" customFormat="1" ht="12" customHeight="1">
      <c r="A16" s="406" t="s">
        <v>295</v>
      </c>
      <c r="B16" s="95" t="s">
        <v>582</v>
      </c>
      <c r="C16" s="161"/>
    </row>
    <row r="17" spans="1:3" s="407" customFormat="1" ht="12" customHeight="1">
      <c r="A17" s="406" t="s">
        <v>297</v>
      </c>
      <c r="B17" s="95" t="s">
        <v>193</v>
      </c>
      <c r="C17" s="146"/>
    </row>
    <row r="18" spans="1:3" s="407" customFormat="1" ht="12" customHeight="1">
      <c r="A18" s="406" t="s">
        <v>299</v>
      </c>
      <c r="B18" s="95" t="s">
        <v>195</v>
      </c>
      <c r="C18" s="153"/>
    </row>
    <row r="19" spans="1:3" s="407" customFormat="1" ht="12" customHeight="1">
      <c r="A19" s="406" t="s">
        <v>301</v>
      </c>
      <c r="B19" s="112" t="s">
        <v>197</v>
      </c>
      <c r="C19" s="153">
        <v>5000</v>
      </c>
    </row>
    <row r="20" spans="1:3" s="403" customFormat="1" ht="12" customHeight="1">
      <c r="A20" s="401" t="s">
        <v>130</v>
      </c>
      <c r="B20" s="402" t="s">
        <v>583</v>
      </c>
      <c r="C20" s="157">
        <f>SUM(C21:C23)</f>
        <v>0</v>
      </c>
    </row>
    <row r="21" spans="1:3" s="407" customFormat="1" ht="12" customHeight="1">
      <c r="A21" s="406" t="s">
        <v>132</v>
      </c>
      <c r="B21" s="111" t="s">
        <v>133</v>
      </c>
      <c r="C21" s="146"/>
    </row>
    <row r="22" spans="1:3" s="407" customFormat="1" ht="12" customHeight="1">
      <c r="A22" s="406" t="s">
        <v>134</v>
      </c>
      <c r="B22" s="95" t="s">
        <v>584</v>
      </c>
      <c r="C22" s="146"/>
    </row>
    <row r="23" spans="1:3" s="407" customFormat="1" ht="12" customHeight="1">
      <c r="A23" s="406" t="s">
        <v>136</v>
      </c>
      <c r="B23" s="95" t="s">
        <v>585</v>
      </c>
      <c r="C23" s="146"/>
    </row>
    <row r="24" spans="1:3" s="407" customFormat="1" ht="12" customHeight="1">
      <c r="A24" s="406" t="s">
        <v>138</v>
      </c>
      <c r="B24" s="95" t="s">
        <v>586</v>
      </c>
      <c r="C24" s="146"/>
    </row>
    <row r="25" spans="1:3" s="407" customFormat="1" ht="12" customHeight="1">
      <c r="A25" s="401" t="s">
        <v>144</v>
      </c>
      <c r="B25" s="42" t="s">
        <v>392</v>
      </c>
      <c r="C25" s="408"/>
    </row>
    <row r="26" spans="1:3" s="407" customFormat="1" ht="12" customHeight="1">
      <c r="A26" s="401" t="s">
        <v>341</v>
      </c>
      <c r="B26" s="42" t="s">
        <v>587</v>
      </c>
      <c r="C26" s="157">
        <f>+C27+C28+C29</f>
        <v>0</v>
      </c>
    </row>
    <row r="27" spans="1:3" s="407" customFormat="1" ht="12" customHeight="1">
      <c r="A27" s="409" t="s">
        <v>160</v>
      </c>
      <c r="B27" s="111" t="s">
        <v>147</v>
      </c>
      <c r="C27" s="142"/>
    </row>
    <row r="28" spans="1:3" s="407" customFormat="1" ht="12" customHeight="1">
      <c r="A28" s="409" t="s">
        <v>162</v>
      </c>
      <c r="B28" s="111" t="s">
        <v>584</v>
      </c>
      <c r="C28" s="146"/>
    </row>
    <row r="29" spans="1:3" s="407" customFormat="1" ht="12" customHeight="1">
      <c r="A29" s="409" t="s">
        <v>164</v>
      </c>
      <c r="B29" s="95" t="s">
        <v>588</v>
      </c>
      <c r="C29" s="146"/>
    </row>
    <row r="30" spans="1:3" s="407" customFormat="1" ht="12" customHeight="1">
      <c r="A30" s="406" t="s">
        <v>166</v>
      </c>
      <c r="B30" s="410" t="s">
        <v>589</v>
      </c>
      <c r="C30" s="411"/>
    </row>
    <row r="31" spans="1:3" s="407" customFormat="1" ht="12" customHeight="1">
      <c r="A31" s="401" t="s">
        <v>174</v>
      </c>
      <c r="B31" s="42" t="s">
        <v>590</v>
      </c>
      <c r="C31" s="157">
        <f>+C32+C33+C34</f>
        <v>0</v>
      </c>
    </row>
    <row r="32" spans="1:3" s="407" customFormat="1" ht="12" customHeight="1">
      <c r="A32" s="409" t="s">
        <v>176</v>
      </c>
      <c r="B32" s="111" t="s">
        <v>201</v>
      </c>
      <c r="C32" s="142"/>
    </row>
    <row r="33" spans="1:3" s="407" customFormat="1" ht="12" customHeight="1">
      <c r="A33" s="409" t="s">
        <v>178</v>
      </c>
      <c r="B33" s="95" t="s">
        <v>203</v>
      </c>
      <c r="C33" s="161"/>
    </row>
    <row r="34" spans="1:3" s="407" customFormat="1" ht="12" customHeight="1">
      <c r="A34" s="406" t="s">
        <v>180</v>
      </c>
      <c r="B34" s="410" t="s">
        <v>205</v>
      </c>
      <c r="C34" s="411"/>
    </row>
    <row r="35" spans="1:3" s="403" customFormat="1" ht="12" customHeight="1">
      <c r="A35" s="401" t="s">
        <v>198</v>
      </c>
      <c r="B35" s="42" t="s">
        <v>394</v>
      </c>
      <c r="C35" s="408"/>
    </row>
    <row r="36" spans="1:3" s="403" customFormat="1" ht="12" customHeight="1">
      <c r="A36" s="401" t="s">
        <v>358</v>
      </c>
      <c r="B36" s="42" t="s">
        <v>591</v>
      </c>
      <c r="C36" s="412"/>
    </row>
    <row r="37" spans="1:3" s="403" customFormat="1" ht="12" customHeight="1">
      <c r="A37" s="401" t="s">
        <v>220</v>
      </c>
      <c r="B37" s="42" t="s">
        <v>592</v>
      </c>
      <c r="C37" s="355">
        <f>+C8+C20+C25+C26+C31+C35+C36</f>
        <v>465000</v>
      </c>
    </row>
    <row r="38" spans="1:3" s="403" customFormat="1" ht="12" customHeight="1">
      <c r="A38" s="413" t="s">
        <v>367</v>
      </c>
      <c r="B38" s="42" t="s">
        <v>593</v>
      </c>
      <c r="C38" s="355">
        <f>+C39+C40+C41</f>
        <v>122712049</v>
      </c>
    </row>
    <row r="39" spans="1:3" s="403" customFormat="1" ht="12" customHeight="1">
      <c r="A39" s="409" t="s">
        <v>594</v>
      </c>
      <c r="B39" s="111" t="s">
        <v>449</v>
      </c>
      <c r="C39" s="142"/>
    </row>
    <row r="40" spans="1:3" s="403" customFormat="1" ht="12" customHeight="1">
      <c r="A40" s="409" t="s">
        <v>595</v>
      </c>
      <c r="B40" s="95" t="s">
        <v>596</v>
      </c>
      <c r="C40" s="161"/>
    </row>
    <row r="41" spans="1:3" s="407" customFormat="1" ht="12" customHeight="1">
      <c r="A41" s="406" t="s">
        <v>597</v>
      </c>
      <c r="B41" s="410" t="s">
        <v>598</v>
      </c>
      <c r="C41" s="411">
        <v>122712049</v>
      </c>
    </row>
    <row r="42" spans="1:3" s="407" customFormat="1" ht="15" customHeight="1">
      <c r="A42" s="413" t="s">
        <v>369</v>
      </c>
      <c r="B42" s="414" t="s">
        <v>599</v>
      </c>
      <c r="C42" s="355">
        <f>+C37+C38</f>
        <v>123177049</v>
      </c>
    </row>
    <row r="43" spans="1:3" s="407" customFormat="1" ht="15" customHeight="1">
      <c r="A43" s="350"/>
      <c r="B43" s="351"/>
      <c r="C43" s="352"/>
    </row>
    <row r="44" spans="1:3" ht="12.75">
      <c r="A44" s="415"/>
      <c r="B44" s="416"/>
      <c r="C44" s="417"/>
    </row>
    <row r="45" spans="1:3" s="399" customFormat="1" ht="16.5" customHeight="1">
      <c r="A45" s="353"/>
      <c r="B45" s="354" t="s">
        <v>383</v>
      </c>
      <c r="C45" s="355"/>
    </row>
    <row r="46" spans="1:3" s="418" customFormat="1" ht="12" customHeight="1">
      <c r="A46" s="401" t="s">
        <v>116</v>
      </c>
      <c r="B46" s="42" t="s">
        <v>600</v>
      </c>
      <c r="C46" s="157">
        <f>SUM(C47:C51)</f>
        <v>122542049</v>
      </c>
    </row>
    <row r="47" spans="1:3" ht="12" customHeight="1">
      <c r="A47" s="406" t="s">
        <v>118</v>
      </c>
      <c r="B47" s="111" t="s">
        <v>286</v>
      </c>
      <c r="C47" s="142">
        <v>88787078</v>
      </c>
    </row>
    <row r="48" spans="1:3" ht="12" customHeight="1">
      <c r="A48" s="406" t="s">
        <v>120</v>
      </c>
      <c r="B48" s="95" t="s">
        <v>287</v>
      </c>
      <c r="C48" s="146">
        <v>17509971</v>
      </c>
    </row>
    <row r="49" spans="1:3" ht="12" customHeight="1">
      <c r="A49" s="406" t="s">
        <v>122</v>
      </c>
      <c r="B49" s="95" t="s">
        <v>288</v>
      </c>
      <c r="C49" s="146">
        <v>16245000</v>
      </c>
    </row>
    <row r="50" spans="1:3" ht="12" customHeight="1">
      <c r="A50" s="406" t="s">
        <v>124</v>
      </c>
      <c r="B50" s="95" t="s">
        <v>289</v>
      </c>
      <c r="C50" s="146"/>
    </row>
    <row r="51" spans="1:3" ht="12" customHeight="1">
      <c r="A51" s="406" t="s">
        <v>126</v>
      </c>
      <c r="B51" s="95" t="s">
        <v>291</v>
      </c>
      <c r="C51" s="146"/>
    </row>
    <row r="52" spans="1:3" ht="12" customHeight="1">
      <c r="A52" s="401" t="s">
        <v>130</v>
      </c>
      <c r="B52" s="42" t="s">
        <v>601</v>
      </c>
      <c r="C52" s="157">
        <f>SUM(C53:C55)</f>
        <v>635000</v>
      </c>
    </row>
    <row r="53" spans="1:3" s="418" customFormat="1" ht="12" customHeight="1">
      <c r="A53" s="406" t="s">
        <v>132</v>
      </c>
      <c r="B53" s="111" t="s">
        <v>322</v>
      </c>
      <c r="C53" s="142">
        <v>635000</v>
      </c>
    </row>
    <row r="54" spans="1:3" ht="12" customHeight="1">
      <c r="A54" s="406" t="s">
        <v>134</v>
      </c>
      <c r="B54" s="95" t="s">
        <v>324</v>
      </c>
      <c r="C54" s="146"/>
    </row>
    <row r="55" spans="1:3" ht="12" customHeight="1">
      <c r="A55" s="406" t="s">
        <v>136</v>
      </c>
      <c r="B55" s="95" t="s">
        <v>602</v>
      </c>
      <c r="C55" s="146"/>
    </row>
    <row r="56" spans="1:3" ht="12" customHeight="1">
      <c r="A56" s="406" t="s">
        <v>138</v>
      </c>
      <c r="B56" s="95" t="s">
        <v>603</v>
      </c>
      <c r="C56" s="146"/>
    </row>
    <row r="57" spans="1:3" ht="12" customHeight="1">
      <c r="A57" s="401" t="s">
        <v>144</v>
      </c>
      <c r="B57" s="42" t="s">
        <v>604</v>
      </c>
      <c r="C57" s="408"/>
    </row>
    <row r="58" spans="1:3" ht="15" customHeight="1">
      <c r="A58" s="401" t="s">
        <v>341</v>
      </c>
      <c r="B58" s="419" t="s">
        <v>605</v>
      </c>
      <c r="C58" s="157">
        <f>+C46+C52+C57</f>
        <v>123177049</v>
      </c>
    </row>
    <row r="59" ht="12.75">
      <c r="C59" s="420">
        <f>C42-C58</f>
        <v>0</v>
      </c>
    </row>
    <row r="60" spans="1:3" ht="15" customHeight="1">
      <c r="A60" s="368" t="s">
        <v>563</v>
      </c>
      <c r="B60" s="369"/>
      <c r="C60" s="370">
        <v>23</v>
      </c>
    </row>
    <row r="61" spans="1:3" ht="14.25" customHeight="1">
      <c r="A61" s="368" t="s">
        <v>564</v>
      </c>
      <c r="B61" s="369"/>
      <c r="C61" s="370">
        <v>0</v>
      </c>
    </row>
    <row r="62" spans="1:3" ht="12.75">
      <c r="A62" s="421"/>
      <c r="B62" s="422"/>
      <c r="C62" s="422"/>
    </row>
    <row r="63" spans="1:2" ht="12.75">
      <c r="A63" s="421"/>
      <c r="B63" s="422"/>
    </row>
    <row r="64" spans="1:3" ht="12.75">
      <c r="A64" s="421"/>
      <c r="B64" s="422"/>
      <c r="C64" s="422"/>
    </row>
    <row r="65" spans="1:3" ht="12.75">
      <c r="A65" s="421"/>
      <c r="B65" s="422"/>
      <c r="C65" s="422"/>
    </row>
    <row r="66" spans="1:3" ht="12.75">
      <c r="A66" s="421"/>
      <c r="B66" s="422"/>
      <c r="C66" s="422"/>
    </row>
    <row r="67" spans="1:3" ht="12.75">
      <c r="A67" s="421"/>
      <c r="B67" s="422"/>
      <c r="C67" s="422"/>
    </row>
    <row r="68" spans="1:3" ht="12.75">
      <c r="A68" s="421"/>
      <c r="B68" s="422"/>
      <c r="C68" s="422"/>
    </row>
    <row r="69" spans="1:3" ht="12.75">
      <c r="A69" s="421"/>
      <c r="B69" s="422"/>
      <c r="C69" s="422"/>
    </row>
    <row r="70" spans="1:3" ht="12.75">
      <c r="A70" s="421"/>
      <c r="B70" s="422"/>
      <c r="C70" s="422"/>
    </row>
    <row r="71" spans="1:3" ht="12.75">
      <c r="A71" s="421"/>
      <c r="B71" s="422"/>
      <c r="C71" s="422"/>
    </row>
    <row r="72" spans="1:3" ht="12.75">
      <c r="A72" s="421"/>
      <c r="B72" s="422"/>
      <c r="C72" s="422"/>
    </row>
    <row r="73" spans="1:3" ht="12.75">
      <c r="A73" s="421"/>
      <c r="B73" s="422"/>
      <c r="C73" s="422"/>
    </row>
    <row r="74" spans="1:3" ht="12.75">
      <c r="A74" s="421"/>
      <c r="B74" s="422"/>
      <c r="C74" s="422"/>
    </row>
    <row r="75" spans="1:3" ht="12.75">
      <c r="A75" s="421"/>
      <c r="B75" s="422"/>
      <c r="C75" s="422"/>
    </row>
    <row r="76" spans="1:3" ht="12.75">
      <c r="A76" s="421"/>
      <c r="B76" s="422"/>
      <c r="C76" s="422"/>
    </row>
    <row r="77" spans="1:3" ht="12.75">
      <c r="A77" s="421"/>
      <c r="B77" s="422"/>
      <c r="C77" s="422"/>
    </row>
    <row r="78" spans="1:3" ht="12.75">
      <c r="A78" s="421"/>
      <c r="B78" s="422"/>
      <c r="C78" s="422"/>
    </row>
    <row r="79" spans="1:3" ht="12.75">
      <c r="A79" s="421"/>
      <c r="B79" s="422"/>
      <c r="C79" s="422"/>
    </row>
    <row r="80" spans="1:3" ht="12.75">
      <c r="A80" s="421"/>
      <c r="B80" s="422"/>
      <c r="C80" s="422"/>
    </row>
    <row r="81" spans="1:3" ht="12.75">
      <c r="A81" s="421"/>
      <c r="B81" s="422"/>
      <c r="C81" s="422"/>
    </row>
    <row r="82" spans="1:3" ht="12.75">
      <c r="A82" s="421"/>
      <c r="B82" s="422"/>
      <c r="C82" s="422"/>
    </row>
    <row r="83" spans="1:3" ht="12.75">
      <c r="A83" s="421"/>
      <c r="B83" s="422"/>
      <c r="C83" s="422"/>
    </row>
  </sheetData>
  <sheetProtection sheet="1" formatCells="0"/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5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50"/>
  </sheetPr>
  <dimension ref="A1:C60"/>
  <sheetViews>
    <sheetView zoomScale="120" zoomScaleNormal="120" zoomScalePageLayoutView="0" workbookViewId="0" topLeftCell="A1">
      <selection activeCell="C61" sqref="C61"/>
    </sheetView>
  </sheetViews>
  <sheetFormatPr defaultColWidth="9.00390625" defaultRowHeight="12.75"/>
  <cols>
    <col min="1" max="1" width="13.875" style="390" customWidth="1"/>
    <col min="2" max="2" width="79.125" style="391" customWidth="1"/>
    <col min="3" max="3" width="25.00390625" style="391" customWidth="1"/>
    <col min="4" max="16384" width="9.375" style="391" customWidth="1"/>
  </cols>
  <sheetData>
    <row r="1" spans="1:3" s="392" customFormat="1" ht="21" customHeight="1">
      <c r="A1" s="423"/>
      <c r="B1" s="424"/>
      <c r="C1" s="314" t="str">
        <f>CONCATENATE("9.3. melléklet ",ALAPADATOK!A7," ",ALAPADATOK!B7," ",ALAPADATOK!C7," ",ALAPADATOK!D7," ",ALAPADATOK!E7," ",ALAPADATOK!F7," ",ALAPADATOK!G7," ",ALAPADATOK!H7)</f>
        <v>9.3. melléklet a … / 2019 ( … ) önkormányzati rendelethez</v>
      </c>
    </row>
    <row r="2" spans="1:3" s="394" customFormat="1" ht="36">
      <c r="A2" s="425" t="s">
        <v>577</v>
      </c>
      <c r="B2" s="426" t="str">
        <f>CONCATENATE(ALAPADATOK!B13)</f>
        <v>Elek Város Óvoda-Bölcsőde</v>
      </c>
      <c r="C2" s="427" t="s">
        <v>570</v>
      </c>
    </row>
    <row r="3" spans="1:3" s="394" customFormat="1" ht="24">
      <c r="A3" s="428" t="s">
        <v>537</v>
      </c>
      <c r="B3" s="429" t="s">
        <v>538</v>
      </c>
      <c r="C3" s="430" t="s">
        <v>536</v>
      </c>
    </row>
    <row r="4" spans="1:3" s="397" customFormat="1" ht="15.75" customHeight="1">
      <c r="A4" s="431"/>
      <c r="B4" s="429" t="s">
        <v>578</v>
      </c>
      <c r="C4" s="432" t="s">
        <v>111</v>
      </c>
    </row>
    <row r="5" spans="1:3" ht="12.75">
      <c r="A5" s="433" t="s">
        <v>539</v>
      </c>
      <c r="B5" s="434" t="s">
        <v>540</v>
      </c>
      <c r="C5" s="435" t="s">
        <v>541</v>
      </c>
    </row>
    <row r="6" spans="1:3" s="399" customFormat="1" ht="12.75" customHeight="1">
      <c r="A6" s="401"/>
      <c r="B6" s="436" t="s">
        <v>114</v>
      </c>
      <c r="C6" s="437" t="s">
        <v>115</v>
      </c>
    </row>
    <row r="7" spans="1:3" s="399" customFormat="1" ht="15.75" customHeight="1">
      <c r="A7" s="377"/>
      <c r="B7" s="378" t="s">
        <v>382</v>
      </c>
      <c r="C7" s="400"/>
    </row>
    <row r="8" spans="1:3" s="403" customFormat="1" ht="12" customHeight="1">
      <c r="A8" s="401" t="s">
        <v>116</v>
      </c>
      <c r="B8" s="402" t="s">
        <v>579</v>
      </c>
      <c r="C8" s="157">
        <f>SUM(C9:C19)</f>
        <v>440000</v>
      </c>
    </row>
    <row r="9" spans="1:3" s="403" customFormat="1" ht="12" customHeight="1">
      <c r="A9" s="404" t="s">
        <v>118</v>
      </c>
      <c r="B9" s="93" t="s">
        <v>177</v>
      </c>
      <c r="C9" s="405"/>
    </row>
    <row r="10" spans="1:3" s="403" customFormat="1" ht="12" customHeight="1">
      <c r="A10" s="406" t="s">
        <v>120</v>
      </c>
      <c r="B10" s="95" t="s">
        <v>179</v>
      </c>
      <c r="C10" s="146"/>
    </row>
    <row r="11" spans="1:3" s="403" customFormat="1" ht="12" customHeight="1">
      <c r="A11" s="406" t="s">
        <v>122</v>
      </c>
      <c r="B11" s="95" t="s">
        <v>181</v>
      </c>
      <c r="C11" s="146"/>
    </row>
    <row r="12" spans="1:3" s="403" customFormat="1" ht="12" customHeight="1">
      <c r="A12" s="406" t="s">
        <v>124</v>
      </c>
      <c r="B12" s="95" t="s">
        <v>183</v>
      </c>
      <c r="C12" s="146"/>
    </row>
    <row r="13" spans="1:3" s="403" customFormat="1" ht="12" customHeight="1">
      <c r="A13" s="406" t="s">
        <v>126</v>
      </c>
      <c r="B13" s="95" t="s">
        <v>185</v>
      </c>
      <c r="C13" s="146">
        <v>434000</v>
      </c>
    </row>
    <row r="14" spans="1:3" s="403" customFormat="1" ht="12" customHeight="1">
      <c r="A14" s="406" t="s">
        <v>128</v>
      </c>
      <c r="B14" s="95" t="s">
        <v>580</v>
      </c>
      <c r="C14" s="146"/>
    </row>
    <row r="15" spans="1:3" s="403" customFormat="1" ht="12" customHeight="1">
      <c r="A15" s="406" t="s">
        <v>293</v>
      </c>
      <c r="B15" s="112" t="s">
        <v>581</v>
      </c>
      <c r="C15" s="146"/>
    </row>
    <row r="16" spans="1:3" s="403" customFormat="1" ht="12" customHeight="1">
      <c r="A16" s="406" t="s">
        <v>295</v>
      </c>
      <c r="B16" s="95" t="s">
        <v>582</v>
      </c>
      <c r="C16" s="161"/>
    </row>
    <row r="17" spans="1:3" s="407" customFormat="1" ht="12" customHeight="1">
      <c r="A17" s="406" t="s">
        <v>297</v>
      </c>
      <c r="B17" s="95" t="s">
        <v>193</v>
      </c>
      <c r="C17" s="146"/>
    </row>
    <row r="18" spans="1:3" s="407" customFormat="1" ht="12" customHeight="1">
      <c r="A18" s="406" t="s">
        <v>299</v>
      </c>
      <c r="B18" s="95" t="s">
        <v>195</v>
      </c>
      <c r="C18" s="153"/>
    </row>
    <row r="19" spans="1:3" s="407" customFormat="1" ht="12" customHeight="1">
      <c r="A19" s="406" t="s">
        <v>301</v>
      </c>
      <c r="B19" s="112" t="s">
        <v>197</v>
      </c>
      <c r="C19" s="153">
        <v>6000</v>
      </c>
    </row>
    <row r="20" spans="1:3" s="403" customFormat="1" ht="12" customHeight="1">
      <c r="A20" s="401" t="s">
        <v>130</v>
      </c>
      <c r="B20" s="402" t="s">
        <v>583</v>
      </c>
      <c r="C20" s="157">
        <f>SUM(C21:C23)</f>
        <v>0</v>
      </c>
    </row>
    <row r="21" spans="1:3" s="407" customFormat="1" ht="12" customHeight="1">
      <c r="A21" s="406" t="s">
        <v>132</v>
      </c>
      <c r="B21" s="111" t="s">
        <v>133</v>
      </c>
      <c r="C21" s="146"/>
    </row>
    <row r="22" spans="1:3" s="407" customFormat="1" ht="12" customHeight="1">
      <c r="A22" s="406" t="s">
        <v>134</v>
      </c>
      <c r="B22" s="95" t="s">
        <v>584</v>
      </c>
      <c r="C22" s="146"/>
    </row>
    <row r="23" spans="1:3" s="407" customFormat="1" ht="12" customHeight="1">
      <c r="A23" s="406" t="s">
        <v>136</v>
      </c>
      <c r="B23" s="95" t="s">
        <v>585</v>
      </c>
      <c r="C23" s="146"/>
    </row>
    <row r="24" spans="1:3" s="407" customFormat="1" ht="12" customHeight="1">
      <c r="A24" s="406" t="s">
        <v>138</v>
      </c>
      <c r="B24" s="95" t="s">
        <v>606</v>
      </c>
      <c r="C24" s="146"/>
    </row>
    <row r="25" spans="1:3" s="407" customFormat="1" ht="12" customHeight="1">
      <c r="A25" s="401" t="s">
        <v>144</v>
      </c>
      <c r="B25" s="42" t="s">
        <v>392</v>
      </c>
      <c r="C25" s="408"/>
    </row>
    <row r="26" spans="1:3" s="407" customFormat="1" ht="12" customHeight="1">
      <c r="A26" s="401" t="s">
        <v>341</v>
      </c>
      <c r="B26" s="42" t="s">
        <v>607</v>
      </c>
      <c r="C26" s="157">
        <f>+C27+C28</f>
        <v>0</v>
      </c>
    </row>
    <row r="27" spans="1:3" s="407" customFormat="1" ht="12" customHeight="1">
      <c r="A27" s="409" t="s">
        <v>160</v>
      </c>
      <c r="B27" s="111" t="s">
        <v>584</v>
      </c>
      <c r="C27" s="142"/>
    </row>
    <row r="28" spans="1:3" s="407" customFormat="1" ht="12" customHeight="1">
      <c r="A28" s="409" t="s">
        <v>162</v>
      </c>
      <c r="B28" s="95" t="s">
        <v>588</v>
      </c>
      <c r="C28" s="161"/>
    </row>
    <row r="29" spans="1:3" s="407" customFormat="1" ht="12" customHeight="1">
      <c r="A29" s="406" t="s">
        <v>164</v>
      </c>
      <c r="B29" s="410" t="s">
        <v>608</v>
      </c>
      <c r="C29" s="411"/>
    </row>
    <row r="30" spans="1:3" s="407" customFormat="1" ht="12" customHeight="1">
      <c r="A30" s="401" t="s">
        <v>174</v>
      </c>
      <c r="B30" s="42" t="s">
        <v>590</v>
      </c>
      <c r="C30" s="157">
        <f>+C31+C32+C33</f>
        <v>0</v>
      </c>
    </row>
    <row r="31" spans="1:3" s="407" customFormat="1" ht="12" customHeight="1">
      <c r="A31" s="409" t="s">
        <v>176</v>
      </c>
      <c r="B31" s="111" t="s">
        <v>201</v>
      </c>
      <c r="C31" s="142"/>
    </row>
    <row r="32" spans="1:3" s="407" customFormat="1" ht="12" customHeight="1">
      <c r="A32" s="409" t="s">
        <v>178</v>
      </c>
      <c r="B32" s="95" t="s">
        <v>203</v>
      </c>
      <c r="C32" s="161"/>
    </row>
    <row r="33" spans="1:3" s="407" customFormat="1" ht="12" customHeight="1">
      <c r="A33" s="406" t="s">
        <v>180</v>
      </c>
      <c r="B33" s="410" t="s">
        <v>205</v>
      </c>
      <c r="C33" s="411"/>
    </row>
    <row r="34" spans="1:3" s="403" customFormat="1" ht="12" customHeight="1">
      <c r="A34" s="401" t="s">
        <v>198</v>
      </c>
      <c r="B34" s="42" t="s">
        <v>394</v>
      </c>
      <c r="C34" s="408"/>
    </row>
    <row r="35" spans="1:3" s="403" customFormat="1" ht="12" customHeight="1">
      <c r="A35" s="401" t="s">
        <v>358</v>
      </c>
      <c r="B35" s="42" t="s">
        <v>591</v>
      </c>
      <c r="C35" s="412"/>
    </row>
    <row r="36" spans="1:3" s="403" customFormat="1" ht="12" customHeight="1">
      <c r="A36" s="401" t="s">
        <v>220</v>
      </c>
      <c r="B36" s="42" t="s">
        <v>609</v>
      </c>
      <c r="C36" s="355">
        <f>+C8+C20+C25+C26+C30+C34+C35</f>
        <v>440000</v>
      </c>
    </row>
    <row r="37" spans="1:3" s="403" customFormat="1" ht="12" customHeight="1">
      <c r="A37" s="413" t="s">
        <v>367</v>
      </c>
      <c r="B37" s="42" t="s">
        <v>593</v>
      </c>
      <c r="C37" s="355">
        <f>+C38+C39+C40</f>
        <v>101941315</v>
      </c>
    </row>
    <row r="38" spans="1:3" s="403" customFormat="1" ht="12" customHeight="1">
      <c r="A38" s="409" t="s">
        <v>594</v>
      </c>
      <c r="B38" s="111" t="s">
        <v>449</v>
      </c>
      <c r="C38" s="142"/>
    </row>
    <row r="39" spans="1:3" s="403" customFormat="1" ht="12" customHeight="1">
      <c r="A39" s="409" t="s">
        <v>595</v>
      </c>
      <c r="B39" s="95" t="s">
        <v>596</v>
      </c>
      <c r="C39" s="161"/>
    </row>
    <row r="40" spans="1:3" s="407" customFormat="1" ht="12" customHeight="1">
      <c r="A40" s="406" t="s">
        <v>597</v>
      </c>
      <c r="B40" s="410" t="s">
        <v>598</v>
      </c>
      <c r="C40" s="411">
        <v>101941315</v>
      </c>
    </row>
    <row r="41" spans="1:3" s="407" customFormat="1" ht="15" customHeight="1">
      <c r="A41" s="413" t="s">
        <v>369</v>
      </c>
      <c r="B41" s="414" t="s">
        <v>599</v>
      </c>
      <c r="C41" s="355">
        <f>+C36+C37</f>
        <v>102381315</v>
      </c>
    </row>
    <row r="42" spans="1:3" s="407" customFormat="1" ht="15" customHeight="1">
      <c r="A42" s="350"/>
      <c r="B42" s="351"/>
      <c r="C42" s="352"/>
    </row>
    <row r="43" spans="1:3" ht="12.75">
      <c r="A43" s="415"/>
      <c r="B43" s="416"/>
      <c r="C43" s="417"/>
    </row>
    <row r="44" spans="1:3" s="399" customFormat="1" ht="16.5" customHeight="1">
      <c r="A44" s="353"/>
      <c r="B44" s="354" t="s">
        <v>383</v>
      </c>
      <c r="C44" s="355"/>
    </row>
    <row r="45" spans="1:3" s="418" customFormat="1" ht="12" customHeight="1">
      <c r="A45" s="401" t="s">
        <v>116</v>
      </c>
      <c r="B45" s="42" t="s">
        <v>600</v>
      </c>
      <c r="C45" s="157">
        <f>SUM(C46:C50)</f>
        <v>102214315</v>
      </c>
    </row>
    <row r="46" spans="1:3" ht="12" customHeight="1">
      <c r="A46" s="406" t="s">
        <v>118</v>
      </c>
      <c r="B46" s="111" t="s">
        <v>286</v>
      </c>
      <c r="C46" s="142">
        <v>78069001</v>
      </c>
    </row>
    <row r="47" spans="1:3" ht="12" customHeight="1">
      <c r="A47" s="406" t="s">
        <v>120</v>
      </c>
      <c r="B47" s="95" t="s">
        <v>287</v>
      </c>
      <c r="C47" s="146">
        <v>15221314</v>
      </c>
    </row>
    <row r="48" spans="1:3" ht="12" customHeight="1">
      <c r="A48" s="406" t="s">
        <v>122</v>
      </c>
      <c r="B48" s="95" t="s">
        <v>288</v>
      </c>
      <c r="C48" s="146">
        <v>8924000</v>
      </c>
    </row>
    <row r="49" spans="1:3" ht="12" customHeight="1">
      <c r="A49" s="406" t="s">
        <v>124</v>
      </c>
      <c r="B49" s="95" t="s">
        <v>289</v>
      </c>
      <c r="C49" s="146"/>
    </row>
    <row r="50" spans="1:3" ht="12" customHeight="1">
      <c r="A50" s="406" t="s">
        <v>126</v>
      </c>
      <c r="B50" s="95" t="s">
        <v>291</v>
      </c>
      <c r="C50" s="146"/>
    </row>
    <row r="51" spans="1:3" ht="12" customHeight="1">
      <c r="A51" s="401" t="s">
        <v>130</v>
      </c>
      <c r="B51" s="42" t="s">
        <v>601</v>
      </c>
      <c r="C51" s="157">
        <f>SUM(C52:C54)</f>
        <v>167000</v>
      </c>
    </row>
    <row r="52" spans="1:3" s="418" customFormat="1" ht="12" customHeight="1">
      <c r="A52" s="406" t="s">
        <v>132</v>
      </c>
      <c r="B52" s="111" t="s">
        <v>322</v>
      </c>
      <c r="C52" s="142">
        <v>167000</v>
      </c>
    </row>
    <row r="53" spans="1:3" ht="12" customHeight="1">
      <c r="A53" s="406" t="s">
        <v>134</v>
      </c>
      <c r="B53" s="95" t="s">
        <v>324</v>
      </c>
      <c r="C53" s="146"/>
    </row>
    <row r="54" spans="1:3" ht="12" customHeight="1">
      <c r="A54" s="406" t="s">
        <v>136</v>
      </c>
      <c r="B54" s="95" t="s">
        <v>602</v>
      </c>
      <c r="C54" s="146"/>
    </row>
    <row r="55" spans="1:3" ht="12" customHeight="1">
      <c r="A55" s="406" t="s">
        <v>138</v>
      </c>
      <c r="B55" s="95" t="s">
        <v>603</v>
      </c>
      <c r="C55" s="146"/>
    </row>
    <row r="56" spans="1:3" ht="15" customHeight="1">
      <c r="A56" s="401" t="s">
        <v>144</v>
      </c>
      <c r="B56" s="42" t="s">
        <v>604</v>
      </c>
      <c r="C56" s="408"/>
    </row>
    <row r="57" spans="1:3" ht="12.75">
      <c r="A57" s="401" t="s">
        <v>341</v>
      </c>
      <c r="B57" s="419" t="s">
        <v>605</v>
      </c>
      <c r="C57" s="157">
        <f>+C45+C51+C56</f>
        <v>102381315</v>
      </c>
    </row>
    <row r="58" ht="15" customHeight="1">
      <c r="C58" s="420">
        <f>C41-C57</f>
        <v>0</v>
      </c>
    </row>
    <row r="59" spans="1:3" ht="14.25" customHeight="1">
      <c r="A59" s="368" t="s">
        <v>563</v>
      </c>
      <c r="B59" s="369"/>
      <c r="C59" s="370">
        <v>23</v>
      </c>
    </row>
    <row r="60" spans="1:3" ht="12.75">
      <c r="A60" s="368" t="s">
        <v>564</v>
      </c>
      <c r="B60" s="369"/>
      <c r="C60" s="370">
        <v>0</v>
      </c>
    </row>
  </sheetData>
  <sheetProtection selectLockedCells="1" selectUnlockedCells="1"/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5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50"/>
  </sheetPr>
  <dimension ref="A1:C60"/>
  <sheetViews>
    <sheetView zoomScale="120" zoomScaleNormal="120" zoomScalePageLayoutView="0" workbookViewId="0" topLeftCell="A1">
      <selection activeCell="C40" sqref="C40"/>
    </sheetView>
  </sheetViews>
  <sheetFormatPr defaultColWidth="9.00390625" defaultRowHeight="12.75"/>
  <cols>
    <col min="1" max="1" width="13.875" style="390" customWidth="1"/>
    <col min="2" max="2" width="79.125" style="391" customWidth="1"/>
    <col min="3" max="3" width="25.00390625" style="391" customWidth="1"/>
    <col min="4" max="16384" width="9.375" style="391" customWidth="1"/>
  </cols>
  <sheetData>
    <row r="1" spans="1:3" s="392" customFormat="1" ht="21" customHeight="1">
      <c r="A1" s="423"/>
      <c r="B1" s="424"/>
      <c r="C1" s="314" t="str">
        <f>CONCATENATE("9.4. melléklet ",ALAPADATOK!A7," ",ALAPADATOK!B7," ",ALAPADATOK!C7," ",ALAPADATOK!D7," ",ALAPADATOK!E7," ",ALAPADATOK!F7," ",ALAPADATOK!G7," ",ALAPADATOK!H7)</f>
        <v>9.4. melléklet a … / 2019 ( … ) önkormányzati rendelethez</v>
      </c>
    </row>
    <row r="2" spans="1:3" s="394" customFormat="1" ht="36">
      <c r="A2" s="425" t="s">
        <v>577</v>
      </c>
      <c r="B2" s="438" t="str">
        <f>CONCATENATE(ALAPADATOK!B15)</f>
        <v>Reibel Mihály Városi Művelődési Központ és Könyvtár</v>
      </c>
      <c r="C2" s="427" t="s">
        <v>610</v>
      </c>
    </row>
    <row r="3" spans="1:3" s="394" customFormat="1" ht="24">
      <c r="A3" s="428" t="s">
        <v>537</v>
      </c>
      <c r="B3" s="429" t="s">
        <v>538</v>
      </c>
      <c r="C3" s="430" t="s">
        <v>536</v>
      </c>
    </row>
    <row r="4" spans="1:3" s="397" customFormat="1" ht="15.75" customHeight="1">
      <c r="A4" s="431"/>
      <c r="B4" s="431"/>
      <c r="C4" s="432" t="s">
        <v>111</v>
      </c>
    </row>
    <row r="5" spans="1:3" ht="12.75">
      <c r="A5" s="433" t="s">
        <v>539</v>
      </c>
      <c r="B5" s="434" t="s">
        <v>540</v>
      </c>
      <c r="C5" s="435" t="s">
        <v>541</v>
      </c>
    </row>
    <row r="6" spans="1:3" s="399" customFormat="1" ht="12.75" customHeight="1">
      <c r="A6" s="401"/>
      <c r="B6" s="436" t="s">
        <v>114</v>
      </c>
      <c r="C6" s="437" t="s">
        <v>115</v>
      </c>
    </row>
    <row r="7" spans="1:3" s="399" customFormat="1" ht="15.75" customHeight="1">
      <c r="A7" s="377"/>
      <c r="B7" s="378" t="s">
        <v>382</v>
      </c>
      <c r="C7" s="400"/>
    </row>
    <row r="8" spans="1:3" s="403" customFormat="1" ht="12" customHeight="1">
      <c r="A8" s="401" t="s">
        <v>116</v>
      </c>
      <c r="B8" s="402" t="s">
        <v>579</v>
      </c>
      <c r="C8" s="157">
        <f>SUM(C9:C19)</f>
        <v>1525000</v>
      </c>
    </row>
    <row r="9" spans="1:3" s="403" customFormat="1" ht="12" customHeight="1">
      <c r="A9" s="404" t="s">
        <v>118</v>
      </c>
      <c r="B9" s="93" t="s">
        <v>177</v>
      </c>
      <c r="C9" s="405"/>
    </row>
    <row r="10" spans="1:3" s="403" customFormat="1" ht="12" customHeight="1">
      <c r="A10" s="406" t="s">
        <v>120</v>
      </c>
      <c r="B10" s="95" t="s">
        <v>179</v>
      </c>
      <c r="C10" s="146">
        <v>1070000</v>
      </c>
    </row>
    <row r="11" spans="1:3" s="403" customFormat="1" ht="12" customHeight="1">
      <c r="A11" s="406" t="s">
        <v>122</v>
      </c>
      <c r="B11" s="95" t="s">
        <v>181</v>
      </c>
      <c r="C11" s="146"/>
    </row>
    <row r="12" spans="1:3" s="403" customFormat="1" ht="12" customHeight="1">
      <c r="A12" s="406" t="s">
        <v>124</v>
      </c>
      <c r="B12" s="95" t="s">
        <v>183</v>
      </c>
      <c r="C12" s="146">
        <v>450000</v>
      </c>
    </row>
    <row r="13" spans="1:3" s="403" customFormat="1" ht="12" customHeight="1">
      <c r="A13" s="406" t="s">
        <v>126</v>
      </c>
      <c r="B13" s="95" t="s">
        <v>185</v>
      </c>
      <c r="C13" s="146"/>
    </row>
    <row r="14" spans="1:3" s="403" customFormat="1" ht="12" customHeight="1">
      <c r="A14" s="406" t="s">
        <v>128</v>
      </c>
      <c r="B14" s="95" t="s">
        <v>580</v>
      </c>
      <c r="C14" s="146"/>
    </row>
    <row r="15" spans="1:3" s="403" customFormat="1" ht="12" customHeight="1">
      <c r="A15" s="406" t="s">
        <v>293</v>
      </c>
      <c r="B15" s="112" t="s">
        <v>581</v>
      </c>
      <c r="C15" s="146"/>
    </row>
    <row r="16" spans="1:3" s="403" customFormat="1" ht="12" customHeight="1">
      <c r="A16" s="406" t="s">
        <v>295</v>
      </c>
      <c r="B16" s="95" t="s">
        <v>582</v>
      </c>
      <c r="C16" s="161"/>
    </row>
    <row r="17" spans="1:3" s="407" customFormat="1" ht="12" customHeight="1">
      <c r="A17" s="406" t="s">
        <v>297</v>
      </c>
      <c r="B17" s="95" t="s">
        <v>193</v>
      </c>
      <c r="C17" s="146"/>
    </row>
    <row r="18" spans="1:3" s="407" customFormat="1" ht="12" customHeight="1">
      <c r="A18" s="406" t="s">
        <v>299</v>
      </c>
      <c r="B18" s="95" t="s">
        <v>195</v>
      </c>
      <c r="C18" s="153"/>
    </row>
    <row r="19" spans="1:3" s="407" customFormat="1" ht="12" customHeight="1">
      <c r="A19" s="406" t="s">
        <v>301</v>
      </c>
      <c r="B19" s="112" t="s">
        <v>197</v>
      </c>
      <c r="C19" s="153">
        <v>5000</v>
      </c>
    </row>
    <row r="20" spans="1:3" s="403" customFormat="1" ht="12" customHeight="1">
      <c r="A20" s="401" t="s">
        <v>130</v>
      </c>
      <c r="B20" s="402" t="s">
        <v>583</v>
      </c>
      <c r="C20" s="157">
        <f>SUM(C21:C23)</f>
        <v>0</v>
      </c>
    </row>
    <row r="21" spans="1:3" s="407" customFormat="1" ht="12" customHeight="1">
      <c r="A21" s="406" t="s">
        <v>132</v>
      </c>
      <c r="B21" s="111" t="s">
        <v>133</v>
      </c>
      <c r="C21" s="146"/>
    </row>
    <row r="22" spans="1:3" s="407" customFormat="1" ht="12" customHeight="1">
      <c r="A22" s="406" t="s">
        <v>134</v>
      </c>
      <c r="B22" s="95" t="s">
        <v>584</v>
      </c>
      <c r="C22" s="146"/>
    </row>
    <row r="23" spans="1:3" s="407" customFormat="1" ht="12" customHeight="1">
      <c r="A23" s="406" t="s">
        <v>136</v>
      </c>
      <c r="B23" s="95" t="s">
        <v>585</v>
      </c>
      <c r="C23" s="146"/>
    </row>
    <row r="24" spans="1:3" s="407" customFormat="1" ht="12" customHeight="1">
      <c r="A24" s="406" t="s">
        <v>138</v>
      </c>
      <c r="B24" s="95" t="s">
        <v>606</v>
      </c>
      <c r="C24" s="146"/>
    </row>
    <row r="25" spans="1:3" s="407" customFormat="1" ht="12" customHeight="1">
      <c r="A25" s="401" t="s">
        <v>144</v>
      </c>
      <c r="B25" s="42" t="s">
        <v>392</v>
      </c>
      <c r="C25" s="408"/>
    </row>
    <row r="26" spans="1:3" s="407" customFormat="1" ht="12" customHeight="1">
      <c r="A26" s="401" t="s">
        <v>341</v>
      </c>
      <c r="B26" s="42" t="s">
        <v>607</v>
      </c>
      <c r="C26" s="157">
        <f>+C27+C28</f>
        <v>0</v>
      </c>
    </row>
    <row r="27" spans="1:3" s="407" customFormat="1" ht="12" customHeight="1">
      <c r="A27" s="409" t="s">
        <v>160</v>
      </c>
      <c r="B27" s="111" t="s">
        <v>584</v>
      </c>
      <c r="C27" s="142"/>
    </row>
    <row r="28" spans="1:3" s="407" customFormat="1" ht="12" customHeight="1">
      <c r="A28" s="409" t="s">
        <v>162</v>
      </c>
      <c r="B28" s="95" t="s">
        <v>588</v>
      </c>
      <c r="C28" s="161"/>
    </row>
    <row r="29" spans="1:3" s="407" customFormat="1" ht="12" customHeight="1">
      <c r="A29" s="406" t="s">
        <v>164</v>
      </c>
      <c r="B29" s="410" t="s">
        <v>608</v>
      </c>
      <c r="C29" s="411"/>
    </row>
    <row r="30" spans="1:3" s="407" customFormat="1" ht="12" customHeight="1">
      <c r="A30" s="401" t="s">
        <v>174</v>
      </c>
      <c r="B30" s="42" t="s">
        <v>590</v>
      </c>
      <c r="C30" s="157">
        <f>+C31+C32+C33</f>
        <v>0</v>
      </c>
    </row>
    <row r="31" spans="1:3" s="407" customFormat="1" ht="12" customHeight="1">
      <c r="A31" s="409" t="s">
        <v>176</v>
      </c>
      <c r="B31" s="111" t="s">
        <v>201</v>
      </c>
      <c r="C31" s="142"/>
    </row>
    <row r="32" spans="1:3" s="407" customFormat="1" ht="12" customHeight="1">
      <c r="A32" s="409" t="s">
        <v>178</v>
      </c>
      <c r="B32" s="95" t="s">
        <v>203</v>
      </c>
      <c r="C32" s="161"/>
    </row>
    <row r="33" spans="1:3" s="407" customFormat="1" ht="12" customHeight="1">
      <c r="A33" s="406" t="s">
        <v>180</v>
      </c>
      <c r="B33" s="410" t="s">
        <v>205</v>
      </c>
      <c r="C33" s="411"/>
    </row>
    <row r="34" spans="1:3" s="403" customFormat="1" ht="12" customHeight="1">
      <c r="A34" s="401" t="s">
        <v>198</v>
      </c>
      <c r="B34" s="42" t="s">
        <v>394</v>
      </c>
      <c r="C34" s="408"/>
    </row>
    <row r="35" spans="1:3" s="403" customFormat="1" ht="12" customHeight="1">
      <c r="A35" s="401" t="s">
        <v>358</v>
      </c>
      <c r="B35" s="42" t="s">
        <v>591</v>
      </c>
      <c r="C35" s="412"/>
    </row>
    <row r="36" spans="1:3" s="403" customFormat="1" ht="12" customHeight="1">
      <c r="A36" s="401" t="s">
        <v>220</v>
      </c>
      <c r="B36" s="42" t="s">
        <v>609</v>
      </c>
      <c r="C36" s="355">
        <f>+C8+C20+C25+C26+C30+C34+C35</f>
        <v>1525000</v>
      </c>
    </row>
    <row r="37" spans="1:3" s="403" customFormat="1" ht="12" customHeight="1">
      <c r="A37" s="413" t="s">
        <v>367</v>
      </c>
      <c r="B37" s="42" t="s">
        <v>593</v>
      </c>
      <c r="C37" s="355">
        <f>+C38+C39+C40</f>
        <v>21833474</v>
      </c>
    </row>
    <row r="38" spans="1:3" s="403" customFormat="1" ht="12" customHeight="1">
      <c r="A38" s="409" t="s">
        <v>594</v>
      </c>
      <c r="B38" s="111" t="s">
        <v>449</v>
      </c>
      <c r="C38" s="142">
        <v>11614220</v>
      </c>
    </row>
    <row r="39" spans="1:3" s="403" customFormat="1" ht="12" customHeight="1">
      <c r="A39" s="409" t="s">
        <v>595</v>
      </c>
      <c r="B39" s="95" t="s">
        <v>596</v>
      </c>
      <c r="C39" s="161"/>
    </row>
    <row r="40" spans="1:3" s="407" customFormat="1" ht="12" customHeight="1">
      <c r="A40" s="406" t="s">
        <v>597</v>
      </c>
      <c r="B40" s="410" t="s">
        <v>598</v>
      </c>
      <c r="C40" s="411">
        <v>10219254</v>
      </c>
    </row>
    <row r="41" spans="1:3" s="407" customFormat="1" ht="15" customHeight="1">
      <c r="A41" s="413" t="s">
        <v>369</v>
      </c>
      <c r="B41" s="414" t="s">
        <v>599</v>
      </c>
      <c r="C41" s="355">
        <f>+C36+C37</f>
        <v>23358474</v>
      </c>
    </row>
    <row r="42" spans="1:3" s="407" customFormat="1" ht="15" customHeight="1">
      <c r="A42" s="350"/>
      <c r="B42" s="351"/>
      <c r="C42" s="352"/>
    </row>
    <row r="43" spans="1:3" ht="12.75">
      <c r="A43" s="415"/>
      <c r="B43" s="416"/>
      <c r="C43" s="417"/>
    </row>
    <row r="44" spans="1:3" s="399" customFormat="1" ht="16.5" customHeight="1">
      <c r="A44" s="353"/>
      <c r="B44" s="354" t="s">
        <v>383</v>
      </c>
      <c r="C44" s="355"/>
    </row>
    <row r="45" spans="1:3" s="418" customFormat="1" ht="12" customHeight="1">
      <c r="A45" s="401" t="s">
        <v>116</v>
      </c>
      <c r="B45" s="42" t="s">
        <v>600</v>
      </c>
      <c r="C45" s="157">
        <f>SUM(C46:C50)</f>
        <v>23358474</v>
      </c>
    </row>
    <row r="46" spans="1:3" ht="12" customHeight="1">
      <c r="A46" s="406" t="s">
        <v>118</v>
      </c>
      <c r="B46" s="111" t="s">
        <v>286</v>
      </c>
      <c r="C46" s="142">
        <v>8484673</v>
      </c>
    </row>
    <row r="47" spans="1:3" ht="12" customHeight="1">
      <c r="A47" s="406" t="s">
        <v>120</v>
      </c>
      <c r="B47" s="95" t="s">
        <v>287</v>
      </c>
      <c r="C47" s="146">
        <v>1580508</v>
      </c>
    </row>
    <row r="48" spans="1:3" ht="12" customHeight="1">
      <c r="A48" s="406" t="s">
        <v>122</v>
      </c>
      <c r="B48" s="95" t="s">
        <v>288</v>
      </c>
      <c r="C48" s="146">
        <v>13293293</v>
      </c>
    </row>
    <row r="49" spans="1:3" ht="12" customHeight="1">
      <c r="A49" s="406" t="s">
        <v>124</v>
      </c>
      <c r="B49" s="95" t="s">
        <v>289</v>
      </c>
      <c r="C49" s="146"/>
    </row>
    <row r="50" spans="1:3" ht="12" customHeight="1">
      <c r="A50" s="406" t="s">
        <v>126</v>
      </c>
      <c r="B50" s="95" t="s">
        <v>291</v>
      </c>
      <c r="C50" s="146"/>
    </row>
    <row r="51" spans="1:3" ht="12" customHeight="1">
      <c r="A51" s="401" t="s">
        <v>130</v>
      </c>
      <c r="B51" s="42" t="s">
        <v>601</v>
      </c>
      <c r="C51" s="157">
        <f>SUM(C52:C54)</f>
        <v>0</v>
      </c>
    </row>
    <row r="52" spans="1:3" s="418" customFormat="1" ht="12" customHeight="1">
      <c r="A52" s="406" t="s">
        <v>132</v>
      </c>
      <c r="B52" s="111" t="s">
        <v>322</v>
      </c>
      <c r="C52" s="142"/>
    </row>
    <row r="53" spans="1:3" ht="12" customHeight="1">
      <c r="A53" s="406" t="s">
        <v>134</v>
      </c>
      <c r="B53" s="95" t="s">
        <v>324</v>
      </c>
      <c r="C53" s="146"/>
    </row>
    <row r="54" spans="1:3" ht="12" customHeight="1">
      <c r="A54" s="406" t="s">
        <v>136</v>
      </c>
      <c r="B54" s="95" t="s">
        <v>602</v>
      </c>
      <c r="C54" s="146"/>
    </row>
    <row r="55" spans="1:3" ht="12" customHeight="1">
      <c r="A55" s="406" t="s">
        <v>138</v>
      </c>
      <c r="B55" s="95" t="s">
        <v>603</v>
      </c>
      <c r="C55" s="146"/>
    </row>
    <row r="56" spans="1:3" ht="15" customHeight="1">
      <c r="A56" s="401" t="s">
        <v>144</v>
      </c>
      <c r="B56" s="42" t="s">
        <v>604</v>
      </c>
      <c r="C56" s="408"/>
    </row>
    <row r="57" spans="1:3" ht="12.75">
      <c r="A57" s="401" t="s">
        <v>341</v>
      </c>
      <c r="B57" s="419" t="s">
        <v>605</v>
      </c>
      <c r="C57" s="157">
        <f>+C45+C51+C56</f>
        <v>23358474</v>
      </c>
    </row>
    <row r="58" ht="15" customHeight="1">
      <c r="C58" s="420">
        <f>C41-C57</f>
        <v>0</v>
      </c>
    </row>
    <row r="59" spans="1:3" ht="14.25" customHeight="1">
      <c r="A59" s="368" t="s">
        <v>563</v>
      </c>
      <c r="B59" s="369"/>
      <c r="C59" s="370">
        <v>2</v>
      </c>
    </row>
    <row r="60" spans="1:3" ht="12.75">
      <c r="A60" s="368" t="s">
        <v>564</v>
      </c>
      <c r="B60" s="369"/>
      <c r="C60" s="370">
        <v>0</v>
      </c>
    </row>
  </sheetData>
  <sheetProtection selectLockedCells="1" selectUnlockedCells="1"/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5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50"/>
  </sheetPr>
  <dimension ref="A1:C60"/>
  <sheetViews>
    <sheetView zoomScale="120" zoomScaleNormal="120" zoomScalePageLayoutView="0" workbookViewId="0" topLeftCell="A1">
      <selection activeCell="C49" sqref="C49"/>
    </sheetView>
  </sheetViews>
  <sheetFormatPr defaultColWidth="9.00390625" defaultRowHeight="12.75"/>
  <cols>
    <col min="1" max="1" width="13.875" style="390" customWidth="1"/>
    <col min="2" max="2" width="79.125" style="391" customWidth="1"/>
    <col min="3" max="3" width="25.00390625" style="391" customWidth="1"/>
    <col min="4" max="16384" width="9.375" style="391" customWidth="1"/>
  </cols>
  <sheetData>
    <row r="1" spans="1:3" s="392" customFormat="1" ht="21" customHeight="1">
      <c r="A1" s="423"/>
      <c r="B1" s="424"/>
      <c r="C1" s="314" t="str">
        <f>CONCATENATE("9.4.1. melléklet ",ALAPADATOK!A7," ",ALAPADATOK!B7," ",ALAPADATOK!C7," ",ALAPADATOK!D7," ",ALAPADATOK!E7," ",ALAPADATOK!F7," ",ALAPADATOK!G7," ",ALAPADATOK!H7)</f>
        <v>9.4.1. melléklet a … / 2019 ( … ) önkormányzati rendelethez</v>
      </c>
    </row>
    <row r="2" spans="1:3" s="394" customFormat="1" ht="36">
      <c r="A2" s="425" t="s">
        <v>577</v>
      </c>
      <c r="B2" s="438" t="str">
        <f>CONCATENATE('KV_9.4.sz.mell'!B2)</f>
        <v>Reibel Mihály Városi Művelődési Központ és Könyvtár</v>
      </c>
      <c r="C2" s="427" t="s">
        <v>610</v>
      </c>
    </row>
    <row r="3" spans="1:3" s="394" customFormat="1" ht="24">
      <c r="A3" s="428" t="s">
        <v>537</v>
      </c>
      <c r="B3" s="429" t="s">
        <v>578</v>
      </c>
      <c r="C3" s="430" t="s">
        <v>566</v>
      </c>
    </row>
    <row r="4" spans="1:3" s="397" customFormat="1" ht="15.75" customHeight="1">
      <c r="A4" s="431"/>
      <c r="B4" s="431"/>
      <c r="C4" s="432" t="str">
        <f>'KV_9.4.sz.mell'!C4</f>
        <v>Forintban!</v>
      </c>
    </row>
    <row r="5" spans="1:3" ht="12.75">
      <c r="A5" s="433" t="s">
        <v>539</v>
      </c>
      <c r="B5" s="434" t="s">
        <v>540</v>
      </c>
      <c r="C5" s="435" t="s">
        <v>541</v>
      </c>
    </row>
    <row r="6" spans="1:3" s="399" customFormat="1" ht="12.75" customHeight="1">
      <c r="A6" s="401"/>
      <c r="B6" s="436" t="s">
        <v>114</v>
      </c>
      <c r="C6" s="437" t="s">
        <v>115</v>
      </c>
    </row>
    <row r="7" spans="1:3" s="399" customFormat="1" ht="15.75" customHeight="1">
      <c r="A7" s="377"/>
      <c r="B7" s="378" t="s">
        <v>382</v>
      </c>
      <c r="C7" s="400"/>
    </row>
    <row r="8" spans="1:3" s="403" customFormat="1" ht="12" customHeight="1">
      <c r="A8" s="401" t="s">
        <v>116</v>
      </c>
      <c r="B8" s="402" t="s">
        <v>579</v>
      </c>
      <c r="C8" s="157">
        <f>SUM(C9:C19)</f>
        <v>1525000</v>
      </c>
    </row>
    <row r="9" spans="1:3" s="403" customFormat="1" ht="12" customHeight="1">
      <c r="A9" s="404" t="s">
        <v>118</v>
      </c>
      <c r="B9" s="93" t="s">
        <v>177</v>
      </c>
      <c r="C9" s="405"/>
    </row>
    <row r="10" spans="1:3" s="403" customFormat="1" ht="12" customHeight="1">
      <c r="A10" s="406" t="s">
        <v>120</v>
      </c>
      <c r="B10" s="95" t="s">
        <v>179</v>
      </c>
      <c r="C10" s="146">
        <v>1070000</v>
      </c>
    </row>
    <row r="11" spans="1:3" s="403" customFormat="1" ht="12" customHeight="1">
      <c r="A11" s="406" t="s">
        <v>122</v>
      </c>
      <c r="B11" s="95" t="s">
        <v>181</v>
      </c>
      <c r="C11" s="146"/>
    </row>
    <row r="12" spans="1:3" s="403" customFormat="1" ht="12" customHeight="1">
      <c r="A12" s="406" t="s">
        <v>124</v>
      </c>
      <c r="B12" s="95" t="s">
        <v>183</v>
      </c>
      <c r="C12" s="146">
        <v>450000</v>
      </c>
    </row>
    <row r="13" spans="1:3" s="403" customFormat="1" ht="12" customHeight="1">
      <c r="A13" s="406" t="s">
        <v>126</v>
      </c>
      <c r="B13" s="95" t="s">
        <v>185</v>
      </c>
      <c r="C13" s="146"/>
    </row>
    <row r="14" spans="1:3" s="403" customFormat="1" ht="12" customHeight="1">
      <c r="A14" s="406" t="s">
        <v>128</v>
      </c>
      <c r="B14" s="95" t="s">
        <v>580</v>
      </c>
      <c r="C14" s="146"/>
    </row>
    <row r="15" spans="1:3" s="403" customFormat="1" ht="12" customHeight="1">
      <c r="A15" s="406" t="s">
        <v>293</v>
      </c>
      <c r="B15" s="112" t="s">
        <v>581</v>
      </c>
      <c r="C15" s="146"/>
    </row>
    <row r="16" spans="1:3" s="403" customFormat="1" ht="12" customHeight="1">
      <c r="A16" s="406" t="s">
        <v>295</v>
      </c>
      <c r="B16" s="95" t="s">
        <v>582</v>
      </c>
      <c r="C16" s="161"/>
    </row>
    <row r="17" spans="1:3" s="407" customFormat="1" ht="12" customHeight="1">
      <c r="A17" s="406" t="s">
        <v>297</v>
      </c>
      <c r="B17" s="95" t="s">
        <v>193</v>
      </c>
      <c r="C17" s="146"/>
    </row>
    <row r="18" spans="1:3" s="407" customFormat="1" ht="12" customHeight="1">
      <c r="A18" s="406" t="s">
        <v>299</v>
      </c>
      <c r="B18" s="95" t="s">
        <v>195</v>
      </c>
      <c r="C18" s="153"/>
    </row>
    <row r="19" spans="1:3" s="407" customFormat="1" ht="12" customHeight="1">
      <c r="A19" s="406" t="s">
        <v>301</v>
      </c>
      <c r="B19" s="112" t="s">
        <v>197</v>
      </c>
      <c r="C19" s="153">
        <v>5000</v>
      </c>
    </row>
    <row r="20" spans="1:3" s="403" customFormat="1" ht="12" customHeight="1">
      <c r="A20" s="401" t="s">
        <v>130</v>
      </c>
      <c r="B20" s="402" t="s">
        <v>583</v>
      </c>
      <c r="C20" s="157">
        <f>SUM(C21:C23)</f>
        <v>0</v>
      </c>
    </row>
    <row r="21" spans="1:3" s="407" customFormat="1" ht="12" customHeight="1">
      <c r="A21" s="406" t="s">
        <v>132</v>
      </c>
      <c r="B21" s="111" t="s">
        <v>133</v>
      </c>
      <c r="C21" s="146"/>
    </row>
    <row r="22" spans="1:3" s="407" customFormat="1" ht="12" customHeight="1">
      <c r="A22" s="406" t="s">
        <v>134</v>
      </c>
      <c r="B22" s="95" t="s">
        <v>584</v>
      </c>
      <c r="C22" s="146"/>
    </row>
    <row r="23" spans="1:3" s="407" customFormat="1" ht="12" customHeight="1">
      <c r="A23" s="406" t="s">
        <v>136</v>
      </c>
      <c r="B23" s="95" t="s">
        <v>585</v>
      </c>
      <c r="C23" s="146"/>
    </row>
    <row r="24" spans="1:3" s="407" customFormat="1" ht="12" customHeight="1">
      <c r="A24" s="406" t="s">
        <v>138</v>
      </c>
      <c r="B24" s="95" t="s">
        <v>606</v>
      </c>
      <c r="C24" s="146"/>
    </row>
    <row r="25" spans="1:3" s="407" customFormat="1" ht="12" customHeight="1">
      <c r="A25" s="401" t="s">
        <v>144</v>
      </c>
      <c r="B25" s="42" t="s">
        <v>392</v>
      </c>
      <c r="C25" s="408"/>
    </row>
    <row r="26" spans="1:3" s="407" customFormat="1" ht="12" customHeight="1">
      <c r="A26" s="401" t="s">
        <v>341</v>
      </c>
      <c r="B26" s="42" t="s">
        <v>607</v>
      </c>
      <c r="C26" s="157">
        <f>+C27+C28</f>
        <v>0</v>
      </c>
    </row>
    <row r="27" spans="1:3" s="407" customFormat="1" ht="12" customHeight="1">
      <c r="A27" s="409" t="s">
        <v>160</v>
      </c>
      <c r="B27" s="111" t="s">
        <v>584</v>
      </c>
      <c r="C27" s="142"/>
    </row>
    <row r="28" spans="1:3" s="407" customFormat="1" ht="12" customHeight="1">
      <c r="A28" s="409" t="s">
        <v>162</v>
      </c>
      <c r="B28" s="95" t="s">
        <v>588</v>
      </c>
      <c r="C28" s="161"/>
    </row>
    <row r="29" spans="1:3" s="407" customFormat="1" ht="12" customHeight="1">
      <c r="A29" s="406" t="s">
        <v>164</v>
      </c>
      <c r="B29" s="410" t="s">
        <v>608</v>
      </c>
      <c r="C29" s="411"/>
    </row>
    <row r="30" spans="1:3" s="407" customFormat="1" ht="12" customHeight="1">
      <c r="A30" s="401" t="s">
        <v>174</v>
      </c>
      <c r="B30" s="42" t="s">
        <v>590</v>
      </c>
      <c r="C30" s="157">
        <f>+C31+C32+C33</f>
        <v>0</v>
      </c>
    </row>
    <row r="31" spans="1:3" s="407" customFormat="1" ht="12" customHeight="1">
      <c r="A31" s="409" t="s">
        <v>176</v>
      </c>
      <c r="B31" s="111" t="s">
        <v>201</v>
      </c>
      <c r="C31" s="142"/>
    </row>
    <row r="32" spans="1:3" s="407" customFormat="1" ht="12" customHeight="1">
      <c r="A32" s="409" t="s">
        <v>178</v>
      </c>
      <c r="B32" s="95" t="s">
        <v>203</v>
      </c>
      <c r="C32" s="161"/>
    </row>
    <row r="33" spans="1:3" s="407" customFormat="1" ht="12" customHeight="1">
      <c r="A33" s="406" t="s">
        <v>180</v>
      </c>
      <c r="B33" s="410" t="s">
        <v>205</v>
      </c>
      <c r="C33" s="411"/>
    </row>
    <row r="34" spans="1:3" s="403" customFormat="1" ht="12" customHeight="1">
      <c r="A34" s="401" t="s">
        <v>198</v>
      </c>
      <c r="B34" s="42" t="s">
        <v>394</v>
      </c>
      <c r="C34" s="408"/>
    </row>
    <row r="35" spans="1:3" s="403" customFormat="1" ht="12" customHeight="1">
      <c r="A35" s="401" t="s">
        <v>358</v>
      </c>
      <c r="B35" s="42" t="s">
        <v>591</v>
      </c>
      <c r="C35" s="412"/>
    </row>
    <row r="36" spans="1:3" s="403" customFormat="1" ht="12" customHeight="1">
      <c r="A36" s="401" t="s">
        <v>220</v>
      </c>
      <c r="B36" s="42" t="s">
        <v>609</v>
      </c>
      <c r="C36" s="355">
        <f>+C8+C20+C25+C26+C30+C34+C35</f>
        <v>1525000</v>
      </c>
    </row>
    <row r="37" spans="1:3" s="403" customFormat="1" ht="12" customHeight="1">
      <c r="A37" s="413" t="s">
        <v>367</v>
      </c>
      <c r="B37" s="42" t="s">
        <v>593</v>
      </c>
      <c r="C37" s="355">
        <f>+C38+C39+C40</f>
        <v>10219254</v>
      </c>
    </row>
    <row r="38" spans="1:3" s="403" customFormat="1" ht="12" customHeight="1">
      <c r="A38" s="409" t="s">
        <v>594</v>
      </c>
      <c r="B38" s="111" t="s">
        <v>449</v>
      </c>
      <c r="C38" s="142"/>
    </row>
    <row r="39" spans="1:3" s="403" customFormat="1" ht="12" customHeight="1">
      <c r="A39" s="409" t="s">
        <v>595</v>
      </c>
      <c r="B39" s="95" t="s">
        <v>596</v>
      </c>
      <c r="C39" s="161"/>
    </row>
    <row r="40" spans="1:3" s="407" customFormat="1" ht="12" customHeight="1">
      <c r="A40" s="406" t="s">
        <v>597</v>
      </c>
      <c r="B40" s="410" t="s">
        <v>598</v>
      </c>
      <c r="C40" s="411">
        <v>10219254</v>
      </c>
    </row>
    <row r="41" spans="1:3" s="407" customFormat="1" ht="15" customHeight="1">
      <c r="A41" s="413" t="s">
        <v>369</v>
      </c>
      <c r="B41" s="414" t="s">
        <v>599</v>
      </c>
      <c r="C41" s="355">
        <f>+C36+C37</f>
        <v>11744254</v>
      </c>
    </row>
    <row r="42" spans="1:3" s="407" customFormat="1" ht="15" customHeight="1">
      <c r="A42" s="350"/>
      <c r="B42" s="351"/>
      <c r="C42" s="352"/>
    </row>
    <row r="43" spans="1:3" ht="12.75">
      <c r="A43" s="415"/>
      <c r="B43" s="416"/>
      <c r="C43" s="417"/>
    </row>
    <row r="44" spans="1:3" s="399" customFormat="1" ht="16.5" customHeight="1">
      <c r="A44" s="353"/>
      <c r="B44" s="354" t="s">
        <v>383</v>
      </c>
      <c r="C44" s="355"/>
    </row>
    <row r="45" spans="1:3" s="418" customFormat="1" ht="12" customHeight="1">
      <c r="A45" s="401" t="s">
        <v>116</v>
      </c>
      <c r="B45" s="42" t="s">
        <v>600</v>
      </c>
      <c r="C45" s="157">
        <f>SUM(C46:C50)</f>
        <v>11744254</v>
      </c>
    </row>
    <row r="46" spans="1:3" ht="12" customHeight="1">
      <c r="A46" s="406" t="s">
        <v>118</v>
      </c>
      <c r="B46" s="111" t="s">
        <v>286</v>
      </c>
      <c r="C46" s="142">
        <v>6035212</v>
      </c>
    </row>
    <row r="47" spans="1:3" ht="12" customHeight="1">
      <c r="A47" s="406" t="s">
        <v>120</v>
      </c>
      <c r="B47" s="95" t="s">
        <v>287</v>
      </c>
      <c r="C47" s="146">
        <v>1131042</v>
      </c>
    </row>
    <row r="48" spans="1:3" ht="12" customHeight="1">
      <c r="A48" s="406" t="s">
        <v>122</v>
      </c>
      <c r="B48" s="95" t="s">
        <v>288</v>
      </c>
      <c r="C48" s="146">
        <v>4578000</v>
      </c>
    </row>
    <row r="49" spans="1:3" ht="12" customHeight="1">
      <c r="A49" s="406" t="s">
        <v>124</v>
      </c>
      <c r="B49" s="95" t="s">
        <v>289</v>
      </c>
      <c r="C49" s="146"/>
    </row>
    <row r="50" spans="1:3" ht="12" customHeight="1">
      <c r="A50" s="406" t="s">
        <v>126</v>
      </c>
      <c r="B50" s="95" t="s">
        <v>291</v>
      </c>
      <c r="C50" s="146"/>
    </row>
    <row r="51" spans="1:3" ht="12" customHeight="1">
      <c r="A51" s="401" t="s">
        <v>130</v>
      </c>
      <c r="B51" s="42" t="s">
        <v>601</v>
      </c>
      <c r="C51" s="157">
        <f>SUM(C52:C54)</f>
        <v>0</v>
      </c>
    </row>
    <row r="52" spans="1:3" s="418" customFormat="1" ht="12" customHeight="1">
      <c r="A52" s="406" t="s">
        <v>132</v>
      </c>
      <c r="B52" s="111" t="s">
        <v>322</v>
      </c>
      <c r="C52" s="142"/>
    </row>
    <row r="53" spans="1:3" ht="12" customHeight="1">
      <c r="A53" s="406" t="s">
        <v>134</v>
      </c>
      <c r="B53" s="95" t="s">
        <v>324</v>
      </c>
      <c r="C53" s="146"/>
    </row>
    <row r="54" spans="1:3" ht="12" customHeight="1">
      <c r="A54" s="406" t="s">
        <v>136</v>
      </c>
      <c r="B54" s="95" t="s">
        <v>602</v>
      </c>
      <c r="C54" s="146"/>
    </row>
    <row r="55" spans="1:3" ht="12" customHeight="1">
      <c r="A55" s="406" t="s">
        <v>138</v>
      </c>
      <c r="B55" s="95" t="s">
        <v>603</v>
      </c>
      <c r="C55" s="146"/>
    </row>
    <row r="56" spans="1:3" ht="15" customHeight="1">
      <c r="A56" s="401" t="s">
        <v>144</v>
      </c>
      <c r="B56" s="42" t="s">
        <v>604</v>
      </c>
      <c r="C56" s="408"/>
    </row>
    <row r="57" spans="1:3" ht="12.75">
      <c r="A57" s="401" t="s">
        <v>341</v>
      </c>
      <c r="B57" s="419" t="s">
        <v>605</v>
      </c>
      <c r="C57" s="157">
        <f>+C45+C51+C56</f>
        <v>11744254</v>
      </c>
    </row>
    <row r="58" ht="15" customHeight="1">
      <c r="C58" s="420">
        <f>C41-C57</f>
        <v>0</v>
      </c>
    </row>
    <row r="59" spans="1:3" ht="14.25" customHeight="1">
      <c r="A59" s="368" t="s">
        <v>563</v>
      </c>
      <c r="B59" s="369"/>
      <c r="C59" s="370">
        <v>2</v>
      </c>
    </row>
    <row r="60" spans="1:3" ht="12.75">
      <c r="A60" s="368" t="s">
        <v>564</v>
      </c>
      <c r="B60" s="369"/>
      <c r="C60" s="370">
        <v>0</v>
      </c>
    </row>
  </sheetData>
  <sheetProtection sheet="1" formatCells="0"/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5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50"/>
  </sheetPr>
  <dimension ref="A1:C60"/>
  <sheetViews>
    <sheetView zoomScale="120" zoomScaleNormal="120" zoomScalePageLayoutView="0" workbookViewId="0" topLeftCell="A1">
      <selection activeCell="C62" sqref="C62"/>
    </sheetView>
  </sheetViews>
  <sheetFormatPr defaultColWidth="9.00390625" defaultRowHeight="12.75"/>
  <cols>
    <col min="1" max="1" width="13.875" style="390" customWidth="1"/>
    <col min="2" max="2" width="79.125" style="391" customWidth="1"/>
    <col min="3" max="3" width="25.00390625" style="391" customWidth="1"/>
    <col min="4" max="16384" width="9.375" style="391" customWidth="1"/>
  </cols>
  <sheetData>
    <row r="1" spans="1:3" s="392" customFormat="1" ht="21" customHeight="1">
      <c r="A1" s="423"/>
      <c r="B1" s="424"/>
      <c r="C1" s="314" t="str">
        <f>CONCATENATE("9.4.2. melléklet ",ALAPADATOK!A7," ",ALAPADATOK!B7," ",ALAPADATOK!C7," ",ALAPADATOK!D7," ",ALAPADATOK!E7," ",ALAPADATOK!F7," ",ALAPADATOK!G7," ",ALAPADATOK!H7)</f>
        <v>9.4.2. melléklet a … / 2019 ( … ) önkormányzati rendelethez</v>
      </c>
    </row>
    <row r="2" spans="1:3" s="394" customFormat="1" ht="36">
      <c r="A2" s="425" t="s">
        <v>577</v>
      </c>
      <c r="B2" s="438" t="str">
        <f>CONCATENATE('KV_9.4.1.sz.mell'!B2)</f>
        <v>Reibel Mihály Városi Művelődési Központ és Könyvtár</v>
      </c>
      <c r="C2" s="427" t="s">
        <v>610</v>
      </c>
    </row>
    <row r="3" spans="1:3" s="394" customFormat="1" ht="24">
      <c r="A3" s="428" t="s">
        <v>537</v>
      </c>
      <c r="B3" s="429" t="s">
        <v>611</v>
      </c>
      <c r="C3" s="430" t="s">
        <v>570</v>
      </c>
    </row>
    <row r="4" spans="1:3" s="397" customFormat="1" ht="15.75" customHeight="1">
      <c r="A4" s="431"/>
      <c r="B4" s="431"/>
      <c r="C4" s="432" t="str">
        <f>'KV_9.4.1.sz.mell'!C4</f>
        <v>Forintban!</v>
      </c>
    </row>
    <row r="5" spans="1:3" ht="12.75">
      <c r="A5" s="433" t="s">
        <v>539</v>
      </c>
      <c r="B5" s="434" t="s">
        <v>540</v>
      </c>
      <c r="C5" s="435" t="s">
        <v>541</v>
      </c>
    </row>
    <row r="6" spans="1:3" s="399" customFormat="1" ht="12.75" customHeight="1">
      <c r="A6" s="401"/>
      <c r="B6" s="436" t="s">
        <v>114</v>
      </c>
      <c r="C6" s="437" t="s">
        <v>115</v>
      </c>
    </row>
    <row r="7" spans="1:3" s="399" customFormat="1" ht="15.75" customHeight="1">
      <c r="A7" s="377"/>
      <c r="B7" s="378" t="s">
        <v>382</v>
      </c>
      <c r="C7" s="400"/>
    </row>
    <row r="8" spans="1:3" s="403" customFormat="1" ht="12" customHeight="1">
      <c r="A8" s="401" t="s">
        <v>116</v>
      </c>
      <c r="B8" s="402" t="s">
        <v>579</v>
      </c>
      <c r="C8" s="157">
        <f>SUM(C9:C19)</f>
        <v>0</v>
      </c>
    </row>
    <row r="9" spans="1:3" s="403" customFormat="1" ht="12" customHeight="1">
      <c r="A9" s="404" t="s">
        <v>118</v>
      </c>
      <c r="B9" s="93" t="s">
        <v>177</v>
      </c>
      <c r="C9" s="405"/>
    </row>
    <row r="10" spans="1:3" s="403" customFormat="1" ht="12" customHeight="1">
      <c r="A10" s="406" t="s">
        <v>120</v>
      </c>
      <c r="B10" s="95" t="s">
        <v>179</v>
      </c>
      <c r="C10" s="146"/>
    </row>
    <row r="11" spans="1:3" s="403" customFormat="1" ht="12" customHeight="1">
      <c r="A11" s="406" t="s">
        <v>122</v>
      </c>
      <c r="B11" s="95" t="s">
        <v>181</v>
      </c>
      <c r="C11" s="146"/>
    </row>
    <row r="12" spans="1:3" s="403" customFormat="1" ht="12" customHeight="1">
      <c r="A12" s="406" t="s">
        <v>124</v>
      </c>
      <c r="B12" s="95" t="s">
        <v>183</v>
      </c>
      <c r="C12" s="146"/>
    </row>
    <row r="13" spans="1:3" s="403" customFormat="1" ht="12" customHeight="1">
      <c r="A13" s="406" t="s">
        <v>126</v>
      </c>
      <c r="B13" s="95" t="s">
        <v>185</v>
      </c>
      <c r="C13" s="146"/>
    </row>
    <row r="14" spans="1:3" s="403" customFormat="1" ht="12" customHeight="1">
      <c r="A14" s="406" t="s">
        <v>128</v>
      </c>
      <c r="B14" s="95" t="s">
        <v>580</v>
      </c>
      <c r="C14" s="146"/>
    </row>
    <row r="15" spans="1:3" s="403" customFormat="1" ht="12" customHeight="1">
      <c r="A15" s="406" t="s">
        <v>293</v>
      </c>
      <c r="B15" s="112" t="s">
        <v>581</v>
      </c>
      <c r="C15" s="146"/>
    </row>
    <row r="16" spans="1:3" s="403" customFormat="1" ht="12" customHeight="1">
      <c r="A16" s="406" t="s">
        <v>295</v>
      </c>
      <c r="B16" s="95" t="s">
        <v>582</v>
      </c>
      <c r="C16" s="161"/>
    </row>
    <row r="17" spans="1:3" s="407" customFormat="1" ht="12" customHeight="1">
      <c r="A17" s="406" t="s">
        <v>297</v>
      </c>
      <c r="B17" s="95" t="s">
        <v>193</v>
      </c>
      <c r="C17" s="146"/>
    </row>
    <row r="18" spans="1:3" s="407" customFormat="1" ht="12" customHeight="1">
      <c r="A18" s="406" t="s">
        <v>299</v>
      </c>
      <c r="B18" s="95" t="s">
        <v>195</v>
      </c>
      <c r="C18" s="153"/>
    </row>
    <row r="19" spans="1:3" s="407" customFormat="1" ht="12" customHeight="1">
      <c r="A19" s="406" t="s">
        <v>301</v>
      </c>
      <c r="B19" s="112" t="s">
        <v>197</v>
      </c>
      <c r="C19" s="153"/>
    </row>
    <row r="20" spans="1:3" s="403" customFormat="1" ht="12" customHeight="1">
      <c r="A20" s="401" t="s">
        <v>130</v>
      </c>
      <c r="B20" s="402" t="s">
        <v>583</v>
      </c>
      <c r="C20" s="157">
        <f>SUM(C21:C23)</f>
        <v>0</v>
      </c>
    </row>
    <row r="21" spans="1:3" s="407" customFormat="1" ht="12" customHeight="1">
      <c r="A21" s="406" t="s">
        <v>132</v>
      </c>
      <c r="B21" s="111" t="s">
        <v>133</v>
      </c>
      <c r="C21" s="146"/>
    </row>
    <row r="22" spans="1:3" s="407" customFormat="1" ht="12" customHeight="1">
      <c r="A22" s="406" t="s">
        <v>134</v>
      </c>
      <c r="B22" s="95" t="s">
        <v>584</v>
      </c>
      <c r="C22" s="146"/>
    </row>
    <row r="23" spans="1:3" s="407" customFormat="1" ht="12" customHeight="1">
      <c r="A23" s="406" t="s">
        <v>136</v>
      </c>
      <c r="B23" s="95" t="s">
        <v>585</v>
      </c>
      <c r="C23" s="146"/>
    </row>
    <row r="24" spans="1:3" s="407" customFormat="1" ht="12" customHeight="1">
      <c r="A24" s="406" t="s">
        <v>138</v>
      </c>
      <c r="B24" s="95" t="s">
        <v>606</v>
      </c>
      <c r="C24" s="146"/>
    </row>
    <row r="25" spans="1:3" s="407" customFormat="1" ht="12" customHeight="1">
      <c r="A25" s="401" t="s">
        <v>144</v>
      </c>
      <c r="B25" s="42" t="s">
        <v>392</v>
      </c>
      <c r="C25" s="408"/>
    </row>
    <row r="26" spans="1:3" s="407" customFormat="1" ht="12" customHeight="1">
      <c r="A26" s="401" t="s">
        <v>341</v>
      </c>
      <c r="B26" s="42" t="s">
        <v>607</v>
      </c>
      <c r="C26" s="157">
        <f>+C27+C28</f>
        <v>0</v>
      </c>
    </row>
    <row r="27" spans="1:3" s="407" customFormat="1" ht="12" customHeight="1">
      <c r="A27" s="409" t="s">
        <v>160</v>
      </c>
      <c r="B27" s="111" t="s">
        <v>584</v>
      </c>
      <c r="C27" s="142"/>
    </row>
    <row r="28" spans="1:3" s="407" customFormat="1" ht="12" customHeight="1">
      <c r="A28" s="409" t="s">
        <v>162</v>
      </c>
      <c r="B28" s="95" t="s">
        <v>588</v>
      </c>
      <c r="C28" s="161"/>
    </row>
    <row r="29" spans="1:3" s="407" customFormat="1" ht="12" customHeight="1">
      <c r="A29" s="406" t="s">
        <v>164</v>
      </c>
      <c r="B29" s="410" t="s">
        <v>608</v>
      </c>
      <c r="C29" s="411"/>
    </row>
    <row r="30" spans="1:3" s="407" customFormat="1" ht="12" customHeight="1">
      <c r="A30" s="401" t="s">
        <v>174</v>
      </c>
      <c r="B30" s="42" t="s">
        <v>590</v>
      </c>
      <c r="C30" s="157">
        <f>+C31+C32+C33</f>
        <v>0</v>
      </c>
    </row>
    <row r="31" spans="1:3" s="407" customFormat="1" ht="12" customHeight="1">
      <c r="A31" s="409" t="s">
        <v>176</v>
      </c>
      <c r="B31" s="111" t="s">
        <v>201</v>
      </c>
      <c r="C31" s="142"/>
    </row>
    <row r="32" spans="1:3" s="407" customFormat="1" ht="12" customHeight="1">
      <c r="A32" s="409" t="s">
        <v>178</v>
      </c>
      <c r="B32" s="95" t="s">
        <v>203</v>
      </c>
      <c r="C32" s="161"/>
    </row>
    <row r="33" spans="1:3" s="407" customFormat="1" ht="12" customHeight="1">
      <c r="A33" s="406" t="s">
        <v>180</v>
      </c>
      <c r="B33" s="410" t="s">
        <v>205</v>
      </c>
      <c r="C33" s="411"/>
    </row>
    <row r="34" spans="1:3" s="403" customFormat="1" ht="12" customHeight="1">
      <c r="A34" s="401" t="s">
        <v>198</v>
      </c>
      <c r="B34" s="42" t="s">
        <v>394</v>
      </c>
      <c r="C34" s="408"/>
    </row>
    <row r="35" spans="1:3" s="403" customFormat="1" ht="12" customHeight="1">
      <c r="A35" s="401" t="s">
        <v>358</v>
      </c>
      <c r="B35" s="42" t="s">
        <v>591</v>
      </c>
      <c r="C35" s="412"/>
    </row>
    <row r="36" spans="1:3" s="403" customFormat="1" ht="12" customHeight="1">
      <c r="A36" s="401" t="s">
        <v>220</v>
      </c>
      <c r="B36" s="42" t="s">
        <v>609</v>
      </c>
      <c r="C36" s="355">
        <f>+C8+C20+C25+C26+C30+C34+C35</f>
        <v>0</v>
      </c>
    </row>
    <row r="37" spans="1:3" s="403" customFormat="1" ht="12" customHeight="1">
      <c r="A37" s="413" t="s">
        <v>367</v>
      </c>
      <c r="B37" s="42" t="s">
        <v>593</v>
      </c>
      <c r="C37" s="355">
        <f>+C38+C39+C40</f>
        <v>11614220</v>
      </c>
    </row>
    <row r="38" spans="1:3" s="403" customFormat="1" ht="12" customHeight="1">
      <c r="A38" s="409" t="s">
        <v>594</v>
      </c>
      <c r="B38" s="111" t="s">
        <v>449</v>
      </c>
      <c r="C38" s="142">
        <v>11614220</v>
      </c>
    </row>
    <row r="39" spans="1:3" s="403" customFormat="1" ht="12" customHeight="1">
      <c r="A39" s="409" t="s">
        <v>595</v>
      </c>
      <c r="B39" s="95" t="s">
        <v>596</v>
      </c>
      <c r="C39" s="161"/>
    </row>
    <row r="40" spans="1:3" s="407" customFormat="1" ht="12" customHeight="1">
      <c r="A40" s="406" t="s">
        <v>597</v>
      </c>
      <c r="B40" s="410" t="s">
        <v>598</v>
      </c>
      <c r="C40" s="411"/>
    </row>
    <row r="41" spans="1:3" s="407" customFormat="1" ht="15" customHeight="1">
      <c r="A41" s="413" t="s">
        <v>369</v>
      </c>
      <c r="B41" s="414" t="s">
        <v>599</v>
      </c>
      <c r="C41" s="355">
        <f>+C36+C37</f>
        <v>11614220</v>
      </c>
    </row>
    <row r="42" spans="1:3" s="407" customFormat="1" ht="15" customHeight="1">
      <c r="A42" s="350"/>
      <c r="B42" s="351"/>
      <c r="C42" s="352"/>
    </row>
    <row r="43" spans="1:3" ht="12.75">
      <c r="A43" s="415"/>
      <c r="B43" s="416"/>
      <c r="C43" s="417"/>
    </row>
    <row r="44" spans="1:3" s="399" customFormat="1" ht="16.5" customHeight="1">
      <c r="A44" s="353"/>
      <c r="B44" s="354" t="s">
        <v>383</v>
      </c>
      <c r="C44" s="355"/>
    </row>
    <row r="45" spans="1:3" s="418" customFormat="1" ht="12" customHeight="1">
      <c r="A45" s="401" t="s">
        <v>116</v>
      </c>
      <c r="B45" s="42" t="s">
        <v>600</v>
      </c>
      <c r="C45" s="157">
        <f>SUM(C46:C50)</f>
        <v>11614220</v>
      </c>
    </row>
    <row r="46" spans="1:3" ht="12" customHeight="1">
      <c r="A46" s="406" t="s">
        <v>118</v>
      </c>
      <c r="B46" s="111" t="s">
        <v>286</v>
      </c>
      <c r="C46" s="142">
        <v>2449461</v>
      </c>
    </row>
    <row r="47" spans="1:3" ht="12" customHeight="1">
      <c r="A47" s="406" t="s">
        <v>120</v>
      </c>
      <c r="B47" s="95" t="s">
        <v>287</v>
      </c>
      <c r="C47" s="146">
        <v>449466</v>
      </c>
    </row>
    <row r="48" spans="1:3" ht="12" customHeight="1">
      <c r="A48" s="406" t="s">
        <v>122</v>
      </c>
      <c r="B48" s="95" t="s">
        <v>288</v>
      </c>
      <c r="C48" s="146">
        <v>8715293</v>
      </c>
    </row>
    <row r="49" spans="1:3" ht="12" customHeight="1">
      <c r="A49" s="406" t="s">
        <v>124</v>
      </c>
      <c r="B49" s="95" t="s">
        <v>289</v>
      </c>
      <c r="C49" s="146"/>
    </row>
    <row r="50" spans="1:3" ht="12" customHeight="1">
      <c r="A50" s="406" t="s">
        <v>126</v>
      </c>
      <c r="B50" s="95" t="s">
        <v>291</v>
      </c>
      <c r="C50" s="146"/>
    </row>
    <row r="51" spans="1:3" ht="12" customHeight="1">
      <c r="A51" s="401" t="s">
        <v>130</v>
      </c>
      <c r="B51" s="42" t="s">
        <v>601</v>
      </c>
      <c r="C51" s="157">
        <f>SUM(C52:C54)</f>
        <v>0</v>
      </c>
    </row>
    <row r="52" spans="1:3" s="418" customFormat="1" ht="12" customHeight="1">
      <c r="A52" s="406" t="s">
        <v>132</v>
      </c>
      <c r="B52" s="111" t="s">
        <v>322</v>
      </c>
      <c r="C52" s="142"/>
    </row>
    <row r="53" spans="1:3" ht="12" customHeight="1">
      <c r="A53" s="406" t="s">
        <v>134</v>
      </c>
      <c r="B53" s="95" t="s">
        <v>324</v>
      </c>
      <c r="C53" s="146"/>
    </row>
    <row r="54" spans="1:3" ht="12" customHeight="1">
      <c r="A54" s="406" t="s">
        <v>136</v>
      </c>
      <c r="B54" s="95" t="s">
        <v>602</v>
      </c>
      <c r="C54" s="146"/>
    </row>
    <row r="55" spans="1:3" ht="12" customHeight="1">
      <c r="A55" s="406" t="s">
        <v>138</v>
      </c>
      <c r="B55" s="95" t="s">
        <v>603</v>
      </c>
      <c r="C55" s="146"/>
    </row>
    <row r="56" spans="1:3" ht="15" customHeight="1">
      <c r="A56" s="401" t="s">
        <v>144</v>
      </c>
      <c r="B56" s="42" t="s">
        <v>604</v>
      </c>
      <c r="C56" s="408"/>
    </row>
    <row r="57" spans="1:3" ht="12.75">
      <c r="A57" s="401" t="s">
        <v>341</v>
      </c>
      <c r="B57" s="419" t="s">
        <v>605</v>
      </c>
      <c r="C57" s="157">
        <f>+C45+C51+C56</f>
        <v>11614220</v>
      </c>
    </row>
    <row r="58" ht="15" customHeight="1">
      <c r="C58" s="420">
        <f>C41-C57</f>
        <v>0</v>
      </c>
    </row>
    <row r="59" spans="1:3" ht="14.25" customHeight="1">
      <c r="A59" s="368" t="s">
        <v>563</v>
      </c>
      <c r="B59" s="369"/>
      <c r="C59" s="370">
        <v>0</v>
      </c>
    </row>
    <row r="60" spans="1:3" ht="12.75">
      <c r="A60" s="368" t="s">
        <v>564</v>
      </c>
      <c r="B60" s="369"/>
      <c r="C60" s="370">
        <v>0</v>
      </c>
    </row>
  </sheetData>
  <sheetProtection sheet="1" formatCells="0"/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5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50"/>
  </sheetPr>
  <dimension ref="A1:G60"/>
  <sheetViews>
    <sheetView zoomScale="120" zoomScaleNormal="120" zoomScalePageLayoutView="0" workbookViewId="0" topLeftCell="A1">
      <selection activeCell="K67" sqref="K67"/>
    </sheetView>
  </sheetViews>
  <sheetFormatPr defaultColWidth="9.00390625" defaultRowHeight="12.75"/>
  <cols>
    <col min="1" max="1" width="13.875" style="390" customWidth="1"/>
    <col min="2" max="2" width="79.125" style="391" customWidth="1"/>
    <col min="3" max="3" width="25.00390625" style="391" customWidth="1"/>
    <col min="4" max="4" width="9.375" style="391" customWidth="1"/>
    <col min="5" max="5" width="12.375" style="391" customWidth="1"/>
    <col min="6" max="6" width="9.375" style="391" customWidth="1"/>
    <col min="7" max="7" width="15.875" style="391" customWidth="1"/>
    <col min="8" max="16384" width="9.375" style="391" customWidth="1"/>
  </cols>
  <sheetData>
    <row r="1" spans="1:3" s="392" customFormat="1" ht="21" customHeight="1">
      <c r="A1" s="423"/>
      <c r="B1" s="424"/>
      <c r="C1" s="314" t="str">
        <f>CONCATENATE("9.5. melléklet ",ALAPADATOK!A7," ",ALAPADATOK!B7," ",ALAPADATOK!C7," ",ALAPADATOK!D7," ",ALAPADATOK!E7," ",ALAPADATOK!F7," ",ALAPADATOK!G7," ",ALAPADATOK!H7)</f>
        <v>9.5. melléklet a … / 2019 ( … ) önkormányzati rendelethez</v>
      </c>
    </row>
    <row r="2" spans="1:3" s="394" customFormat="1" ht="36">
      <c r="A2" s="425" t="s">
        <v>577</v>
      </c>
      <c r="B2" s="438" t="str">
        <f>CONCATENATE(ALAPADATOK!B17)</f>
        <v>Naplemente Idősek Otthona</v>
      </c>
      <c r="C2" s="427" t="s">
        <v>612</v>
      </c>
    </row>
    <row r="3" spans="1:3" s="394" customFormat="1" ht="24">
      <c r="A3" s="428" t="s">
        <v>537</v>
      </c>
      <c r="B3" s="429" t="s">
        <v>538</v>
      </c>
      <c r="C3" s="430" t="s">
        <v>536</v>
      </c>
    </row>
    <row r="4" spans="1:3" s="397" customFormat="1" ht="15.75" customHeight="1">
      <c r="A4" s="431"/>
      <c r="B4" s="431"/>
      <c r="C4" s="432" t="s">
        <v>111</v>
      </c>
    </row>
    <row r="5" spans="1:3" ht="12.75">
      <c r="A5" s="433" t="s">
        <v>539</v>
      </c>
      <c r="B5" s="434" t="s">
        <v>540</v>
      </c>
      <c r="C5" s="435" t="s">
        <v>541</v>
      </c>
    </row>
    <row r="6" spans="1:5" s="399" customFormat="1" ht="12.75" customHeight="1">
      <c r="A6" s="401"/>
      <c r="B6" s="436" t="s">
        <v>114</v>
      </c>
      <c r="C6" s="437" t="s">
        <v>115</v>
      </c>
      <c r="E6" s="439"/>
    </row>
    <row r="7" spans="1:5" s="399" customFormat="1" ht="15.75" customHeight="1">
      <c r="A7" s="377"/>
      <c r="B7" s="378" t="s">
        <v>382</v>
      </c>
      <c r="C7" s="400"/>
      <c r="E7" s="439"/>
    </row>
    <row r="8" spans="1:5" s="403" customFormat="1" ht="12" customHeight="1">
      <c r="A8" s="401" t="s">
        <v>116</v>
      </c>
      <c r="B8" s="402" t="s">
        <v>579</v>
      </c>
      <c r="C8" s="157">
        <f>SUM(C9:C19)</f>
        <v>56036286</v>
      </c>
      <c r="E8" s="352"/>
    </row>
    <row r="9" spans="1:7" s="403" customFormat="1" ht="12" customHeight="1">
      <c r="A9" s="404" t="s">
        <v>118</v>
      </c>
      <c r="B9" s="93" t="s">
        <v>177</v>
      </c>
      <c r="C9" s="405">
        <v>10312490</v>
      </c>
      <c r="E9" s="440"/>
      <c r="G9" s="441"/>
    </row>
    <row r="10" spans="1:7" s="403" customFormat="1" ht="12" customHeight="1">
      <c r="A10" s="406" t="s">
        <v>120</v>
      </c>
      <c r="B10" s="95" t="s">
        <v>179</v>
      </c>
      <c r="C10" s="146"/>
      <c r="E10" s="440"/>
      <c r="G10" s="441">
        <f>C10-E10</f>
        <v>0</v>
      </c>
    </row>
    <row r="11" spans="1:7" s="403" customFormat="1" ht="12" customHeight="1">
      <c r="A11" s="406" t="s">
        <v>122</v>
      </c>
      <c r="B11" s="95" t="s">
        <v>181</v>
      </c>
      <c r="C11" s="146"/>
      <c r="E11" s="440"/>
      <c r="G11" s="441">
        <f>C11-E11</f>
        <v>0</v>
      </c>
    </row>
    <row r="12" spans="1:7" s="403" customFormat="1" ht="12" customHeight="1">
      <c r="A12" s="406" t="s">
        <v>124</v>
      </c>
      <c r="B12" s="95" t="s">
        <v>183</v>
      </c>
      <c r="C12" s="146"/>
      <c r="E12" s="440"/>
      <c r="G12" s="441">
        <f>C12-E12</f>
        <v>0</v>
      </c>
    </row>
    <row r="13" spans="1:7" s="403" customFormat="1" ht="12" customHeight="1">
      <c r="A13" s="406" t="s">
        <v>126</v>
      </c>
      <c r="B13" s="95" t="s">
        <v>185</v>
      </c>
      <c r="C13" s="146">
        <v>39879475</v>
      </c>
      <c r="E13" s="440"/>
      <c r="G13" s="441"/>
    </row>
    <row r="14" spans="1:7" s="403" customFormat="1" ht="12" customHeight="1">
      <c r="A14" s="406" t="s">
        <v>128</v>
      </c>
      <c r="B14" s="95" t="s">
        <v>580</v>
      </c>
      <c r="C14" s="146">
        <v>5844321</v>
      </c>
      <c r="E14" s="440"/>
      <c r="G14" s="441"/>
    </row>
    <row r="15" spans="1:7" s="403" customFormat="1" ht="12" customHeight="1">
      <c r="A15" s="406" t="s">
        <v>293</v>
      </c>
      <c r="B15" s="112" t="s">
        <v>581</v>
      </c>
      <c r="C15" s="146"/>
      <c r="E15" s="440"/>
      <c r="G15" s="441">
        <f>C15-E15</f>
        <v>0</v>
      </c>
    </row>
    <row r="16" spans="1:5" s="403" customFormat="1" ht="12" customHeight="1">
      <c r="A16" s="406" t="s">
        <v>295</v>
      </c>
      <c r="B16" s="95" t="s">
        <v>582</v>
      </c>
      <c r="C16" s="161"/>
      <c r="E16" s="440"/>
    </row>
    <row r="17" spans="1:5" s="407" customFormat="1" ht="12" customHeight="1">
      <c r="A17" s="406" t="s">
        <v>297</v>
      </c>
      <c r="B17" s="95" t="s">
        <v>193</v>
      </c>
      <c r="C17" s="146"/>
      <c r="E17" s="440"/>
    </row>
    <row r="18" spans="1:5" s="407" customFormat="1" ht="12" customHeight="1">
      <c r="A18" s="406" t="s">
        <v>299</v>
      </c>
      <c r="B18" s="95" t="s">
        <v>195</v>
      </c>
      <c r="C18" s="153"/>
      <c r="E18" s="440"/>
    </row>
    <row r="19" spans="1:5" s="407" customFormat="1" ht="12" customHeight="1">
      <c r="A19" s="406" t="s">
        <v>301</v>
      </c>
      <c r="B19" s="112" t="s">
        <v>197</v>
      </c>
      <c r="C19" s="153"/>
      <c r="E19" s="440"/>
    </row>
    <row r="20" spans="1:5" s="403" customFormat="1" ht="12" customHeight="1">
      <c r="A20" s="401" t="s">
        <v>130</v>
      </c>
      <c r="B20" s="402" t="s">
        <v>583</v>
      </c>
      <c r="C20" s="157">
        <f>SUM(C21:C23)</f>
        <v>0</v>
      </c>
      <c r="E20" s="352"/>
    </row>
    <row r="21" spans="1:5" s="407" customFormat="1" ht="12" customHeight="1">
      <c r="A21" s="406" t="s">
        <v>132</v>
      </c>
      <c r="B21" s="111" t="s">
        <v>133</v>
      </c>
      <c r="C21" s="146"/>
      <c r="E21" s="440"/>
    </row>
    <row r="22" spans="1:5" s="407" customFormat="1" ht="12" customHeight="1">
      <c r="A22" s="406" t="s">
        <v>134</v>
      </c>
      <c r="B22" s="95" t="s">
        <v>584</v>
      </c>
      <c r="C22" s="146"/>
      <c r="E22" s="440"/>
    </row>
    <row r="23" spans="1:5" s="407" customFormat="1" ht="12" customHeight="1">
      <c r="A23" s="406" t="s">
        <v>136</v>
      </c>
      <c r="B23" s="95" t="s">
        <v>585</v>
      </c>
      <c r="C23" s="146"/>
      <c r="E23" s="440"/>
    </row>
    <row r="24" spans="1:5" s="407" customFormat="1" ht="12" customHeight="1">
      <c r="A24" s="406" t="s">
        <v>138</v>
      </c>
      <c r="B24" s="95" t="s">
        <v>606</v>
      </c>
      <c r="C24" s="146"/>
      <c r="E24" s="440"/>
    </row>
    <row r="25" spans="1:5" s="407" customFormat="1" ht="12" customHeight="1">
      <c r="A25" s="401" t="s">
        <v>144</v>
      </c>
      <c r="B25" s="42" t="s">
        <v>392</v>
      </c>
      <c r="C25" s="408"/>
      <c r="E25" s="442"/>
    </row>
    <row r="26" spans="1:5" s="407" customFormat="1" ht="12" customHeight="1">
      <c r="A26" s="401" t="s">
        <v>341</v>
      </c>
      <c r="B26" s="42" t="s">
        <v>607</v>
      </c>
      <c r="C26" s="157">
        <f>+C27+C28</f>
        <v>0</v>
      </c>
      <c r="E26" s="352"/>
    </row>
    <row r="27" spans="1:5" s="407" customFormat="1" ht="12" customHeight="1">
      <c r="A27" s="409" t="s">
        <v>160</v>
      </c>
      <c r="B27" s="111" t="s">
        <v>584</v>
      </c>
      <c r="C27" s="142"/>
      <c r="E27" s="440"/>
    </row>
    <row r="28" spans="1:5" s="407" customFormat="1" ht="12" customHeight="1">
      <c r="A28" s="409" t="s">
        <v>162</v>
      </c>
      <c r="B28" s="95" t="s">
        <v>588</v>
      </c>
      <c r="C28" s="161"/>
      <c r="E28" s="440"/>
    </row>
    <row r="29" spans="1:5" s="407" customFormat="1" ht="12" customHeight="1">
      <c r="A29" s="406" t="s">
        <v>164</v>
      </c>
      <c r="B29" s="410" t="s">
        <v>608</v>
      </c>
      <c r="C29" s="411"/>
      <c r="E29" s="440"/>
    </row>
    <row r="30" spans="1:5" s="407" customFormat="1" ht="12" customHeight="1">
      <c r="A30" s="401" t="s">
        <v>174</v>
      </c>
      <c r="B30" s="42" t="s">
        <v>590</v>
      </c>
      <c r="C30" s="157">
        <f>+C31+C32+C33</f>
        <v>0</v>
      </c>
      <c r="E30" s="352"/>
    </row>
    <row r="31" spans="1:5" s="407" customFormat="1" ht="12" customHeight="1">
      <c r="A31" s="409" t="s">
        <v>176</v>
      </c>
      <c r="B31" s="111" t="s">
        <v>201</v>
      </c>
      <c r="C31" s="142"/>
      <c r="E31" s="440"/>
    </row>
    <row r="32" spans="1:5" s="407" customFormat="1" ht="12" customHeight="1">
      <c r="A32" s="409" t="s">
        <v>178</v>
      </c>
      <c r="B32" s="95" t="s">
        <v>203</v>
      </c>
      <c r="C32" s="161"/>
      <c r="E32" s="440"/>
    </row>
    <row r="33" spans="1:5" s="407" customFormat="1" ht="12" customHeight="1">
      <c r="A33" s="406" t="s">
        <v>180</v>
      </c>
      <c r="B33" s="410" t="s">
        <v>205</v>
      </c>
      <c r="C33" s="411"/>
      <c r="E33" s="440"/>
    </row>
    <row r="34" spans="1:5" s="403" customFormat="1" ht="12" customHeight="1">
      <c r="A34" s="401" t="s">
        <v>198</v>
      </c>
      <c r="B34" s="42" t="s">
        <v>394</v>
      </c>
      <c r="C34" s="408"/>
      <c r="E34" s="442"/>
    </row>
    <row r="35" spans="1:5" s="403" customFormat="1" ht="12" customHeight="1">
      <c r="A35" s="401" t="s">
        <v>358</v>
      </c>
      <c r="B35" s="42" t="s">
        <v>591</v>
      </c>
      <c r="C35" s="412"/>
      <c r="E35" s="442"/>
    </row>
    <row r="36" spans="1:5" s="403" customFormat="1" ht="12" customHeight="1">
      <c r="A36" s="401" t="s">
        <v>220</v>
      </c>
      <c r="B36" s="42" t="s">
        <v>609</v>
      </c>
      <c r="C36" s="355">
        <f>+C8+C20+C25+C26+C30+C34+C35</f>
        <v>56036286</v>
      </c>
      <c r="E36" s="352"/>
    </row>
    <row r="37" spans="1:5" s="403" customFormat="1" ht="12" customHeight="1">
      <c r="A37" s="413" t="s">
        <v>367</v>
      </c>
      <c r="B37" s="42" t="s">
        <v>593</v>
      </c>
      <c r="C37" s="355">
        <f>+C38+C39+C40</f>
        <v>114867817</v>
      </c>
      <c r="E37" s="352"/>
    </row>
    <row r="38" spans="1:5" s="403" customFormat="1" ht="12" customHeight="1">
      <c r="A38" s="409" t="s">
        <v>594</v>
      </c>
      <c r="B38" s="111" t="s">
        <v>449</v>
      </c>
      <c r="C38" s="142"/>
      <c r="E38" s="440"/>
    </row>
    <row r="39" spans="1:5" s="403" customFormat="1" ht="12" customHeight="1">
      <c r="A39" s="409" t="s">
        <v>595</v>
      </c>
      <c r="B39" s="95" t="s">
        <v>596</v>
      </c>
      <c r="C39" s="161"/>
      <c r="E39" s="440"/>
    </row>
    <row r="40" spans="1:7" s="407" customFormat="1" ht="12" customHeight="1">
      <c r="A40" s="406" t="s">
        <v>597</v>
      </c>
      <c r="B40" s="410" t="s">
        <v>598</v>
      </c>
      <c r="C40" s="411">
        <v>114867817</v>
      </c>
      <c r="E40" s="440"/>
      <c r="G40" s="441"/>
    </row>
    <row r="41" spans="1:5" s="407" customFormat="1" ht="15" customHeight="1">
      <c r="A41" s="413" t="s">
        <v>369</v>
      </c>
      <c r="B41" s="414" t="s">
        <v>599</v>
      </c>
      <c r="C41" s="355">
        <f>+C36+C37</f>
        <v>170904103</v>
      </c>
      <c r="E41" s="352"/>
    </row>
    <row r="42" spans="1:5" s="407" customFormat="1" ht="15" customHeight="1">
      <c r="A42" s="350"/>
      <c r="B42" s="351"/>
      <c r="C42" s="352"/>
      <c r="E42" s="352"/>
    </row>
    <row r="43" spans="1:5" ht="12.75">
      <c r="A43" s="415"/>
      <c r="B43" s="416"/>
      <c r="C43" s="417"/>
      <c r="E43" s="443"/>
    </row>
    <row r="44" spans="1:5" s="399" customFormat="1" ht="16.5" customHeight="1">
      <c r="A44" s="353"/>
      <c r="B44" s="354" t="s">
        <v>383</v>
      </c>
      <c r="C44" s="355"/>
      <c r="E44" s="352"/>
    </row>
    <row r="45" spans="1:5" s="418" customFormat="1" ht="12" customHeight="1">
      <c r="A45" s="401" t="s">
        <v>116</v>
      </c>
      <c r="B45" s="42" t="s">
        <v>600</v>
      </c>
      <c r="C45" s="157">
        <f>SUM(C46:C50)</f>
        <v>170904103</v>
      </c>
      <c r="E45" s="352"/>
    </row>
    <row r="46" spans="1:7" ht="12" customHeight="1">
      <c r="A46" s="406" t="s">
        <v>118</v>
      </c>
      <c r="B46" s="111" t="s">
        <v>286</v>
      </c>
      <c r="C46" s="142">
        <v>64739433</v>
      </c>
      <c r="E46" s="440"/>
      <c r="G46" s="441"/>
    </row>
    <row r="47" spans="1:7" ht="12" customHeight="1">
      <c r="A47" s="406" t="s">
        <v>120</v>
      </c>
      <c r="B47" s="95" t="s">
        <v>287</v>
      </c>
      <c r="C47" s="146">
        <v>12329495</v>
      </c>
      <c r="E47" s="440"/>
      <c r="G47" s="441"/>
    </row>
    <row r="48" spans="1:7" ht="12" customHeight="1">
      <c r="A48" s="406" t="s">
        <v>122</v>
      </c>
      <c r="B48" s="95" t="s">
        <v>288</v>
      </c>
      <c r="C48" s="146">
        <v>93835175</v>
      </c>
      <c r="E48" s="440"/>
      <c r="G48" s="441"/>
    </row>
    <row r="49" spans="1:5" ht="12" customHeight="1">
      <c r="A49" s="406" t="s">
        <v>124</v>
      </c>
      <c r="B49" s="95" t="s">
        <v>289</v>
      </c>
      <c r="C49" s="146"/>
      <c r="E49" s="440"/>
    </row>
    <row r="50" spans="1:5" ht="12" customHeight="1">
      <c r="A50" s="406" t="s">
        <v>126</v>
      </c>
      <c r="B50" s="95" t="s">
        <v>291</v>
      </c>
      <c r="C50" s="146"/>
      <c r="E50" s="440"/>
    </row>
    <row r="51" spans="1:5" ht="12" customHeight="1">
      <c r="A51" s="401" t="s">
        <v>130</v>
      </c>
      <c r="B51" s="42" t="s">
        <v>601</v>
      </c>
      <c r="C51" s="157">
        <f>SUM(C52:C54)</f>
        <v>0</v>
      </c>
      <c r="E51" s="352"/>
    </row>
    <row r="52" spans="1:5" s="418" customFormat="1" ht="12" customHeight="1">
      <c r="A52" s="406" t="s">
        <v>132</v>
      </c>
      <c r="B52" s="111" t="s">
        <v>322</v>
      </c>
      <c r="C52" s="142"/>
      <c r="E52" s="440"/>
    </row>
    <row r="53" spans="1:5" ht="12" customHeight="1">
      <c r="A53" s="406" t="s">
        <v>134</v>
      </c>
      <c r="B53" s="95" t="s">
        <v>324</v>
      </c>
      <c r="C53" s="146"/>
      <c r="E53" s="440"/>
    </row>
    <row r="54" spans="1:5" ht="12" customHeight="1">
      <c r="A54" s="406" t="s">
        <v>136</v>
      </c>
      <c r="B54" s="95" t="s">
        <v>602</v>
      </c>
      <c r="C54" s="146"/>
      <c r="E54" s="440"/>
    </row>
    <row r="55" spans="1:5" ht="12" customHeight="1">
      <c r="A55" s="406" t="s">
        <v>138</v>
      </c>
      <c r="B55" s="95" t="s">
        <v>603</v>
      </c>
      <c r="C55" s="146"/>
      <c r="E55" s="440"/>
    </row>
    <row r="56" spans="1:5" ht="15" customHeight="1">
      <c r="A56" s="401" t="s">
        <v>144</v>
      </c>
      <c r="B56" s="42" t="s">
        <v>604</v>
      </c>
      <c r="C56" s="408"/>
      <c r="E56" s="442"/>
    </row>
    <row r="57" spans="1:5" ht="12.75">
      <c r="A57" s="401" t="s">
        <v>341</v>
      </c>
      <c r="B57" s="419" t="s">
        <v>605</v>
      </c>
      <c r="C57" s="157">
        <f>+C45+C51+C56</f>
        <v>170904103</v>
      </c>
      <c r="E57" s="352"/>
    </row>
    <row r="58" spans="3:5" ht="15" customHeight="1">
      <c r="C58" s="420">
        <f>C41-C57</f>
        <v>0</v>
      </c>
      <c r="E58" s="444"/>
    </row>
    <row r="59" spans="1:5" ht="14.25" customHeight="1">
      <c r="A59" s="368" t="s">
        <v>563</v>
      </c>
      <c r="B59" s="369"/>
      <c r="C59" s="371">
        <v>24</v>
      </c>
      <c r="E59" s="444"/>
    </row>
    <row r="60" spans="1:5" ht="12.75">
      <c r="A60" s="368" t="s">
        <v>564</v>
      </c>
      <c r="B60" s="369"/>
      <c r="C60" s="371">
        <v>0</v>
      </c>
      <c r="E60" s="444"/>
    </row>
  </sheetData>
  <sheetProtection selectLockedCells="1" selectUnlockedCells="1"/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5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50"/>
  </sheetPr>
  <dimension ref="A1:C60"/>
  <sheetViews>
    <sheetView zoomScale="120" zoomScaleNormal="120" zoomScalePageLayoutView="0" workbookViewId="0" topLeftCell="A1">
      <selection activeCell="C61" sqref="C61"/>
    </sheetView>
  </sheetViews>
  <sheetFormatPr defaultColWidth="9.00390625" defaultRowHeight="12.75"/>
  <cols>
    <col min="1" max="1" width="13.875" style="390" customWidth="1"/>
    <col min="2" max="2" width="79.125" style="391" customWidth="1"/>
    <col min="3" max="3" width="25.00390625" style="391" customWidth="1"/>
    <col min="4" max="16384" width="9.375" style="391" customWidth="1"/>
  </cols>
  <sheetData>
    <row r="1" spans="1:3" s="392" customFormat="1" ht="21" customHeight="1">
      <c r="A1" s="423"/>
      <c r="B1" s="424"/>
      <c r="C1" s="314" t="str">
        <f>CONCATENATE("9.5.1. melléklet ",ALAPADATOK!A7," ",ALAPADATOK!B7," ",ALAPADATOK!C7," ",ALAPADATOK!D7," ",ALAPADATOK!E7," ",ALAPADATOK!F7," ",ALAPADATOK!G7," ",ALAPADATOK!H7)</f>
        <v>9.5.1. melléklet a … / 2019 ( … ) önkormányzati rendelethez</v>
      </c>
    </row>
    <row r="2" spans="1:3" s="394" customFormat="1" ht="36">
      <c r="A2" s="425" t="s">
        <v>577</v>
      </c>
      <c r="B2" s="438" t="str">
        <f>CONCATENATE('KV_9.5.sz.mell'!B2)</f>
        <v>Naplemente Idősek Otthona</v>
      </c>
      <c r="C2" s="427" t="s">
        <v>612</v>
      </c>
    </row>
    <row r="3" spans="1:3" s="394" customFormat="1" ht="24">
      <c r="A3" s="428" t="s">
        <v>537</v>
      </c>
      <c r="B3" s="429" t="s">
        <v>578</v>
      </c>
      <c r="C3" s="430" t="s">
        <v>566</v>
      </c>
    </row>
    <row r="4" spans="1:3" s="397" customFormat="1" ht="15.75" customHeight="1">
      <c r="A4" s="431"/>
      <c r="B4" s="431"/>
      <c r="C4" s="432" t="str">
        <f>'KV_9.5.sz.mell'!C4</f>
        <v>Forintban!</v>
      </c>
    </row>
    <row r="5" spans="1:3" ht="12.75">
      <c r="A5" s="433" t="s">
        <v>539</v>
      </c>
      <c r="B5" s="434" t="s">
        <v>540</v>
      </c>
      <c r="C5" s="435" t="s">
        <v>541</v>
      </c>
    </row>
    <row r="6" spans="1:3" s="399" customFormat="1" ht="12.75" customHeight="1">
      <c r="A6" s="401"/>
      <c r="B6" s="436" t="s">
        <v>114</v>
      </c>
      <c r="C6" s="437" t="s">
        <v>115</v>
      </c>
    </row>
    <row r="7" spans="1:3" s="399" customFormat="1" ht="15.75" customHeight="1">
      <c r="A7" s="377"/>
      <c r="B7" s="378" t="s">
        <v>382</v>
      </c>
      <c r="C7" s="400"/>
    </row>
    <row r="8" spans="1:3" s="403" customFormat="1" ht="12" customHeight="1">
      <c r="A8" s="401" t="s">
        <v>116</v>
      </c>
      <c r="B8" s="402" t="s">
        <v>579</v>
      </c>
      <c r="C8" s="157">
        <f>SUM(C9:C19)</f>
        <v>42939424</v>
      </c>
    </row>
    <row r="9" spans="1:3" s="403" customFormat="1" ht="12" customHeight="1">
      <c r="A9" s="404" t="s">
        <v>118</v>
      </c>
      <c r="B9" s="93" t="s">
        <v>177</v>
      </c>
      <c r="C9" s="405"/>
    </row>
    <row r="10" spans="1:3" s="403" customFormat="1" ht="12" customHeight="1">
      <c r="A10" s="406" t="s">
        <v>120</v>
      </c>
      <c r="B10" s="95" t="s">
        <v>179</v>
      </c>
      <c r="C10" s="146"/>
    </row>
    <row r="11" spans="1:3" s="403" customFormat="1" ht="12" customHeight="1">
      <c r="A11" s="406" t="s">
        <v>122</v>
      </c>
      <c r="B11" s="95" t="s">
        <v>181</v>
      </c>
      <c r="C11" s="146"/>
    </row>
    <row r="12" spans="1:3" s="403" customFormat="1" ht="12" customHeight="1">
      <c r="A12" s="406" t="s">
        <v>124</v>
      </c>
      <c r="B12" s="95" t="s">
        <v>183</v>
      </c>
      <c r="C12" s="146"/>
    </row>
    <row r="13" spans="1:3" s="403" customFormat="1" ht="12" customHeight="1">
      <c r="A13" s="406" t="s">
        <v>126</v>
      </c>
      <c r="B13" s="95" t="s">
        <v>185</v>
      </c>
      <c r="C13" s="146">
        <v>39879475</v>
      </c>
    </row>
    <row r="14" spans="1:3" s="403" customFormat="1" ht="12" customHeight="1">
      <c r="A14" s="406" t="s">
        <v>128</v>
      </c>
      <c r="B14" s="95" t="s">
        <v>580</v>
      </c>
      <c r="C14" s="146">
        <v>3059949</v>
      </c>
    </row>
    <row r="15" spans="1:3" s="403" customFormat="1" ht="12" customHeight="1">
      <c r="A15" s="406" t="s">
        <v>293</v>
      </c>
      <c r="B15" s="112" t="s">
        <v>581</v>
      </c>
      <c r="C15" s="146"/>
    </row>
    <row r="16" spans="1:3" s="403" customFormat="1" ht="12" customHeight="1">
      <c r="A16" s="406" t="s">
        <v>295</v>
      </c>
      <c r="B16" s="95" t="s">
        <v>582</v>
      </c>
      <c r="C16" s="161"/>
    </row>
    <row r="17" spans="1:3" s="407" customFormat="1" ht="12" customHeight="1">
      <c r="A17" s="406" t="s">
        <v>297</v>
      </c>
      <c r="B17" s="95" t="s">
        <v>193</v>
      </c>
      <c r="C17" s="146"/>
    </row>
    <row r="18" spans="1:3" s="407" customFormat="1" ht="12" customHeight="1">
      <c r="A18" s="406" t="s">
        <v>299</v>
      </c>
      <c r="B18" s="95" t="s">
        <v>195</v>
      </c>
      <c r="C18" s="153"/>
    </row>
    <row r="19" spans="1:3" s="407" customFormat="1" ht="12" customHeight="1">
      <c r="A19" s="406" t="s">
        <v>301</v>
      </c>
      <c r="B19" s="112" t="s">
        <v>197</v>
      </c>
      <c r="C19" s="153"/>
    </row>
    <row r="20" spans="1:3" s="403" customFormat="1" ht="12" customHeight="1">
      <c r="A20" s="401" t="s">
        <v>130</v>
      </c>
      <c r="B20" s="402" t="s">
        <v>583</v>
      </c>
      <c r="C20" s="157">
        <f>SUM(C21:C23)</f>
        <v>0</v>
      </c>
    </row>
    <row r="21" spans="1:3" s="407" customFormat="1" ht="12" customHeight="1">
      <c r="A21" s="406" t="s">
        <v>132</v>
      </c>
      <c r="B21" s="111" t="s">
        <v>133</v>
      </c>
      <c r="C21" s="146"/>
    </row>
    <row r="22" spans="1:3" s="407" customFormat="1" ht="12" customHeight="1">
      <c r="A22" s="406" t="s">
        <v>134</v>
      </c>
      <c r="B22" s="95" t="s">
        <v>584</v>
      </c>
      <c r="C22" s="146"/>
    </row>
    <row r="23" spans="1:3" s="407" customFormat="1" ht="12" customHeight="1">
      <c r="A23" s="406" t="s">
        <v>136</v>
      </c>
      <c r="B23" s="95" t="s">
        <v>585</v>
      </c>
      <c r="C23" s="146"/>
    </row>
    <row r="24" spans="1:3" s="407" customFormat="1" ht="12" customHeight="1">
      <c r="A24" s="406" t="s">
        <v>138</v>
      </c>
      <c r="B24" s="95" t="s">
        <v>606</v>
      </c>
      <c r="C24" s="146"/>
    </row>
    <row r="25" spans="1:3" s="407" customFormat="1" ht="12" customHeight="1">
      <c r="A25" s="401" t="s">
        <v>144</v>
      </c>
      <c r="B25" s="42" t="s">
        <v>392</v>
      </c>
      <c r="C25" s="408"/>
    </row>
    <row r="26" spans="1:3" s="407" customFormat="1" ht="12" customHeight="1">
      <c r="A26" s="401" t="s">
        <v>341</v>
      </c>
      <c r="B26" s="42" t="s">
        <v>607</v>
      </c>
      <c r="C26" s="157">
        <f>+C27+C28</f>
        <v>0</v>
      </c>
    </row>
    <row r="27" spans="1:3" s="407" customFormat="1" ht="12" customHeight="1">
      <c r="A27" s="409" t="s">
        <v>160</v>
      </c>
      <c r="B27" s="111" t="s">
        <v>584</v>
      </c>
      <c r="C27" s="142"/>
    </row>
    <row r="28" spans="1:3" s="407" customFormat="1" ht="12" customHeight="1">
      <c r="A28" s="409" t="s">
        <v>162</v>
      </c>
      <c r="B28" s="95" t="s">
        <v>588</v>
      </c>
      <c r="C28" s="161"/>
    </row>
    <row r="29" spans="1:3" s="407" customFormat="1" ht="12" customHeight="1">
      <c r="A29" s="406" t="s">
        <v>164</v>
      </c>
      <c r="B29" s="410" t="s">
        <v>608</v>
      </c>
      <c r="C29" s="411"/>
    </row>
    <row r="30" spans="1:3" s="407" customFormat="1" ht="12" customHeight="1">
      <c r="A30" s="401" t="s">
        <v>174</v>
      </c>
      <c r="B30" s="42" t="s">
        <v>590</v>
      </c>
      <c r="C30" s="157">
        <f>+C31+C32+C33</f>
        <v>0</v>
      </c>
    </row>
    <row r="31" spans="1:3" s="407" customFormat="1" ht="12" customHeight="1">
      <c r="A31" s="409" t="s">
        <v>176</v>
      </c>
      <c r="B31" s="111" t="s">
        <v>201</v>
      </c>
      <c r="C31" s="142"/>
    </row>
    <row r="32" spans="1:3" s="407" customFormat="1" ht="12" customHeight="1">
      <c r="A32" s="409" t="s">
        <v>178</v>
      </c>
      <c r="B32" s="95" t="s">
        <v>203</v>
      </c>
      <c r="C32" s="161"/>
    </row>
    <row r="33" spans="1:3" s="407" customFormat="1" ht="12" customHeight="1">
      <c r="A33" s="406" t="s">
        <v>180</v>
      </c>
      <c r="B33" s="410" t="s">
        <v>205</v>
      </c>
      <c r="C33" s="411"/>
    </row>
    <row r="34" spans="1:3" s="403" customFormat="1" ht="12" customHeight="1">
      <c r="A34" s="401" t="s">
        <v>198</v>
      </c>
      <c r="B34" s="42" t="s">
        <v>394</v>
      </c>
      <c r="C34" s="408"/>
    </row>
    <row r="35" spans="1:3" s="403" customFormat="1" ht="12" customHeight="1">
      <c r="A35" s="401" t="s">
        <v>358</v>
      </c>
      <c r="B35" s="42" t="s">
        <v>591</v>
      </c>
      <c r="C35" s="412"/>
    </row>
    <row r="36" spans="1:3" s="403" customFormat="1" ht="12" customHeight="1">
      <c r="A36" s="401" t="s">
        <v>220</v>
      </c>
      <c r="B36" s="42" t="s">
        <v>609</v>
      </c>
      <c r="C36" s="355">
        <f>+C8+C20+C25+C26+C30+C34+C35</f>
        <v>42939424</v>
      </c>
    </row>
    <row r="37" spans="1:3" s="403" customFormat="1" ht="12" customHeight="1">
      <c r="A37" s="413" t="s">
        <v>367</v>
      </c>
      <c r="B37" s="42" t="s">
        <v>593</v>
      </c>
      <c r="C37" s="355">
        <f>+C38+C39+C40</f>
        <v>107288877</v>
      </c>
    </row>
    <row r="38" spans="1:3" s="403" customFormat="1" ht="12" customHeight="1">
      <c r="A38" s="409" t="s">
        <v>594</v>
      </c>
      <c r="B38" s="111" t="s">
        <v>449</v>
      </c>
      <c r="C38" s="142"/>
    </row>
    <row r="39" spans="1:3" s="403" customFormat="1" ht="12" customHeight="1">
      <c r="A39" s="409" t="s">
        <v>595</v>
      </c>
      <c r="B39" s="95" t="s">
        <v>596</v>
      </c>
      <c r="C39" s="161"/>
    </row>
    <row r="40" spans="1:3" s="407" customFormat="1" ht="12" customHeight="1">
      <c r="A40" s="406" t="s">
        <v>597</v>
      </c>
      <c r="B40" s="410" t="s">
        <v>598</v>
      </c>
      <c r="C40" s="411">
        <v>107288877</v>
      </c>
    </row>
    <row r="41" spans="1:3" s="407" customFormat="1" ht="15" customHeight="1">
      <c r="A41" s="413" t="s">
        <v>369</v>
      </c>
      <c r="B41" s="414" t="s">
        <v>599</v>
      </c>
      <c r="C41" s="355">
        <f>+C36+C37</f>
        <v>150228301</v>
      </c>
    </row>
    <row r="42" spans="1:3" s="407" customFormat="1" ht="15" customHeight="1">
      <c r="A42" s="350"/>
      <c r="B42" s="351"/>
      <c r="C42" s="352"/>
    </row>
    <row r="43" spans="1:3" ht="12.75">
      <c r="A43" s="415"/>
      <c r="B43" s="416"/>
      <c r="C43" s="417"/>
    </row>
    <row r="44" spans="1:3" s="399" customFormat="1" ht="16.5" customHeight="1">
      <c r="A44" s="353"/>
      <c r="B44" s="354" t="s">
        <v>383</v>
      </c>
      <c r="C44" s="355"/>
    </row>
    <row r="45" spans="1:3" s="418" customFormat="1" ht="12" customHeight="1">
      <c r="A45" s="401" t="s">
        <v>116</v>
      </c>
      <c r="B45" s="42" t="s">
        <v>600</v>
      </c>
      <c r="C45" s="157">
        <f>SUM(C46:C50)</f>
        <v>150228301</v>
      </c>
    </row>
    <row r="46" spans="1:3" ht="12" customHeight="1">
      <c r="A46" s="406" t="s">
        <v>118</v>
      </c>
      <c r="B46" s="111" t="s">
        <v>286</v>
      </c>
      <c r="C46" s="142">
        <v>60274459</v>
      </c>
    </row>
    <row r="47" spans="1:3" ht="12" customHeight="1">
      <c r="A47" s="406" t="s">
        <v>120</v>
      </c>
      <c r="B47" s="95" t="s">
        <v>287</v>
      </c>
      <c r="C47" s="146">
        <v>11469610</v>
      </c>
    </row>
    <row r="48" spans="1:3" ht="12" customHeight="1">
      <c r="A48" s="406" t="s">
        <v>122</v>
      </c>
      <c r="B48" s="95" t="s">
        <v>288</v>
      </c>
      <c r="C48" s="146">
        <v>78484232</v>
      </c>
    </row>
    <row r="49" spans="1:3" ht="12" customHeight="1">
      <c r="A49" s="406" t="s">
        <v>124</v>
      </c>
      <c r="B49" s="95" t="s">
        <v>289</v>
      </c>
      <c r="C49" s="146"/>
    </row>
    <row r="50" spans="1:3" ht="12" customHeight="1">
      <c r="A50" s="406" t="s">
        <v>126</v>
      </c>
      <c r="B50" s="95" t="s">
        <v>291</v>
      </c>
      <c r="C50" s="146"/>
    </row>
    <row r="51" spans="1:3" ht="12" customHeight="1">
      <c r="A51" s="401" t="s">
        <v>130</v>
      </c>
      <c r="B51" s="42" t="s">
        <v>601</v>
      </c>
      <c r="C51" s="157">
        <f>SUM(C52:C54)</f>
        <v>0</v>
      </c>
    </row>
    <row r="52" spans="1:3" s="418" customFormat="1" ht="12" customHeight="1">
      <c r="A52" s="406" t="s">
        <v>132</v>
      </c>
      <c r="B52" s="111" t="s">
        <v>322</v>
      </c>
      <c r="C52" s="142"/>
    </row>
    <row r="53" spans="1:3" ht="12" customHeight="1">
      <c r="A53" s="406" t="s">
        <v>134</v>
      </c>
      <c r="B53" s="95" t="s">
        <v>324</v>
      </c>
      <c r="C53" s="146"/>
    </row>
    <row r="54" spans="1:3" ht="12" customHeight="1">
      <c r="A54" s="406" t="s">
        <v>136</v>
      </c>
      <c r="B54" s="95" t="s">
        <v>602</v>
      </c>
      <c r="C54" s="146"/>
    </row>
    <row r="55" spans="1:3" ht="12" customHeight="1">
      <c r="A55" s="406" t="s">
        <v>138</v>
      </c>
      <c r="B55" s="95" t="s">
        <v>603</v>
      </c>
      <c r="C55" s="146"/>
    </row>
    <row r="56" spans="1:3" ht="15" customHeight="1">
      <c r="A56" s="401" t="s">
        <v>144</v>
      </c>
      <c r="B56" s="42" t="s">
        <v>604</v>
      </c>
      <c r="C56" s="408"/>
    </row>
    <row r="57" spans="1:3" ht="12.75">
      <c r="A57" s="401" t="s">
        <v>341</v>
      </c>
      <c r="B57" s="419" t="s">
        <v>605</v>
      </c>
      <c r="C57" s="157">
        <f>+C45+C51+C56</f>
        <v>150228301</v>
      </c>
    </row>
    <row r="58" ht="15" customHeight="1">
      <c r="C58" s="420">
        <f>C41-C57</f>
        <v>0</v>
      </c>
    </row>
    <row r="59" spans="1:3" ht="14.25" customHeight="1">
      <c r="A59" s="368" t="s">
        <v>563</v>
      </c>
      <c r="B59" s="369"/>
      <c r="C59" s="370">
        <v>20</v>
      </c>
    </row>
    <row r="60" spans="1:3" ht="12.75">
      <c r="A60" s="368" t="s">
        <v>564</v>
      </c>
      <c r="B60" s="369"/>
      <c r="C60" s="370">
        <v>0</v>
      </c>
    </row>
  </sheetData>
  <sheetProtection sheet="1" formatCells="0"/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5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50"/>
  </sheetPr>
  <dimension ref="A1:C60"/>
  <sheetViews>
    <sheetView zoomScale="120" zoomScaleNormal="120" zoomScalePageLayoutView="0" workbookViewId="0" topLeftCell="A1">
      <selection activeCell="C61" sqref="C61"/>
    </sheetView>
  </sheetViews>
  <sheetFormatPr defaultColWidth="9.00390625" defaultRowHeight="12.75"/>
  <cols>
    <col min="1" max="1" width="13.875" style="390" customWidth="1"/>
    <col min="2" max="2" width="79.125" style="391" customWidth="1"/>
    <col min="3" max="3" width="25.00390625" style="391" customWidth="1"/>
    <col min="4" max="16384" width="9.375" style="391" customWidth="1"/>
  </cols>
  <sheetData>
    <row r="1" spans="1:3" s="392" customFormat="1" ht="21" customHeight="1">
      <c r="A1" s="423"/>
      <c r="B1" s="424"/>
      <c r="C1" s="314" t="str">
        <f>CONCATENATE("9.5.2. melléklet ",ALAPADATOK!A7," ",ALAPADATOK!B7," ",ALAPADATOK!C7," ",ALAPADATOK!D7," ",ALAPADATOK!E7," ",ALAPADATOK!F7," ",ALAPADATOK!G7," ",ALAPADATOK!H7)</f>
        <v>9.5.2. melléklet a … / 2019 ( … ) önkormányzati rendelethez</v>
      </c>
    </row>
    <row r="2" spans="1:3" s="394" customFormat="1" ht="36">
      <c r="A2" s="425" t="s">
        <v>577</v>
      </c>
      <c r="B2" s="438" t="str">
        <f>CONCATENATE('KV_9.5.1.sz.mell'!B2)</f>
        <v>Naplemente Idősek Otthona</v>
      </c>
      <c r="C2" s="427"/>
    </row>
    <row r="3" spans="1:3" s="394" customFormat="1" ht="24">
      <c r="A3" s="428" t="s">
        <v>537</v>
      </c>
      <c r="B3" s="429" t="s">
        <v>611</v>
      </c>
      <c r="C3" s="430" t="s">
        <v>570</v>
      </c>
    </row>
    <row r="4" spans="1:3" s="397" customFormat="1" ht="15.75" customHeight="1">
      <c r="A4" s="431"/>
      <c r="B4" s="431"/>
      <c r="C4" s="432" t="str">
        <f>'KV_9.5.1.sz.mell'!C4</f>
        <v>Forintban!</v>
      </c>
    </row>
    <row r="5" spans="1:3" ht="12.75">
      <c r="A5" s="433" t="s">
        <v>539</v>
      </c>
      <c r="B5" s="434" t="s">
        <v>540</v>
      </c>
      <c r="C5" s="435" t="s">
        <v>541</v>
      </c>
    </row>
    <row r="6" spans="1:3" s="399" customFormat="1" ht="12.75" customHeight="1">
      <c r="A6" s="401"/>
      <c r="B6" s="436" t="s">
        <v>114</v>
      </c>
      <c r="C6" s="437" t="s">
        <v>115</v>
      </c>
    </row>
    <row r="7" spans="1:3" s="399" customFormat="1" ht="15.75" customHeight="1">
      <c r="A7" s="377"/>
      <c r="B7" s="378" t="s">
        <v>382</v>
      </c>
      <c r="C7" s="400"/>
    </row>
    <row r="8" spans="1:3" s="403" customFormat="1" ht="12" customHeight="1">
      <c r="A8" s="401" t="s">
        <v>116</v>
      </c>
      <c r="B8" s="402" t="s">
        <v>579</v>
      </c>
      <c r="C8" s="157">
        <f>SUM(C9:C19)</f>
        <v>13096862</v>
      </c>
    </row>
    <row r="9" spans="1:3" s="403" customFormat="1" ht="12" customHeight="1">
      <c r="A9" s="404" t="s">
        <v>118</v>
      </c>
      <c r="B9" s="93" t="s">
        <v>177</v>
      </c>
      <c r="C9" s="405">
        <v>10312490</v>
      </c>
    </row>
    <row r="10" spans="1:3" s="403" customFormat="1" ht="12" customHeight="1">
      <c r="A10" s="406" t="s">
        <v>120</v>
      </c>
      <c r="B10" s="95" t="s">
        <v>179</v>
      </c>
      <c r="C10" s="146"/>
    </row>
    <row r="11" spans="1:3" s="403" customFormat="1" ht="12" customHeight="1">
      <c r="A11" s="406" t="s">
        <v>122</v>
      </c>
      <c r="B11" s="95" t="s">
        <v>181</v>
      </c>
      <c r="C11" s="146"/>
    </row>
    <row r="12" spans="1:3" s="403" customFormat="1" ht="12" customHeight="1">
      <c r="A12" s="406" t="s">
        <v>124</v>
      </c>
      <c r="B12" s="95" t="s">
        <v>183</v>
      </c>
      <c r="C12" s="146"/>
    </row>
    <row r="13" spans="1:3" s="403" customFormat="1" ht="12" customHeight="1">
      <c r="A13" s="406" t="s">
        <v>126</v>
      </c>
      <c r="B13" s="95" t="s">
        <v>185</v>
      </c>
      <c r="C13" s="146"/>
    </row>
    <row r="14" spans="1:3" s="403" customFormat="1" ht="12" customHeight="1">
      <c r="A14" s="406" t="s">
        <v>128</v>
      </c>
      <c r="B14" s="95" t="s">
        <v>580</v>
      </c>
      <c r="C14" s="146">
        <v>2784372</v>
      </c>
    </row>
    <row r="15" spans="1:3" s="403" customFormat="1" ht="12" customHeight="1">
      <c r="A15" s="406" t="s">
        <v>293</v>
      </c>
      <c r="B15" s="112" t="s">
        <v>581</v>
      </c>
      <c r="C15" s="146"/>
    </row>
    <row r="16" spans="1:3" s="403" customFormat="1" ht="12" customHeight="1">
      <c r="A16" s="406" t="s">
        <v>295</v>
      </c>
      <c r="B16" s="95" t="s">
        <v>582</v>
      </c>
      <c r="C16" s="161"/>
    </row>
    <row r="17" spans="1:3" s="407" customFormat="1" ht="12" customHeight="1">
      <c r="A17" s="406" t="s">
        <v>297</v>
      </c>
      <c r="B17" s="95" t="s">
        <v>193</v>
      </c>
      <c r="C17" s="146"/>
    </row>
    <row r="18" spans="1:3" s="407" customFormat="1" ht="12" customHeight="1">
      <c r="A18" s="406" t="s">
        <v>299</v>
      </c>
      <c r="B18" s="95" t="s">
        <v>195</v>
      </c>
      <c r="C18" s="153"/>
    </row>
    <row r="19" spans="1:3" s="407" customFormat="1" ht="12" customHeight="1">
      <c r="A19" s="406" t="s">
        <v>301</v>
      </c>
      <c r="B19" s="112" t="s">
        <v>197</v>
      </c>
      <c r="C19" s="153"/>
    </row>
    <row r="20" spans="1:3" s="403" customFormat="1" ht="12" customHeight="1">
      <c r="A20" s="401" t="s">
        <v>130</v>
      </c>
      <c r="B20" s="402" t="s">
        <v>583</v>
      </c>
      <c r="C20" s="157">
        <f>SUM(C21:C23)</f>
        <v>0</v>
      </c>
    </row>
    <row r="21" spans="1:3" s="407" customFormat="1" ht="12" customHeight="1">
      <c r="A21" s="406" t="s">
        <v>132</v>
      </c>
      <c r="B21" s="111" t="s">
        <v>133</v>
      </c>
      <c r="C21" s="146"/>
    </row>
    <row r="22" spans="1:3" s="407" customFormat="1" ht="12" customHeight="1">
      <c r="A22" s="406" t="s">
        <v>134</v>
      </c>
      <c r="B22" s="95" t="s">
        <v>584</v>
      </c>
      <c r="C22" s="146"/>
    </row>
    <row r="23" spans="1:3" s="407" customFormat="1" ht="12" customHeight="1">
      <c r="A23" s="406" t="s">
        <v>136</v>
      </c>
      <c r="B23" s="95" t="s">
        <v>585</v>
      </c>
      <c r="C23" s="146"/>
    </row>
    <row r="24" spans="1:3" s="407" customFormat="1" ht="12" customHeight="1">
      <c r="A24" s="406" t="s">
        <v>138</v>
      </c>
      <c r="B24" s="95" t="s">
        <v>606</v>
      </c>
      <c r="C24" s="146"/>
    </row>
    <row r="25" spans="1:3" s="407" customFormat="1" ht="12" customHeight="1">
      <c r="A25" s="401" t="s">
        <v>144</v>
      </c>
      <c r="B25" s="42" t="s">
        <v>392</v>
      </c>
      <c r="C25" s="408"/>
    </row>
    <row r="26" spans="1:3" s="407" customFormat="1" ht="12" customHeight="1">
      <c r="A26" s="401" t="s">
        <v>341</v>
      </c>
      <c r="B26" s="42" t="s">
        <v>607</v>
      </c>
      <c r="C26" s="157">
        <f>+C27+C28</f>
        <v>0</v>
      </c>
    </row>
    <row r="27" spans="1:3" s="407" customFormat="1" ht="12" customHeight="1">
      <c r="A27" s="409" t="s">
        <v>160</v>
      </c>
      <c r="B27" s="111" t="s">
        <v>584</v>
      </c>
      <c r="C27" s="142"/>
    </row>
    <row r="28" spans="1:3" s="407" customFormat="1" ht="12" customHeight="1">
      <c r="A28" s="409" t="s">
        <v>162</v>
      </c>
      <c r="B28" s="95" t="s">
        <v>588</v>
      </c>
      <c r="C28" s="161"/>
    </row>
    <row r="29" spans="1:3" s="407" customFormat="1" ht="12" customHeight="1">
      <c r="A29" s="406" t="s">
        <v>164</v>
      </c>
      <c r="B29" s="410" t="s">
        <v>608</v>
      </c>
      <c r="C29" s="411"/>
    </row>
    <row r="30" spans="1:3" s="407" customFormat="1" ht="12" customHeight="1">
      <c r="A30" s="401" t="s">
        <v>174</v>
      </c>
      <c r="B30" s="42" t="s">
        <v>590</v>
      </c>
      <c r="C30" s="157">
        <f>+C31+C32+C33</f>
        <v>0</v>
      </c>
    </row>
    <row r="31" spans="1:3" s="407" customFormat="1" ht="12" customHeight="1">
      <c r="A31" s="409" t="s">
        <v>176</v>
      </c>
      <c r="B31" s="111" t="s">
        <v>201</v>
      </c>
      <c r="C31" s="142"/>
    </row>
    <row r="32" spans="1:3" s="407" customFormat="1" ht="12" customHeight="1">
      <c r="A32" s="409" t="s">
        <v>178</v>
      </c>
      <c r="B32" s="95" t="s">
        <v>203</v>
      </c>
      <c r="C32" s="161"/>
    </row>
    <row r="33" spans="1:3" s="407" customFormat="1" ht="12" customHeight="1">
      <c r="A33" s="406" t="s">
        <v>180</v>
      </c>
      <c r="B33" s="410" t="s">
        <v>205</v>
      </c>
      <c r="C33" s="411"/>
    </row>
    <row r="34" spans="1:3" s="403" customFormat="1" ht="12" customHeight="1">
      <c r="A34" s="401" t="s">
        <v>198</v>
      </c>
      <c r="B34" s="42" t="s">
        <v>394</v>
      </c>
      <c r="C34" s="408"/>
    </row>
    <row r="35" spans="1:3" s="403" customFormat="1" ht="12" customHeight="1">
      <c r="A35" s="401" t="s">
        <v>358</v>
      </c>
      <c r="B35" s="42" t="s">
        <v>591</v>
      </c>
      <c r="C35" s="412"/>
    </row>
    <row r="36" spans="1:3" s="403" customFormat="1" ht="12" customHeight="1">
      <c r="A36" s="401" t="s">
        <v>220</v>
      </c>
      <c r="B36" s="42" t="s">
        <v>609</v>
      </c>
      <c r="C36" s="355">
        <f>+C8+C20+C25+C26+C30+C34+C35</f>
        <v>13096862</v>
      </c>
    </row>
    <row r="37" spans="1:3" s="403" customFormat="1" ht="12" customHeight="1">
      <c r="A37" s="413" t="s">
        <v>367</v>
      </c>
      <c r="B37" s="42" t="s">
        <v>593</v>
      </c>
      <c r="C37" s="355">
        <f>+C38+C39+C40</f>
        <v>7578940</v>
      </c>
    </row>
    <row r="38" spans="1:3" s="403" customFormat="1" ht="12" customHeight="1">
      <c r="A38" s="409" t="s">
        <v>594</v>
      </c>
      <c r="B38" s="111" t="s">
        <v>449</v>
      </c>
      <c r="C38" s="142"/>
    </row>
    <row r="39" spans="1:3" s="403" customFormat="1" ht="12" customHeight="1">
      <c r="A39" s="409" t="s">
        <v>595</v>
      </c>
      <c r="B39" s="95" t="s">
        <v>596</v>
      </c>
      <c r="C39" s="161"/>
    </row>
    <row r="40" spans="1:3" s="407" customFormat="1" ht="12" customHeight="1">
      <c r="A40" s="406" t="s">
        <v>597</v>
      </c>
      <c r="B40" s="410" t="s">
        <v>598</v>
      </c>
      <c r="C40" s="411">
        <v>7578940</v>
      </c>
    </row>
    <row r="41" spans="1:3" s="407" customFormat="1" ht="15" customHeight="1">
      <c r="A41" s="413" t="s">
        <v>369</v>
      </c>
      <c r="B41" s="414" t="s">
        <v>599</v>
      </c>
      <c r="C41" s="355">
        <f>+C36+C37</f>
        <v>20675802</v>
      </c>
    </row>
    <row r="42" spans="1:3" s="407" customFormat="1" ht="15" customHeight="1">
      <c r="A42" s="350"/>
      <c r="B42" s="351"/>
      <c r="C42" s="352"/>
    </row>
    <row r="43" spans="1:3" ht="12.75">
      <c r="A43" s="415"/>
      <c r="B43" s="416"/>
      <c r="C43" s="417"/>
    </row>
    <row r="44" spans="1:3" s="399" customFormat="1" ht="16.5" customHeight="1">
      <c r="A44" s="353"/>
      <c r="B44" s="354" t="s">
        <v>383</v>
      </c>
      <c r="C44" s="355"/>
    </row>
    <row r="45" spans="1:3" s="418" customFormat="1" ht="12" customHeight="1">
      <c r="A45" s="401" t="s">
        <v>116</v>
      </c>
      <c r="B45" s="42" t="s">
        <v>600</v>
      </c>
      <c r="C45" s="157">
        <f>SUM(C46:C50)</f>
        <v>20675802</v>
      </c>
    </row>
    <row r="46" spans="1:3" ht="12" customHeight="1">
      <c r="A46" s="406" t="s">
        <v>118</v>
      </c>
      <c r="B46" s="111" t="s">
        <v>286</v>
      </c>
      <c r="C46" s="142">
        <v>4464974</v>
      </c>
    </row>
    <row r="47" spans="1:3" ht="12" customHeight="1">
      <c r="A47" s="406" t="s">
        <v>120</v>
      </c>
      <c r="B47" s="95" t="s">
        <v>287</v>
      </c>
      <c r="C47" s="146">
        <v>859885</v>
      </c>
    </row>
    <row r="48" spans="1:3" ht="12" customHeight="1">
      <c r="A48" s="406" t="s">
        <v>122</v>
      </c>
      <c r="B48" s="95" t="s">
        <v>288</v>
      </c>
      <c r="C48" s="146">
        <v>15350943</v>
      </c>
    </row>
    <row r="49" spans="1:3" ht="12" customHeight="1">
      <c r="A49" s="406" t="s">
        <v>124</v>
      </c>
      <c r="B49" s="95" t="s">
        <v>289</v>
      </c>
      <c r="C49" s="146"/>
    </row>
    <row r="50" spans="1:3" ht="12" customHeight="1">
      <c r="A50" s="406" t="s">
        <v>126</v>
      </c>
      <c r="B50" s="95" t="s">
        <v>291</v>
      </c>
      <c r="C50" s="146"/>
    </row>
    <row r="51" spans="1:3" ht="12" customHeight="1">
      <c r="A51" s="401" t="s">
        <v>130</v>
      </c>
      <c r="B51" s="42" t="s">
        <v>601</v>
      </c>
      <c r="C51" s="157">
        <f>SUM(C52:C54)</f>
        <v>0</v>
      </c>
    </row>
    <row r="52" spans="1:3" s="418" customFormat="1" ht="12" customHeight="1">
      <c r="A52" s="406" t="s">
        <v>132</v>
      </c>
      <c r="B52" s="111" t="s">
        <v>322</v>
      </c>
      <c r="C52" s="142"/>
    </row>
    <row r="53" spans="1:3" ht="12" customHeight="1">
      <c r="A53" s="406" t="s">
        <v>134</v>
      </c>
      <c r="B53" s="95" t="s">
        <v>324</v>
      </c>
      <c r="C53" s="146"/>
    </row>
    <row r="54" spans="1:3" ht="12" customHeight="1">
      <c r="A54" s="406" t="s">
        <v>136</v>
      </c>
      <c r="B54" s="95" t="s">
        <v>602</v>
      </c>
      <c r="C54" s="146"/>
    </row>
    <row r="55" spans="1:3" ht="12" customHeight="1">
      <c r="A55" s="406" t="s">
        <v>138</v>
      </c>
      <c r="B55" s="95" t="s">
        <v>603</v>
      </c>
      <c r="C55" s="146"/>
    </row>
    <row r="56" spans="1:3" ht="15" customHeight="1">
      <c r="A56" s="401" t="s">
        <v>144</v>
      </c>
      <c r="B56" s="42" t="s">
        <v>604</v>
      </c>
      <c r="C56" s="408"/>
    </row>
    <row r="57" spans="1:3" ht="12.75">
      <c r="A57" s="401" t="s">
        <v>341</v>
      </c>
      <c r="B57" s="419" t="s">
        <v>605</v>
      </c>
      <c r="C57" s="157">
        <f>+C45+C51+C56</f>
        <v>20675802</v>
      </c>
    </row>
    <row r="58" ht="15" customHeight="1">
      <c r="C58" s="420">
        <f>C41-C57</f>
        <v>0</v>
      </c>
    </row>
    <row r="59" spans="1:3" ht="14.25" customHeight="1">
      <c r="A59" s="368" t="s">
        <v>563</v>
      </c>
      <c r="B59" s="369"/>
      <c r="C59" s="370">
        <v>4</v>
      </c>
    </row>
    <row r="60" spans="1:3" ht="12.75">
      <c r="A60" s="368" t="s">
        <v>564</v>
      </c>
      <c r="B60" s="369"/>
      <c r="C60" s="370">
        <v>0</v>
      </c>
    </row>
  </sheetData>
  <sheetProtection sheet="1" formatCells="0"/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5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50"/>
  </sheetPr>
  <dimension ref="A2:G29"/>
  <sheetViews>
    <sheetView zoomScale="120" zoomScaleNormal="120" zoomScalePageLayoutView="0" workbookViewId="0" topLeftCell="A1">
      <selection activeCell="G12" sqref="G12"/>
    </sheetView>
  </sheetViews>
  <sheetFormatPr defaultColWidth="9.00390625" defaultRowHeight="12.75"/>
  <cols>
    <col min="1" max="1" width="5.50390625" style="275" customWidth="1"/>
    <col min="2" max="2" width="33.125" style="275" customWidth="1"/>
    <col min="3" max="3" width="12.375" style="275" customWidth="1"/>
    <col min="4" max="4" width="11.50390625" style="275" customWidth="1"/>
    <col min="5" max="5" width="11.375" style="275" customWidth="1"/>
    <col min="6" max="6" width="11.00390625" style="275" customWidth="1"/>
    <col min="7" max="7" width="14.375" style="275" customWidth="1"/>
    <col min="8" max="16384" width="9.375" style="275" customWidth="1"/>
  </cols>
  <sheetData>
    <row r="2" spans="2:7" ht="15" customHeight="1">
      <c r="B2" s="772" t="str">
        <f>CONCATENATE("10. melléklet ",ALAPADATOK!A7," ",ALAPADATOK!B7," ",ALAPADATOK!C7," ",ALAPADATOK!D7," ",ALAPADATOK!E7," ",ALAPADATOK!F7," ",ALAPADATOK!G7," ",ALAPADATOK!H7)</f>
        <v>10. melléklet a … / 2019 ( … ) önkormányzati rendelethez</v>
      </c>
      <c r="C2" s="772"/>
      <c r="D2" s="772"/>
      <c r="E2" s="772"/>
      <c r="F2" s="772"/>
      <c r="G2" s="772"/>
    </row>
    <row r="4" spans="1:7" ht="43.5" customHeight="1">
      <c r="A4" s="773" t="s">
        <v>613</v>
      </c>
      <c r="B4" s="773"/>
      <c r="C4" s="773"/>
      <c r="D4" s="773"/>
      <c r="E4" s="773"/>
      <c r="F4" s="773"/>
      <c r="G4" s="773"/>
    </row>
    <row r="6" spans="1:7" s="446" customFormat="1" ht="27" customHeight="1">
      <c r="A6" s="445" t="s">
        <v>614</v>
      </c>
      <c r="C6" s="774" t="s">
        <v>615</v>
      </c>
      <c r="D6" s="774"/>
      <c r="E6" s="774"/>
      <c r="F6" s="774"/>
      <c r="G6" s="774"/>
    </row>
    <row r="7" s="446" customFormat="1" ht="15.75"/>
    <row r="8" spans="1:6" s="446" customFormat="1" ht="24.75" customHeight="1">
      <c r="A8" s="445" t="s">
        <v>616</v>
      </c>
      <c r="C8" s="774" t="s">
        <v>615</v>
      </c>
      <c r="D8" s="774"/>
      <c r="E8" s="774"/>
      <c r="F8" s="774"/>
    </row>
    <row r="9" s="279" customFormat="1" ht="12.75"/>
    <row r="10" spans="1:7" s="449" customFormat="1" ht="15" customHeight="1">
      <c r="A10" s="447" t="s">
        <v>617</v>
      </c>
      <c r="B10" s="448"/>
      <c r="C10" s="448"/>
      <c r="D10" s="448"/>
      <c r="E10" s="448"/>
      <c r="F10" s="448"/>
      <c r="G10" s="448"/>
    </row>
    <row r="11" spans="1:7" s="449" customFormat="1" ht="15" customHeight="1">
      <c r="A11" s="447" t="s">
        <v>618</v>
      </c>
      <c r="B11" s="448"/>
      <c r="C11" s="448"/>
      <c r="D11" s="448"/>
      <c r="E11" s="448"/>
      <c r="F11" s="448"/>
      <c r="G11" s="450" t="s">
        <v>111</v>
      </c>
    </row>
    <row r="12" spans="1:7" s="454" customFormat="1" ht="42" customHeight="1">
      <c r="A12" s="451" t="s">
        <v>469</v>
      </c>
      <c r="B12" s="452" t="s">
        <v>619</v>
      </c>
      <c r="C12" s="452" t="s">
        <v>620</v>
      </c>
      <c r="D12" s="452" t="s">
        <v>621</v>
      </c>
      <c r="E12" s="452" t="s">
        <v>622</v>
      </c>
      <c r="F12" s="452" t="s">
        <v>623</v>
      </c>
      <c r="G12" s="453" t="s">
        <v>529</v>
      </c>
    </row>
    <row r="13" spans="1:7" ht="24" customHeight="1">
      <c r="A13" s="455" t="s">
        <v>116</v>
      </c>
      <c r="B13" s="456" t="s">
        <v>624</v>
      </c>
      <c r="C13" s="457"/>
      <c r="D13" s="457"/>
      <c r="E13" s="457"/>
      <c r="F13" s="457"/>
      <c r="G13" s="458">
        <f aca="true" t="shared" si="0" ref="G13:G19">SUM(C13:F13)</f>
        <v>0</v>
      </c>
    </row>
    <row r="14" spans="1:7" ht="24" customHeight="1">
      <c r="A14" s="459" t="s">
        <v>130</v>
      </c>
      <c r="B14" s="460" t="s">
        <v>625</v>
      </c>
      <c r="C14" s="461"/>
      <c r="D14" s="461"/>
      <c r="E14" s="461"/>
      <c r="F14" s="461"/>
      <c r="G14" s="462">
        <f t="shared" si="0"/>
        <v>0</v>
      </c>
    </row>
    <row r="15" spans="1:7" ht="24" customHeight="1">
      <c r="A15" s="459" t="s">
        <v>144</v>
      </c>
      <c r="B15" s="460" t="s">
        <v>626</v>
      </c>
      <c r="C15" s="461"/>
      <c r="D15" s="461"/>
      <c r="E15" s="461"/>
      <c r="F15" s="461"/>
      <c r="G15" s="462">
        <f t="shared" si="0"/>
        <v>0</v>
      </c>
    </row>
    <row r="16" spans="1:7" ht="24" customHeight="1">
      <c r="A16" s="459" t="s">
        <v>341</v>
      </c>
      <c r="B16" s="460" t="s">
        <v>627</v>
      </c>
      <c r="C16" s="461"/>
      <c r="D16" s="461"/>
      <c r="E16" s="461"/>
      <c r="F16" s="461"/>
      <c r="G16" s="462">
        <f t="shared" si="0"/>
        <v>0</v>
      </c>
    </row>
    <row r="17" spans="1:7" ht="24" customHeight="1">
      <c r="A17" s="459" t="s">
        <v>174</v>
      </c>
      <c r="B17" s="460" t="s">
        <v>628</v>
      </c>
      <c r="C17" s="461"/>
      <c r="D17" s="461"/>
      <c r="E17" s="461"/>
      <c r="F17" s="461"/>
      <c r="G17" s="462">
        <f t="shared" si="0"/>
        <v>0</v>
      </c>
    </row>
    <row r="18" spans="1:7" ht="24" customHeight="1">
      <c r="A18" s="463" t="s">
        <v>198</v>
      </c>
      <c r="B18" s="464" t="s">
        <v>629</v>
      </c>
      <c r="C18" s="465"/>
      <c r="D18" s="465"/>
      <c r="E18" s="465"/>
      <c r="F18" s="465"/>
      <c r="G18" s="466">
        <f t="shared" si="0"/>
        <v>0</v>
      </c>
    </row>
    <row r="19" spans="1:7" s="471" customFormat="1" ht="24" customHeight="1">
      <c r="A19" s="467" t="s">
        <v>358</v>
      </c>
      <c r="B19" s="468" t="s">
        <v>529</v>
      </c>
      <c r="C19" s="469">
        <f>SUM(C13:C18)</f>
        <v>0</v>
      </c>
      <c r="D19" s="469">
        <f>SUM(D13:D18)</f>
        <v>0</v>
      </c>
      <c r="E19" s="469">
        <f>SUM(E13:E18)</f>
        <v>0</v>
      </c>
      <c r="F19" s="469">
        <f>SUM(F13:F18)</f>
        <v>0</v>
      </c>
      <c r="G19" s="470">
        <f t="shared" si="0"/>
        <v>0</v>
      </c>
    </row>
    <row r="20" spans="1:7" s="279" customFormat="1" ht="12.75">
      <c r="A20" s="304"/>
      <c r="B20" s="304"/>
      <c r="C20" s="304"/>
      <c r="D20" s="304"/>
      <c r="E20" s="304"/>
      <c r="F20" s="304"/>
      <c r="G20" s="304"/>
    </row>
    <row r="21" spans="1:7" s="279" customFormat="1" ht="12.75">
      <c r="A21" s="304"/>
      <c r="B21" s="304"/>
      <c r="C21" s="304"/>
      <c r="D21" s="304"/>
      <c r="E21" s="304"/>
      <c r="F21" s="304"/>
      <c r="G21" s="304"/>
    </row>
    <row r="22" spans="1:7" s="279" customFormat="1" ht="12.75">
      <c r="A22" s="304"/>
      <c r="B22" s="304"/>
      <c r="C22" s="304"/>
      <c r="D22" s="304"/>
      <c r="E22" s="304"/>
      <c r="F22" s="304"/>
      <c r="G22" s="304"/>
    </row>
    <row r="23" spans="1:7" s="279" customFormat="1" ht="15.75">
      <c r="A23" s="446" t="str">
        <f>+CONCATENATE("......................, ",LEFT(KV_ÖSSZEFÜGGÉSEK!A5,4),". .......................... hó ..... nap")</f>
        <v>......................, 2019. .......................... hó ..... nap</v>
      </c>
      <c r="F23" s="304"/>
      <c r="G23" s="304"/>
    </row>
    <row r="24" spans="6:7" s="279" customFormat="1" ht="12.75">
      <c r="F24" s="304"/>
      <c r="G24" s="304"/>
    </row>
    <row r="25" spans="1:7" ht="12.75">
      <c r="A25" s="304"/>
      <c r="B25" s="304"/>
      <c r="C25" s="304"/>
      <c r="D25" s="304"/>
      <c r="E25" s="304"/>
      <c r="F25" s="304"/>
      <c r="G25" s="304"/>
    </row>
    <row r="26" spans="1:7" ht="12.75">
      <c r="A26" s="304"/>
      <c r="B26" s="304"/>
      <c r="C26" s="279"/>
      <c r="D26" s="279"/>
      <c r="E26" s="279"/>
      <c r="F26" s="279"/>
      <c r="G26" s="304"/>
    </row>
    <row r="27" spans="1:7" ht="13.5">
      <c r="A27" s="304"/>
      <c r="B27" s="304"/>
      <c r="C27" s="472"/>
      <c r="D27" s="473" t="s">
        <v>630</v>
      </c>
      <c r="E27" s="473"/>
      <c r="F27" s="472"/>
      <c r="G27" s="304"/>
    </row>
    <row r="28" spans="3:6" ht="13.5">
      <c r="C28" s="474"/>
      <c r="D28" s="475"/>
      <c r="E28" s="475"/>
      <c r="F28" s="474"/>
    </row>
    <row r="29" spans="3:6" ht="13.5">
      <c r="C29" s="474"/>
      <c r="D29" s="475"/>
      <c r="E29" s="475"/>
      <c r="F29" s="474"/>
    </row>
  </sheetData>
  <sheetProtection sheet="1"/>
  <mergeCells count="4">
    <mergeCell ref="B2:G2"/>
    <mergeCell ref="A4:G4"/>
    <mergeCell ref="C6:G6"/>
    <mergeCell ref="C8:F8"/>
  </mergeCells>
  <printOptions horizontalCentered="1"/>
  <pageMargins left="0.7875" right="0.7875" top="1.1416666666666666" bottom="0.9840277777777777" header="0.5118055555555555" footer="0.5118055555555555"/>
  <pageSetup horizontalDpi="300" verticalDpi="300" orientation="portrait" paperSize="9" scale="95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2:B16"/>
  <sheetViews>
    <sheetView zoomScale="120" zoomScaleNormal="120" zoomScalePageLayoutView="0" workbookViewId="0" topLeftCell="A1">
      <selection activeCell="C39" sqref="C39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5.75">
      <c r="A2" s="19" t="s">
        <v>93</v>
      </c>
    </row>
    <row r="4" spans="1:2" ht="12.75">
      <c r="A4" s="20"/>
      <c r="B4" s="20"/>
    </row>
    <row r="5" spans="1:2" s="23" customFormat="1" ht="15.75">
      <c r="A5" s="21" t="s">
        <v>94</v>
      </c>
      <c r="B5" s="22"/>
    </row>
    <row r="6" spans="1:2" ht="12.75">
      <c r="A6" s="20"/>
      <c r="B6" s="20"/>
    </row>
    <row r="7" spans="1:2" ht="12.75">
      <c r="A7" s="20" t="s">
        <v>95</v>
      </c>
      <c r="B7" s="20" t="s">
        <v>96</v>
      </c>
    </row>
    <row r="8" spans="1:2" ht="12.75">
      <c r="A8" s="20" t="s">
        <v>97</v>
      </c>
      <c r="B8" s="20" t="s">
        <v>98</v>
      </c>
    </row>
    <row r="9" spans="1:2" ht="12.75">
      <c r="A9" s="20" t="s">
        <v>99</v>
      </c>
      <c r="B9" s="20" t="s">
        <v>100</v>
      </c>
    </row>
    <row r="10" spans="1:2" ht="12.75">
      <c r="A10" s="20"/>
      <c r="B10" s="20"/>
    </row>
    <row r="11" spans="1:2" ht="12.75">
      <c r="A11" s="20"/>
      <c r="B11" s="20"/>
    </row>
    <row r="12" spans="1:2" s="23" customFormat="1" ht="15.75">
      <c r="A12" s="21" t="str">
        <f>+CONCATENATE(LEFT(A5,4),". évi előirányzat KIADÁSOK")</f>
        <v>2019. évi előirányzat KIADÁSOK</v>
      </c>
      <c r="B12" s="22"/>
    </row>
    <row r="13" spans="1:2" ht="12.75">
      <c r="A13" s="20"/>
      <c r="B13" s="20"/>
    </row>
    <row r="14" spans="1:2" ht="12.75">
      <c r="A14" s="20" t="s">
        <v>101</v>
      </c>
      <c r="B14" s="20" t="s">
        <v>102</v>
      </c>
    </row>
    <row r="15" spans="1:2" ht="12.75">
      <c r="A15" s="20" t="s">
        <v>103</v>
      </c>
      <c r="B15" s="20" t="s">
        <v>104</v>
      </c>
    </row>
    <row r="16" spans="1:2" ht="12.75">
      <c r="A16" s="20" t="s">
        <v>105</v>
      </c>
      <c r="B16" s="20" t="s">
        <v>106</v>
      </c>
    </row>
  </sheetData>
  <sheetProtection sheet="1"/>
  <printOptions/>
  <pageMargins left="1.0631944444444446" right="1.023611111111111" top="0.7875" bottom="0.7875" header="0.5118055555555555" footer="0.5118055555555555"/>
  <pageSetup horizontalDpi="300" verticalDpi="300" orientation="landscape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50"/>
  </sheetPr>
  <dimension ref="A1:G170"/>
  <sheetViews>
    <sheetView zoomScale="120" zoomScaleNormal="120" zoomScaleSheetLayoutView="100" zoomScalePageLayoutView="0" workbookViewId="0" topLeftCell="A1">
      <selection activeCell="E1" sqref="E1"/>
    </sheetView>
  </sheetViews>
  <sheetFormatPr defaultColWidth="9.00390625" defaultRowHeight="12.75"/>
  <cols>
    <col min="1" max="1" width="9.00390625" style="476" customWidth="1"/>
    <col min="2" max="2" width="75.875" style="476" customWidth="1"/>
    <col min="3" max="3" width="15.50390625" style="477" customWidth="1"/>
    <col min="4" max="5" width="15.50390625" style="476" customWidth="1"/>
    <col min="6" max="6" width="9.00390625" style="478" customWidth="1"/>
    <col min="7" max="16384" width="9.375" style="478" customWidth="1"/>
  </cols>
  <sheetData>
    <row r="1" spans="1:5" ht="14.25" customHeight="1">
      <c r="A1" s="27"/>
      <c r="B1" s="27"/>
      <c r="C1" s="31"/>
      <c r="D1" s="27"/>
      <c r="E1" s="479" t="str">
        <f>CONCATENATE("1. tájékoztató tábla ",ALAPADATOK!A7," ",ALAPADATOK!B7," ",ALAPADATOK!C7," ",ALAPADATOK!D7," ",ALAPADATOK!E7," ",ALAPADATOK!F7," ",ALAPADATOK!G7," ",ALAPADATOK!H7)</f>
        <v>1. tájékoztató tábla a … / 2019 ( … ) önkormányzati rendelethez</v>
      </c>
    </row>
    <row r="2" spans="1:5" ht="15.75" customHeight="1">
      <c r="A2" s="775" t="str">
        <f>CONCATENATE(ALAPADATOK!A3)</f>
        <v>ELEK VÁROS ÖNKORMÁNYZATA</v>
      </c>
      <c r="B2" s="775"/>
      <c r="C2" s="775"/>
      <c r="D2" s="775"/>
      <c r="E2" s="775"/>
    </row>
    <row r="3" spans="1:5" ht="15.75">
      <c r="A3" s="775" t="s">
        <v>51</v>
      </c>
      <c r="B3" s="775"/>
      <c r="C3" s="775"/>
      <c r="D3" s="775"/>
      <c r="E3" s="775"/>
    </row>
    <row r="4" spans="1:5" ht="15.75" customHeight="1">
      <c r="A4" s="735" t="s">
        <v>109</v>
      </c>
      <c r="B4" s="735"/>
      <c r="C4" s="735"/>
      <c r="D4" s="735"/>
      <c r="E4" s="735"/>
    </row>
    <row r="5" spans="1:5" ht="15.75" customHeight="1">
      <c r="A5" s="736" t="s">
        <v>110</v>
      </c>
      <c r="B5" s="736"/>
      <c r="C5" s="31"/>
      <c r="D5" s="32"/>
      <c r="E5" s="480" t="str">
        <f>'KV_10.sz.mell'!G11</f>
        <v>Forintban!</v>
      </c>
    </row>
    <row r="6" spans="1:5" ht="30.75" customHeight="1">
      <c r="A6" s="34" t="s">
        <v>112</v>
      </c>
      <c r="B6" s="35" t="s">
        <v>113</v>
      </c>
      <c r="C6" s="35" t="str">
        <f>+CONCATENATE(LEFT(KV_ÖSSZEFÜGGÉSEK!A5,4)-2,". évi tény")</f>
        <v>2017. évi tény</v>
      </c>
      <c r="D6" s="481" t="str">
        <f>+CONCATENATE(LEFT(KV_ÖSSZEFÜGGÉSEK!A5,4)-1,". évi várható")</f>
        <v>2018. évi várható</v>
      </c>
      <c r="E6" s="482" t="str">
        <f>+'KV_1.1.sz.mell.'!C8</f>
        <v>2019. évi előirányzat</v>
      </c>
    </row>
    <row r="7" spans="1:5" s="485" customFormat="1" ht="12" customHeight="1">
      <c r="A7" s="336" t="s">
        <v>114</v>
      </c>
      <c r="B7" s="483" t="s">
        <v>115</v>
      </c>
      <c r="C7" s="483" t="s">
        <v>385</v>
      </c>
      <c r="D7" s="483" t="s">
        <v>386</v>
      </c>
      <c r="E7" s="484" t="s">
        <v>473</v>
      </c>
    </row>
    <row r="8" spans="1:5" s="488" customFormat="1" ht="12" customHeight="1">
      <c r="A8" s="41" t="s">
        <v>116</v>
      </c>
      <c r="B8" s="42" t="s">
        <v>117</v>
      </c>
      <c r="C8" s="486">
        <f>+C9+C10+C11+C12+C13+C14</f>
        <v>448825918</v>
      </c>
      <c r="D8" s="486">
        <f>+D9+D10+D11+D12+D13+D14</f>
        <v>454045276</v>
      </c>
      <c r="E8" s="487">
        <f>+E9+E10+E11+E12+E13+E14</f>
        <v>413947518</v>
      </c>
    </row>
    <row r="9" spans="1:5" s="488" customFormat="1" ht="12" customHeight="1">
      <c r="A9" s="45" t="s">
        <v>118</v>
      </c>
      <c r="B9" s="46" t="s">
        <v>119</v>
      </c>
      <c r="C9" s="489">
        <v>169436741</v>
      </c>
      <c r="D9" s="489">
        <v>172166108</v>
      </c>
      <c r="E9" s="490">
        <v>180621648</v>
      </c>
    </row>
    <row r="10" spans="1:5" s="488" customFormat="1" ht="12" customHeight="1">
      <c r="A10" s="48" t="s">
        <v>120</v>
      </c>
      <c r="B10" s="49" t="s">
        <v>121</v>
      </c>
      <c r="C10" s="491">
        <v>86237610</v>
      </c>
      <c r="D10" s="491">
        <v>84813533</v>
      </c>
      <c r="E10" s="108">
        <v>91830668</v>
      </c>
    </row>
    <row r="11" spans="1:5" s="488" customFormat="1" ht="12" customHeight="1">
      <c r="A11" s="48" t="s">
        <v>122</v>
      </c>
      <c r="B11" s="49" t="s">
        <v>631</v>
      </c>
      <c r="C11" s="491">
        <v>156504233</v>
      </c>
      <c r="D11" s="491">
        <v>153059127</v>
      </c>
      <c r="E11" s="108">
        <v>135618232</v>
      </c>
    </row>
    <row r="12" spans="1:5" s="488" customFormat="1" ht="12" customHeight="1">
      <c r="A12" s="48" t="s">
        <v>124</v>
      </c>
      <c r="B12" s="49" t="s">
        <v>125</v>
      </c>
      <c r="C12" s="491">
        <v>6092639</v>
      </c>
      <c r="D12" s="491">
        <v>6481331</v>
      </c>
      <c r="E12" s="108">
        <v>5876970</v>
      </c>
    </row>
    <row r="13" spans="1:5" s="488" customFormat="1" ht="12" customHeight="1">
      <c r="A13" s="48" t="s">
        <v>126</v>
      </c>
      <c r="B13" s="51" t="s">
        <v>127</v>
      </c>
      <c r="C13" s="491">
        <v>30554695</v>
      </c>
      <c r="D13" s="491">
        <v>37525177</v>
      </c>
      <c r="E13" s="108"/>
    </row>
    <row r="14" spans="1:5" s="488" customFormat="1" ht="12" customHeight="1">
      <c r="A14" s="52" t="s">
        <v>128</v>
      </c>
      <c r="B14" s="53" t="s">
        <v>129</v>
      </c>
      <c r="C14" s="491"/>
      <c r="D14" s="491"/>
      <c r="E14" s="108"/>
    </row>
    <row r="15" spans="1:5" s="488" customFormat="1" ht="12" customHeight="1">
      <c r="A15" s="41" t="s">
        <v>130</v>
      </c>
      <c r="B15" s="54" t="s">
        <v>131</v>
      </c>
      <c r="C15" s="486">
        <f>+C16+C17+C18+C19+C20</f>
        <v>294291337</v>
      </c>
      <c r="D15" s="486">
        <f>+D16+D17+D18+D19+D20</f>
        <v>290941547</v>
      </c>
      <c r="E15" s="487">
        <f>+E16+E17+E18+E19+E20</f>
        <v>22781887</v>
      </c>
    </row>
    <row r="16" spans="1:5" s="488" customFormat="1" ht="12" customHeight="1">
      <c r="A16" s="45" t="s">
        <v>132</v>
      </c>
      <c r="B16" s="46" t="s">
        <v>133</v>
      </c>
      <c r="C16" s="489"/>
      <c r="D16" s="489"/>
      <c r="E16" s="490"/>
    </row>
    <row r="17" spans="1:5" s="488" customFormat="1" ht="12" customHeight="1">
      <c r="A17" s="48" t="s">
        <v>134</v>
      </c>
      <c r="B17" s="49" t="s">
        <v>135</v>
      </c>
      <c r="C17" s="491"/>
      <c r="D17" s="491"/>
      <c r="E17" s="108"/>
    </row>
    <row r="18" spans="1:5" s="488" customFormat="1" ht="12" customHeight="1">
      <c r="A18" s="48" t="s">
        <v>136</v>
      </c>
      <c r="B18" s="49" t="s">
        <v>137</v>
      </c>
      <c r="C18" s="491"/>
      <c r="D18" s="491"/>
      <c r="E18" s="108"/>
    </row>
    <row r="19" spans="1:5" s="488" customFormat="1" ht="12" customHeight="1">
      <c r="A19" s="48" t="s">
        <v>138</v>
      </c>
      <c r="B19" s="49" t="s">
        <v>139</v>
      </c>
      <c r="C19" s="491"/>
      <c r="D19" s="491"/>
      <c r="E19" s="108"/>
    </row>
    <row r="20" spans="1:5" s="488" customFormat="1" ht="12" customHeight="1">
      <c r="A20" s="48" t="s">
        <v>140</v>
      </c>
      <c r="B20" s="49" t="s">
        <v>544</v>
      </c>
      <c r="C20" s="491">
        <v>294291337</v>
      </c>
      <c r="D20" s="491">
        <v>290941547</v>
      </c>
      <c r="E20" s="108">
        <v>22781887</v>
      </c>
    </row>
    <row r="21" spans="1:5" s="488" customFormat="1" ht="12" customHeight="1">
      <c r="A21" s="52" t="s">
        <v>142</v>
      </c>
      <c r="B21" s="53" t="s">
        <v>143</v>
      </c>
      <c r="C21" s="492"/>
      <c r="D21" s="492"/>
      <c r="E21" s="110">
        <v>3139296</v>
      </c>
    </row>
    <row r="22" spans="1:5" s="488" customFormat="1" ht="12" customHeight="1">
      <c r="A22" s="41" t="s">
        <v>144</v>
      </c>
      <c r="B22" s="42" t="s">
        <v>145</v>
      </c>
      <c r="C22" s="486">
        <f>+C23+C24+C25+C26+C27</f>
        <v>111376442</v>
      </c>
      <c r="D22" s="486">
        <f>+D23+D24+D25+D26+D27</f>
        <v>157185651</v>
      </c>
      <c r="E22" s="487">
        <f>+E23+E24+E25+E26+E27</f>
        <v>8856290</v>
      </c>
    </row>
    <row r="23" spans="1:5" s="488" customFormat="1" ht="12" customHeight="1">
      <c r="A23" s="45" t="s">
        <v>146</v>
      </c>
      <c r="B23" s="46" t="s">
        <v>147</v>
      </c>
      <c r="C23" s="489">
        <v>10081500</v>
      </c>
      <c r="D23" s="489">
        <v>157185651</v>
      </c>
      <c r="E23" s="490">
        <v>8856290</v>
      </c>
    </row>
    <row r="24" spans="1:5" s="488" customFormat="1" ht="12" customHeight="1">
      <c r="A24" s="48" t="s">
        <v>148</v>
      </c>
      <c r="B24" s="49" t="s">
        <v>149</v>
      </c>
      <c r="C24" s="491"/>
      <c r="D24" s="491"/>
      <c r="E24" s="108"/>
    </row>
    <row r="25" spans="1:5" s="488" customFormat="1" ht="12" customHeight="1">
      <c r="A25" s="48" t="s">
        <v>150</v>
      </c>
      <c r="B25" s="49" t="s">
        <v>151</v>
      </c>
      <c r="C25" s="491"/>
      <c r="D25" s="491"/>
      <c r="E25" s="108"/>
    </row>
    <row r="26" spans="1:5" s="488" customFormat="1" ht="12" customHeight="1">
      <c r="A26" s="48" t="s">
        <v>152</v>
      </c>
      <c r="B26" s="49" t="s">
        <v>153</v>
      </c>
      <c r="C26" s="491"/>
      <c r="D26" s="491"/>
      <c r="E26" s="108"/>
    </row>
    <row r="27" spans="1:5" s="488" customFormat="1" ht="12" customHeight="1">
      <c r="A27" s="48" t="s">
        <v>154</v>
      </c>
      <c r="B27" s="49" t="s">
        <v>155</v>
      </c>
      <c r="C27" s="491">
        <v>101294942</v>
      </c>
      <c r="D27" s="491"/>
      <c r="E27" s="108"/>
    </row>
    <row r="28" spans="1:5" s="488" customFormat="1" ht="12" customHeight="1">
      <c r="A28" s="52" t="s">
        <v>156</v>
      </c>
      <c r="B28" s="62" t="s">
        <v>567</v>
      </c>
      <c r="C28" s="492">
        <v>101294942</v>
      </c>
      <c r="D28" s="492"/>
      <c r="E28" s="110"/>
    </row>
    <row r="29" spans="1:5" s="488" customFormat="1" ht="12" customHeight="1">
      <c r="A29" s="41" t="s">
        <v>158</v>
      </c>
      <c r="B29" s="42" t="s">
        <v>571</v>
      </c>
      <c r="C29" s="486">
        <f>SUM(C30:C36)</f>
        <v>59946711</v>
      </c>
      <c r="D29" s="486">
        <f>SUM(D30:D36)</f>
        <v>67680135</v>
      </c>
      <c r="E29" s="487">
        <f>SUM(E30:E36)</f>
        <v>60000000</v>
      </c>
    </row>
    <row r="30" spans="1:5" s="488" customFormat="1" ht="12" customHeight="1">
      <c r="A30" s="45" t="s">
        <v>160</v>
      </c>
      <c r="B30" s="46" t="s">
        <v>632</v>
      </c>
      <c r="C30" s="489">
        <v>5356465</v>
      </c>
      <c r="D30" s="489">
        <v>4713164</v>
      </c>
      <c r="E30" s="94">
        <v>4500000</v>
      </c>
    </row>
    <row r="31" spans="1:5" s="488" customFormat="1" ht="12" customHeight="1">
      <c r="A31" s="48" t="s">
        <v>162</v>
      </c>
      <c r="B31" s="49" t="s">
        <v>163</v>
      </c>
      <c r="C31" s="491"/>
      <c r="D31" s="491"/>
      <c r="E31" s="50"/>
    </row>
    <row r="32" spans="1:5" s="488" customFormat="1" ht="12" customHeight="1">
      <c r="A32" s="48" t="s">
        <v>164</v>
      </c>
      <c r="B32" s="49" t="s">
        <v>165</v>
      </c>
      <c r="C32" s="491">
        <v>44599845</v>
      </c>
      <c r="D32" s="491">
        <v>53848194</v>
      </c>
      <c r="E32" s="50">
        <v>48000000</v>
      </c>
    </row>
    <row r="33" spans="1:5" s="488" customFormat="1" ht="12" customHeight="1">
      <c r="A33" s="48" t="s">
        <v>166</v>
      </c>
      <c r="B33" s="49" t="s">
        <v>167</v>
      </c>
      <c r="C33" s="491"/>
      <c r="D33" s="491"/>
      <c r="E33" s="50"/>
    </row>
    <row r="34" spans="1:5" s="488" customFormat="1" ht="12" customHeight="1">
      <c r="A34" s="48" t="s">
        <v>168</v>
      </c>
      <c r="B34" s="49" t="s">
        <v>169</v>
      </c>
      <c r="C34" s="491">
        <v>8775845</v>
      </c>
      <c r="D34" s="491">
        <v>8695430</v>
      </c>
      <c r="E34" s="50">
        <v>7500000</v>
      </c>
    </row>
    <row r="35" spans="1:5" s="488" customFormat="1" ht="12" customHeight="1">
      <c r="A35" s="48" t="s">
        <v>170</v>
      </c>
      <c r="B35" s="49" t="s">
        <v>171</v>
      </c>
      <c r="C35" s="491"/>
      <c r="D35" s="491"/>
      <c r="E35" s="50"/>
    </row>
    <row r="36" spans="1:5" s="488" customFormat="1" ht="12" customHeight="1">
      <c r="A36" s="52" t="s">
        <v>172</v>
      </c>
      <c r="B36" s="62" t="s">
        <v>173</v>
      </c>
      <c r="C36" s="492">
        <v>1214556</v>
      </c>
      <c r="D36" s="492">
        <v>423347</v>
      </c>
      <c r="E36" s="73"/>
    </row>
    <row r="37" spans="1:5" s="488" customFormat="1" ht="12" customHeight="1">
      <c r="A37" s="41" t="s">
        <v>174</v>
      </c>
      <c r="B37" s="42" t="s">
        <v>175</v>
      </c>
      <c r="C37" s="486">
        <f>SUM(C38:C48)</f>
        <v>109071622</v>
      </c>
      <c r="D37" s="486">
        <f>SUM(D38:D48)</f>
        <v>120837476</v>
      </c>
      <c r="E37" s="487">
        <f>SUM(E38:E48)</f>
        <v>100476086</v>
      </c>
    </row>
    <row r="38" spans="1:5" s="488" customFormat="1" ht="12" customHeight="1">
      <c r="A38" s="45" t="s">
        <v>176</v>
      </c>
      <c r="B38" s="46" t="s">
        <v>177</v>
      </c>
      <c r="C38" s="489">
        <v>18379725</v>
      </c>
      <c r="D38" s="489">
        <v>25104596</v>
      </c>
      <c r="E38" s="490">
        <v>15812490</v>
      </c>
    </row>
    <row r="39" spans="1:5" s="488" customFormat="1" ht="12" customHeight="1">
      <c r="A39" s="48" t="s">
        <v>178</v>
      </c>
      <c r="B39" s="49" t="s">
        <v>179</v>
      </c>
      <c r="C39" s="491">
        <v>6003318</v>
      </c>
      <c r="D39" s="491">
        <v>8194215</v>
      </c>
      <c r="E39" s="108">
        <v>7196000</v>
      </c>
    </row>
    <row r="40" spans="1:5" s="488" customFormat="1" ht="12" customHeight="1">
      <c r="A40" s="48" t="s">
        <v>180</v>
      </c>
      <c r="B40" s="49" t="s">
        <v>181</v>
      </c>
      <c r="C40" s="491">
        <v>9359785</v>
      </c>
      <c r="D40" s="491">
        <v>14253744</v>
      </c>
      <c r="E40" s="108">
        <v>8620000</v>
      </c>
    </row>
    <row r="41" spans="1:5" s="488" customFormat="1" ht="12" customHeight="1">
      <c r="A41" s="48" t="s">
        <v>182</v>
      </c>
      <c r="B41" s="49" t="s">
        <v>183</v>
      </c>
      <c r="C41" s="491">
        <v>14768921</v>
      </c>
      <c r="D41" s="491">
        <v>15100891</v>
      </c>
      <c r="E41" s="108">
        <v>14791000</v>
      </c>
    </row>
    <row r="42" spans="1:5" s="488" customFormat="1" ht="12" customHeight="1">
      <c r="A42" s="48" t="s">
        <v>184</v>
      </c>
      <c r="B42" s="49" t="s">
        <v>185</v>
      </c>
      <c r="C42" s="491">
        <v>37660371</v>
      </c>
      <c r="D42" s="491">
        <v>39536338</v>
      </c>
      <c r="E42" s="108">
        <v>40313475</v>
      </c>
    </row>
    <row r="43" spans="1:5" s="488" customFormat="1" ht="12" customHeight="1">
      <c r="A43" s="48" t="s">
        <v>186</v>
      </c>
      <c r="B43" s="49" t="s">
        <v>187</v>
      </c>
      <c r="C43" s="491">
        <v>13044924</v>
      </c>
      <c r="D43" s="491">
        <v>16124007</v>
      </c>
      <c r="E43" s="108">
        <v>12727121</v>
      </c>
    </row>
    <row r="44" spans="1:5" s="488" customFormat="1" ht="12" customHeight="1">
      <c r="A44" s="48" t="s">
        <v>188</v>
      </c>
      <c r="B44" s="49" t="s">
        <v>189</v>
      </c>
      <c r="C44" s="491">
        <v>592000</v>
      </c>
      <c r="D44" s="491">
        <v>1458000</v>
      </c>
      <c r="E44" s="108"/>
    </row>
    <row r="45" spans="1:5" s="488" customFormat="1" ht="12" customHeight="1">
      <c r="A45" s="48" t="s">
        <v>190</v>
      </c>
      <c r="B45" s="49" t="s">
        <v>191</v>
      </c>
      <c r="C45" s="491">
        <v>7632</v>
      </c>
      <c r="D45" s="491">
        <v>400</v>
      </c>
      <c r="E45" s="108"/>
    </row>
    <row r="46" spans="1:5" s="488" customFormat="1" ht="12" customHeight="1">
      <c r="A46" s="48" t="s">
        <v>192</v>
      </c>
      <c r="B46" s="49" t="s">
        <v>193</v>
      </c>
      <c r="C46" s="491"/>
      <c r="D46" s="491"/>
      <c r="E46" s="108"/>
    </row>
    <row r="47" spans="1:5" s="488" customFormat="1" ht="12" customHeight="1">
      <c r="A47" s="52" t="s">
        <v>194</v>
      </c>
      <c r="B47" s="62" t="s">
        <v>195</v>
      </c>
      <c r="C47" s="492">
        <v>686990</v>
      </c>
      <c r="D47" s="492">
        <v>3500</v>
      </c>
      <c r="E47" s="110"/>
    </row>
    <row r="48" spans="1:5" s="488" customFormat="1" ht="12" customHeight="1">
      <c r="A48" s="52" t="s">
        <v>196</v>
      </c>
      <c r="B48" s="53" t="s">
        <v>197</v>
      </c>
      <c r="C48" s="492">
        <v>8567956</v>
      </c>
      <c r="D48" s="492">
        <v>1061785</v>
      </c>
      <c r="E48" s="110">
        <v>1016000</v>
      </c>
    </row>
    <row r="49" spans="1:5" s="488" customFormat="1" ht="12" customHeight="1">
      <c r="A49" s="41" t="s">
        <v>198</v>
      </c>
      <c r="B49" s="42" t="s">
        <v>199</v>
      </c>
      <c r="C49" s="486">
        <f>SUM(C50:C54)</f>
        <v>1530000</v>
      </c>
      <c r="D49" s="486">
        <f>SUM(D50:D54)</f>
        <v>3223594</v>
      </c>
      <c r="E49" s="487">
        <f>SUM(E50:E54)</f>
        <v>0</v>
      </c>
    </row>
    <row r="50" spans="1:5" s="488" customFormat="1" ht="12" customHeight="1">
      <c r="A50" s="45" t="s">
        <v>200</v>
      </c>
      <c r="B50" s="46" t="s">
        <v>201</v>
      </c>
      <c r="C50" s="489"/>
      <c r="D50" s="489"/>
      <c r="E50" s="490"/>
    </row>
    <row r="51" spans="1:5" s="488" customFormat="1" ht="12" customHeight="1">
      <c r="A51" s="48" t="s">
        <v>202</v>
      </c>
      <c r="B51" s="49" t="s">
        <v>203</v>
      </c>
      <c r="C51" s="491"/>
      <c r="D51" s="491">
        <v>1018869</v>
      </c>
      <c r="E51" s="108"/>
    </row>
    <row r="52" spans="1:5" s="488" customFormat="1" ht="12" customHeight="1">
      <c r="A52" s="48" t="s">
        <v>204</v>
      </c>
      <c r="B52" s="49" t="s">
        <v>205</v>
      </c>
      <c r="C52" s="491">
        <v>1530000</v>
      </c>
      <c r="D52" s="491">
        <v>2204725</v>
      </c>
      <c r="E52" s="108"/>
    </row>
    <row r="53" spans="1:5" s="488" customFormat="1" ht="12" customHeight="1">
      <c r="A53" s="48" t="s">
        <v>206</v>
      </c>
      <c r="B53" s="49" t="s">
        <v>207</v>
      </c>
      <c r="C53" s="491"/>
      <c r="D53" s="491"/>
      <c r="E53" s="108"/>
    </row>
    <row r="54" spans="1:5" s="488" customFormat="1" ht="12" customHeight="1">
      <c r="A54" s="52" t="s">
        <v>208</v>
      </c>
      <c r="B54" s="53" t="s">
        <v>209</v>
      </c>
      <c r="C54" s="492"/>
      <c r="D54" s="492"/>
      <c r="E54" s="110"/>
    </row>
    <row r="55" spans="1:5" s="488" customFormat="1" ht="12" customHeight="1">
      <c r="A55" s="41" t="s">
        <v>210</v>
      </c>
      <c r="B55" s="42" t="s">
        <v>211</v>
      </c>
      <c r="C55" s="486">
        <f>SUM(C56:C58)</f>
        <v>0</v>
      </c>
      <c r="D55" s="486">
        <f>SUM(D56:D58)</f>
        <v>15123671</v>
      </c>
      <c r="E55" s="487">
        <f>SUM(E56:E58)</f>
        <v>0</v>
      </c>
    </row>
    <row r="56" spans="1:5" s="488" customFormat="1" ht="12" customHeight="1">
      <c r="A56" s="45" t="s">
        <v>212</v>
      </c>
      <c r="B56" s="46" t="s">
        <v>213</v>
      </c>
      <c r="C56" s="489"/>
      <c r="D56" s="489"/>
      <c r="E56" s="490"/>
    </row>
    <row r="57" spans="1:5" s="488" customFormat="1" ht="12" customHeight="1">
      <c r="A57" s="48" t="s">
        <v>214</v>
      </c>
      <c r="B57" s="49" t="s">
        <v>215</v>
      </c>
      <c r="C57" s="491"/>
      <c r="D57" s="491"/>
      <c r="E57" s="108"/>
    </row>
    <row r="58" spans="1:5" s="488" customFormat="1" ht="12" customHeight="1">
      <c r="A58" s="48" t="s">
        <v>216</v>
      </c>
      <c r="B58" s="49" t="s">
        <v>217</v>
      </c>
      <c r="C58" s="491"/>
      <c r="D58" s="491">
        <v>15123671</v>
      </c>
      <c r="E58" s="108"/>
    </row>
    <row r="59" spans="1:5" s="488" customFormat="1" ht="12" customHeight="1">
      <c r="A59" s="52" t="s">
        <v>218</v>
      </c>
      <c r="B59" s="53" t="s">
        <v>219</v>
      </c>
      <c r="C59" s="492"/>
      <c r="D59" s="493">
        <v>8029401</v>
      </c>
      <c r="E59" s="110"/>
    </row>
    <row r="60" spans="1:5" s="488" customFormat="1" ht="12" customHeight="1">
      <c r="A60" s="41" t="s">
        <v>220</v>
      </c>
      <c r="B60" s="54" t="s">
        <v>221</v>
      </c>
      <c r="C60" s="486">
        <f>SUM(C61:C63)</f>
        <v>2021052</v>
      </c>
      <c r="D60" s="486">
        <f>SUM(D61:D63)</f>
        <v>0</v>
      </c>
      <c r="E60" s="487">
        <f>SUM(E61:E63)</f>
        <v>13000000</v>
      </c>
    </row>
    <row r="61" spans="1:5" s="488" customFormat="1" ht="12" customHeight="1">
      <c r="A61" s="45" t="s">
        <v>222</v>
      </c>
      <c r="B61" s="46" t="s">
        <v>223</v>
      </c>
      <c r="C61" s="491"/>
      <c r="D61" s="491"/>
      <c r="E61" s="108"/>
    </row>
    <row r="62" spans="1:5" s="488" customFormat="1" ht="12" customHeight="1">
      <c r="A62" s="48" t="s">
        <v>224</v>
      </c>
      <c r="B62" s="49" t="s">
        <v>225</v>
      </c>
      <c r="C62" s="491">
        <v>10000</v>
      </c>
      <c r="D62" s="491"/>
      <c r="E62" s="108"/>
    </row>
    <row r="63" spans="1:5" s="488" customFormat="1" ht="12" customHeight="1">
      <c r="A63" s="48" t="s">
        <v>226</v>
      </c>
      <c r="B63" s="49" t="s">
        <v>227</v>
      </c>
      <c r="C63" s="491">
        <v>2011052</v>
      </c>
      <c r="D63" s="491"/>
      <c r="E63" s="108">
        <v>13000000</v>
      </c>
    </row>
    <row r="64" spans="1:5" s="488" customFormat="1" ht="12" customHeight="1">
      <c r="A64" s="52" t="s">
        <v>228</v>
      </c>
      <c r="B64" s="53" t="s">
        <v>229</v>
      </c>
      <c r="C64" s="491"/>
      <c r="D64" s="491"/>
      <c r="E64" s="108"/>
    </row>
    <row r="65" spans="1:5" s="488" customFormat="1" ht="12" customHeight="1">
      <c r="A65" s="63" t="s">
        <v>230</v>
      </c>
      <c r="B65" s="42" t="s">
        <v>231</v>
      </c>
      <c r="C65" s="486">
        <f>+C8+C15+C22+C29+C37+C49+C55+C60</f>
        <v>1027063082</v>
      </c>
      <c r="D65" s="486">
        <f>+D8+D15+D22+D29+D37+D49+D55+D60</f>
        <v>1109037350</v>
      </c>
      <c r="E65" s="487">
        <f>+E8+E15+E22+E29+E37+E49+E55+E60</f>
        <v>619061781</v>
      </c>
    </row>
    <row r="66" spans="1:5" s="488" customFormat="1" ht="12" customHeight="1">
      <c r="A66" s="64" t="s">
        <v>232</v>
      </c>
      <c r="B66" s="54" t="s">
        <v>633</v>
      </c>
      <c r="C66" s="486">
        <f>SUM(C67:C69)</f>
        <v>0</v>
      </c>
      <c r="D66" s="486">
        <f>SUM(D67:D69)</f>
        <v>0</v>
      </c>
      <c r="E66" s="487">
        <f>SUM(E67:E69)</f>
        <v>0</v>
      </c>
    </row>
    <row r="67" spans="1:5" s="488" customFormat="1" ht="12" customHeight="1">
      <c r="A67" s="45" t="s">
        <v>234</v>
      </c>
      <c r="B67" s="46" t="s">
        <v>235</v>
      </c>
      <c r="C67" s="491"/>
      <c r="D67" s="491"/>
      <c r="E67" s="108"/>
    </row>
    <row r="68" spans="1:5" s="488" customFormat="1" ht="12" customHeight="1">
      <c r="A68" s="48" t="s">
        <v>236</v>
      </c>
      <c r="B68" s="49" t="s">
        <v>237</v>
      </c>
      <c r="C68" s="491"/>
      <c r="D68" s="491"/>
      <c r="E68" s="108"/>
    </row>
    <row r="69" spans="1:5" s="488" customFormat="1" ht="12" customHeight="1">
      <c r="A69" s="52" t="s">
        <v>238</v>
      </c>
      <c r="B69" s="65" t="s">
        <v>549</v>
      </c>
      <c r="C69" s="491"/>
      <c r="D69" s="491"/>
      <c r="E69" s="108"/>
    </row>
    <row r="70" spans="1:5" s="488" customFormat="1" ht="12" customHeight="1">
      <c r="A70" s="64" t="s">
        <v>240</v>
      </c>
      <c r="B70" s="54" t="s">
        <v>241</v>
      </c>
      <c r="C70" s="486">
        <f>SUM(C71:C74)</f>
        <v>0</v>
      </c>
      <c r="D70" s="486">
        <f>SUM(D71:D74)</f>
        <v>0</v>
      </c>
      <c r="E70" s="487">
        <f>SUM(E71:E74)</f>
        <v>0</v>
      </c>
    </row>
    <row r="71" spans="1:5" s="488" customFormat="1" ht="12" customHeight="1">
      <c r="A71" s="45" t="s">
        <v>242</v>
      </c>
      <c r="B71" s="494" t="s">
        <v>243</v>
      </c>
      <c r="C71" s="491"/>
      <c r="D71" s="491"/>
      <c r="E71" s="108"/>
    </row>
    <row r="72" spans="1:7" s="488" customFormat="1" ht="13.5" customHeight="1">
      <c r="A72" s="48" t="s">
        <v>244</v>
      </c>
      <c r="B72" s="494" t="s">
        <v>245</v>
      </c>
      <c r="C72" s="491"/>
      <c r="D72" s="491"/>
      <c r="E72" s="108"/>
      <c r="G72" s="495"/>
    </row>
    <row r="73" spans="1:5" s="488" customFormat="1" ht="12" customHeight="1">
      <c r="A73" s="48" t="s">
        <v>246</v>
      </c>
      <c r="B73" s="494" t="s">
        <v>247</v>
      </c>
      <c r="C73" s="491"/>
      <c r="D73" s="491"/>
      <c r="E73" s="108"/>
    </row>
    <row r="74" spans="1:5" s="488" customFormat="1" ht="12" customHeight="1">
      <c r="A74" s="52" t="s">
        <v>248</v>
      </c>
      <c r="B74" s="496" t="s">
        <v>249</v>
      </c>
      <c r="C74" s="491"/>
      <c r="D74" s="491"/>
      <c r="E74" s="108"/>
    </row>
    <row r="75" spans="1:5" s="488" customFormat="1" ht="12" customHeight="1">
      <c r="A75" s="64" t="s">
        <v>250</v>
      </c>
      <c r="B75" s="54" t="s">
        <v>251</v>
      </c>
      <c r="C75" s="486">
        <f>SUM(C76:C77)</f>
        <v>302372797</v>
      </c>
      <c r="D75" s="486">
        <f>SUM(D76:D77)</f>
        <v>384672609</v>
      </c>
      <c r="E75" s="487">
        <f>SUM(E76:E77)</f>
        <v>253118762</v>
      </c>
    </row>
    <row r="76" spans="1:5" s="488" customFormat="1" ht="12" customHeight="1">
      <c r="A76" s="45" t="s">
        <v>252</v>
      </c>
      <c r="B76" s="46" t="s">
        <v>253</v>
      </c>
      <c r="C76" s="491">
        <v>302372797</v>
      </c>
      <c r="D76" s="491">
        <v>384672609</v>
      </c>
      <c r="E76" s="108">
        <v>253118762</v>
      </c>
    </row>
    <row r="77" spans="1:5" s="488" customFormat="1" ht="12" customHeight="1">
      <c r="A77" s="52" t="s">
        <v>254</v>
      </c>
      <c r="B77" s="53" t="s">
        <v>255</v>
      </c>
      <c r="C77" s="491"/>
      <c r="D77" s="491"/>
      <c r="E77" s="108"/>
    </row>
    <row r="78" spans="1:5" s="488" customFormat="1" ht="12" customHeight="1">
      <c r="A78" s="64" t="s">
        <v>256</v>
      </c>
      <c r="B78" s="54" t="s">
        <v>257</v>
      </c>
      <c r="C78" s="486">
        <f>SUM(C79:C81)</f>
        <v>15138605</v>
      </c>
      <c r="D78" s="486">
        <f>SUM(D79:D81)</f>
        <v>15390031</v>
      </c>
      <c r="E78" s="487">
        <f>SUM(E79:E81)</f>
        <v>0</v>
      </c>
    </row>
    <row r="79" spans="1:5" s="488" customFormat="1" ht="12" customHeight="1">
      <c r="A79" s="45" t="s">
        <v>258</v>
      </c>
      <c r="B79" s="46" t="s">
        <v>259</v>
      </c>
      <c r="C79" s="491">
        <v>15138605</v>
      </c>
      <c r="D79" s="491">
        <v>15390031</v>
      </c>
      <c r="E79" s="108"/>
    </row>
    <row r="80" spans="1:5" s="488" customFormat="1" ht="12" customHeight="1">
      <c r="A80" s="48" t="s">
        <v>260</v>
      </c>
      <c r="B80" s="49" t="s">
        <v>261</v>
      </c>
      <c r="C80" s="491"/>
      <c r="D80" s="491"/>
      <c r="E80" s="108"/>
    </row>
    <row r="81" spans="1:5" s="488" customFormat="1" ht="12" customHeight="1">
      <c r="A81" s="52" t="s">
        <v>262</v>
      </c>
      <c r="B81" s="53" t="s">
        <v>263</v>
      </c>
      <c r="C81" s="491"/>
      <c r="D81" s="491"/>
      <c r="E81" s="108"/>
    </row>
    <row r="82" spans="1:5" s="488" customFormat="1" ht="12" customHeight="1">
      <c r="A82" s="64" t="s">
        <v>264</v>
      </c>
      <c r="B82" s="54" t="s">
        <v>265</v>
      </c>
      <c r="C82" s="486">
        <f>SUM(C83:C86)</f>
        <v>0</v>
      </c>
      <c r="D82" s="486">
        <f>SUM(D83:D86)</f>
        <v>0</v>
      </c>
      <c r="E82" s="487">
        <f>SUM(E83:E86)</f>
        <v>0</v>
      </c>
    </row>
    <row r="83" spans="1:5" s="488" customFormat="1" ht="12" customHeight="1">
      <c r="A83" s="74" t="s">
        <v>266</v>
      </c>
      <c r="B83" s="46" t="s">
        <v>267</v>
      </c>
      <c r="C83" s="491"/>
      <c r="D83" s="491"/>
      <c r="E83" s="108"/>
    </row>
    <row r="84" spans="1:5" s="488" customFormat="1" ht="12" customHeight="1">
      <c r="A84" s="75" t="s">
        <v>268</v>
      </c>
      <c r="B84" s="49" t="s">
        <v>269</v>
      </c>
      <c r="C84" s="491"/>
      <c r="D84" s="491"/>
      <c r="E84" s="108"/>
    </row>
    <row r="85" spans="1:5" s="488" customFormat="1" ht="12" customHeight="1">
      <c r="A85" s="75" t="s">
        <v>270</v>
      </c>
      <c r="B85" s="49" t="s">
        <v>271</v>
      </c>
      <c r="C85" s="491"/>
      <c r="D85" s="491"/>
      <c r="E85" s="108"/>
    </row>
    <row r="86" spans="1:5" s="488" customFormat="1" ht="12" customHeight="1">
      <c r="A86" s="76" t="s">
        <v>272</v>
      </c>
      <c r="B86" s="53" t="s">
        <v>273</v>
      </c>
      <c r="C86" s="491"/>
      <c r="D86" s="491"/>
      <c r="E86" s="108"/>
    </row>
    <row r="87" spans="1:5" s="488" customFormat="1" ht="12" customHeight="1">
      <c r="A87" s="64" t="s">
        <v>274</v>
      </c>
      <c r="B87" s="54" t="s">
        <v>275</v>
      </c>
      <c r="C87" s="497"/>
      <c r="D87" s="497"/>
      <c r="E87" s="498"/>
    </row>
    <row r="88" spans="1:5" s="488" customFormat="1" ht="12" customHeight="1">
      <c r="A88" s="64" t="s">
        <v>276</v>
      </c>
      <c r="B88" s="54" t="s">
        <v>277</v>
      </c>
      <c r="C88" s="497"/>
      <c r="D88" s="497"/>
      <c r="E88" s="498"/>
    </row>
    <row r="89" spans="1:5" s="488" customFormat="1" ht="12" customHeight="1">
      <c r="A89" s="64" t="s">
        <v>278</v>
      </c>
      <c r="B89" s="78" t="s">
        <v>279</v>
      </c>
      <c r="C89" s="486">
        <f>+C66+C70+C75+C78+C82+C88+C87</f>
        <v>317511402</v>
      </c>
      <c r="D89" s="486">
        <f>+D66+D70+D75+D78+D82+D88+D87</f>
        <v>400062640</v>
      </c>
      <c r="E89" s="487">
        <f>+E66+E70+E75+E78+E82+E88+E87</f>
        <v>253118762</v>
      </c>
    </row>
    <row r="90" spans="1:5" s="488" customFormat="1" ht="12" customHeight="1">
      <c r="A90" s="79" t="s">
        <v>280</v>
      </c>
      <c r="B90" s="80" t="s">
        <v>281</v>
      </c>
      <c r="C90" s="486">
        <f>+C65+C89</f>
        <v>1344574484</v>
      </c>
      <c r="D90" s="486">
        <f>+D65+D89</f>
        <v>1509099990</v>
      </c>
      <c r="E90" s="487">
        <f>+E65+E89</f>
        <v>872180543</v>
      </c>
    </row>
    <row r="91" spans="1:5" s="488" customFormat="1" ht="12" customHeight="1">
      <c r="A91" s="499"/>
      <c r="B91" s="500"/>
      <c r="C91" s="501"/>
      <c r="D91" s="502"/>
      <c r="E91" s="503"/>
    </row>
    <row r="92" spans="1:5" s="488" customFormat="1" ht="12" customHeight="1">
      <c r="A92" s="737" t="s">
        <v>282</v>
      </c>
      <c r="B92" s="737"/>
      <c r="C92" s="737"/>
      <c r="D92" s="737"/>
      <c r="E92" s="737"/>
    </row>
    <row r="93" spans="1:5" s="488" customFormat="1" ht="12" customHeight="1">
      <c r="A93" s="738" t="s">
        <v>283</v>
      </c>
      <c r="B93" s="738"/>
      <c r="C93" s="477"/>
      <c r="D93" s="123"/>
      <c r="E93" s="504" t="str">
        <f>E5</f>
        <v>Forintban!</v>
      </c>
    </row>
    <row r="94" spans="1:6" s="488" customFormat="1" ht="24" customHeight="1">
      <c r="A94" s="505" t="s">
        <v>469</v>
      </c>
      <c r="B94" s="506" t="s">
        <v>284</v>
      </c>
      <c r="C94" s="506" t="str">
        <f>+C6</f>
        <v>2017. évi tény</v>
      </c>
      <c r="D94" s="506" t="str">
        <f>+D6</f>
        <v>2018. évi várható</v>
      </c>
      <c r="E94" s="507" t="str">
        <f>+E6</f>
        <v>2019. évi előirányzat</v>
      </c>
      <c r="F94" s="508"/>
    </row>
    <row r="95" spans="1:6" s="488" customFormat="1" ht="12" customHeight="1">
      <c r="A95" s="336" t="s">
        <v>114</v>
      </c>
      <c r="B95" s="483" t="s">
        <v>115</v>
      </c>
      <c r="C95" s="483" t="s">
        <v>385</v>
      </c>
      <c r="D95" s="483" t="s">
        <v>386</v>
      </c>
      <c r="E95" s="484" t="s">
        <v>473</v>
      </c>
      <c r="F95" s="508"/>
    </row>
    <row r="96" spans="1:6" s="488" customFormat="1" ht="15" customHeight="1">
      <c r="A96" s="89" t="s">
        <v>116</v>
      </c>
      <c r="B96" s="90" t="s">
        <v>285</v>
      </c>
      <c r="C96" s="509">
        <f>C97+C98+C99+C100+C101+C114</f>
        <v>873826922</v>
      </c>
      <c r="D96" s="509">
        <f>D97+D98+D99+D100+D101+D114</f>
        <v>904052358</v>
      </c>
      <c r="E96" s="510">
        <f>E97+E98+E99+E100+E101+E114</f>
        <v>666212818</v>
      </c>
      <c r="F96" s="508"/>
    </row>
    <row r="97" spans="1:5" s="488" customFormat="1" ht="12.75" customHeight="1">
      <c r="A97" s="92" t="s">
        <v>118</v>
      </c>
      <c r="B97" s="93" t="s">
        <v>286</v>
      </c>
      <c r="C97" s="511">
        <v>473266317</v>
      </c>
      <c r="D97" s="511">
        <v>465571401</v>
      </c>
      <c r="E97" s="512">
        <v>316868319</v>
      </c>
    </row>
    <row r="98" spans="1:5" ht="16.5" customHeight="1">
      <c r="A98" s="48" t="s">
        <v>120</v>
      </c>
      <c r="B98" s="95" t="s">
        <v>287</v>
      </c>
      <c r="C98" s="491">
        <v>85307418</v>
      </c>
      <c r="D98" s="491">
        <v>78265780</v>
      </c>
      <c r="E98" s="108">
        <v>58142518</v>
      </c>
    </row>
    <row r="99" spans="1:5" ht="15.75">
      <c r="A99" s="48" t="s">
        <v>122</v>
      </c>
      <c r="B99" s="95" t="s">
        <v>288</v>
      </c>
      <c r="C99" s="492">
        <v>258945048</v>
      </c>
      <c r="D99" s="492">
        <v>298582632</v>
      </c>
      <c r="E99" s="110">
        <v>233405483</v>
      </c>
    </row>
    <row r="100" spans="1:5" s="485" customFormat="1" ht="12" customHeight="1">
      <c r="A100" s="48" t="s">
        <v>124</v>
      </c>
      <c r="B100" s="96" t="s">
        <v>289</v>
      </c>
      <c r="C100" s="492">
        <v>47682338</v>
      </c>
      <c r="D100" s="492">
        <v>47287074</v>
      </c>
      <c r="E100" s="110">
        <v>26630000</v>
      </c>
    </row>
    <row r="101" spans="1:5" ht="12" customHeight="1">
      <c r="A101" s="48" t="s">
        <v>290</v>
      </c>
      <c r="B101" s="97" t="s">
        <v>291</v>
      </c>
      <c r="C101" s="492">
        <v>8625801</v>
      </c>
      <c r="D101" s="492">
        <v>14345471</v>
      </c>
      <c r="E101" s="110">
        <v>11166498</v>
      </c>
    </row>
    <row r="102" spans="1:5" ht="12" customHeight="1">
      <c r="A102" s="48" t="s">
        <v>128</v>
      </c>
      <c r="B102" s="95" t="s">
        <v>292</v>
      </c>
      <c r="C102" s="492">
        <v>3489031</v>
      </c>
      <c r="D102" s="492">
        <v>7477785</v>
      </c>
      <c r="E102" s="110">
        <v>5000000</v>
      </c>
    </row>
    <row r="103" spans="1:5" ht="12" customHeight="1">
      <c r="A103" s="48" t="s">
        <v>293</v>
      </c>
      <c r="B103" s="98" t="s">
        <v>294</v>
      </c>
      <c r="C103" s="492"/>
      <c r="D103" s="492"/>
      <c r="E103" s="110"/>
    </row>
    <row r="104" spans="1:5" ht="12" customHeight="1">
      <c r="A104" s="48" t="s">
        <v>295</v>
      </c>
      <c r="B104" s="98" t="s">
        <v>296</v>
      </c>
      <c r="C104" s="492"/>
      <c r="D104" s="492"/>
      <c r="E104" s="110"/>
    </row>
    <row r="105" spans="1:5" ht="12" customHeight="1">
      <c r="A105" s="48" t="s">
        <v>297</v>
      </c>
      <c r="B105" s="99" t="s">
        <v>298</v>
      </c>
      <c r="C105" s="492"/>
      <c r="D105" s="492"/>
      <c r="E105" s="110"/>
    </row>
    <row r="106" spans="1:5" ht="12" customHeight="1">
      <c r="A106" s="48" t="s">
        <v>299</v>
      </c>
      <c r="B106" s="100" t="s">
        <v>300</v>
      </c>
      <c r="C106" s="492"/>
      <c r="D106" s="492"/>
      <c r="E106" s="110"/>
    </row>
    <row r="107" spans="1:5" ht="12" customHeight="1">
      <c r="A107" s="48" t="s">
        <v>301</v>
      </c>
      <c r="B107" s="100" t="s">
        <v>302</v>
      </c>
      <c r="C107" s="492"/>
      <c r="D107" s="492"/>
      <c r="E107" s="110"/>
    </row>
    <row r="108" spans="1:5" ht="12" customHeight="1">
      <c r="A108" s="48" t="s">
        <v>303</v>
      </c>
      <c r="B108" s="99" t="s">
        <v>304</v>
      </c>
      <c r="C108" s="492">
        <v>3521270</v>
      </c>
      <c r="D108" s="492">
        <v>4916780</v>
      </c>
      <c r="E108" s="110">
        <v>3170838</v>
      </c>
    </row>
    <row r="109" spans="1:5" ht="12" customHeight="1">
      <c r="A109" s="48" t="s">
        <v>305</v>
      </c>
      <c r="B109" s="99" t="s">
        <v>306</v>
      </c>
      <c r="C109" s="492"/>
      <c r="D109" s="492"/>
      <c r="E109" s="110"/>
    </row>
    <row r="110" spans="1:5" ht="12" customHeight="1">
      <c r="A110" s="48" t="s">
        <v>307</v>
      </c>
      <c r="B110" s="100" t="s">
        <v>308</v>
      </c>
      <c r="C110" s="492"/>
      <c r="D110" s="492"/>
      <c r="E110" s="110"/>
    </row>
    <row r="111" spans="1:5" ht="12" customHeight="1">
      <c r="A111" s="69" t="s">
        <v>309</v>
      </c>
      <c r="B111" s="98" t="s">
        <v>310</v>
      </c>
      <c r="C111" s="492"/>
      <c r="D111" s="492"/>
      <c r="E111" s="110"/>
    </row>
    <row r="112" spans="1:5" ht="12" customHeight="1">
      <c r="A112" s="48" t="s">
        <v>311</v>
      </c>
      <c r="B112" s="98" t="s">
        <v>312</v>
      </c>
      <c r="C112" s="492"/>
      <c r="D112" s="492"/>
      <c r="E112" s="110"/>
    </row>
    <row r="113" spans="1:5" ht="12" customHeight="1">
      <c r="A113" s="52" t="s">
        <v>313</v>
      </c>
      <c r="B113" s="98" t="s">
        <v>314</v>
      </c>
      <c r="C113" s="492">
        <v>1615500</v>
      </c>
      <c r="D113" s="492">
        <v>1950906</v>
      </c>
      <c r="E113" s="110">
        <v>2995660</v>
      </c>
    </row>
    <row r="114" spans="1:5" ht="12" customHeight="1">
      <c r="A114" s="48" t="s">
        <v>315</v>
      </c>
      <c r="B114" s="96" t="s">
        <v>316</v>
      </c>
      <c r="C114" s="491"/>
      <c r="D114" s="491"/>
      <c r="E114" s="108">
        <f>SUM(E115:E116)</f>
        <v>20000000</v>
      </c>
    </row>
    <row r="115" spans="1:5" ht="12" customHeight="1">
      <c r="A115" s="48" t="s">
        <v>317</v>
      </c>
      <c r="B115" s="95" t="s">
        <v>318</v>
      </c>
      <c r="C115" s="491"/>
      <c r="D115" s="491"/>
      <c r="E115" s="108">
        <v>17647000</v>
      </c>
    </row>
    <row r="116" spans="1:5" ht="12" customHeight="1">
      <c r="A116" s="71" t="s">
        <v>319</v>
      </c>
      <c r="B116" s="101" t="s">
        <v>320</v>
      </c>
      <c r="C116" s="513"/>
      <c r="D116" s="513"/>
      <c r="E116" s="514">
        <v>2353000</v>
      </c>
    </row>
    <row r="117" spans="1:5" ht="12" customHeight="1">
      <c r="A117" s="102" t="s">
        <v>130</v>
      </c>
      <c r="B117" s="103" t="s">
        <v>321</v>
      </c>
      <c r="C117" s="515">
        <f>+C118+C120+C122</f>
        <v>70925605</v>
      </c>
      <c r="D117" s="515">
        <f>+D118+D120+D122</f>
        <v>160574615</v>
      </c>
      <c r="E117" s="516">
        <f>+E118+E120+E122</f>
        <v>190577694</v>
      </c>
    </row>
    <row r="118" spans="1:5" ht="12" customHeight="1">
      <c r="A118" s="45" t="s">
        <v>132</v>
      </c>
      <c r="B118" s="95" t="s">
        <v>322</v>
      </c>
      <c r="C118" s="489">
        <v>50052881</v>
      </c>
      <c r="D118" s="489">
        <v>19628795</v>
      </c>
      <c r="E118" s="490">
        <v>28013862</v>
      </c>
    </row>
    <row r="119" spans="1:5" ht="15.75">
      <c r="A119" s="45" t="s">
        <v>134</v>
      </c>
      <c r="B119" s="105" t="s">
        <v>323</v>
      </c>
      <c r="C119" s="517">
        <v>3146810</v>
      </c>
      <c r="D119" s="517"/>
      <c r="E119" s="490"/>
    </row>
    <row r="120" spans="1:5" ht="12" customHeight="1">
      <c r="A120" s="45" t="s">
        <v>136</v>
      </c>
      <c r="B120" s="105" t="s">
        <v>324</v>
      </c>
      <c r="C120" s="491">
        <v>20195957</v>
      </c>
      <c r="D120" s="491">
        <v>136730820</v>
      </c>
      <c r="E120" s="108">
        <v>155763832</v>
      </c>
    </row>
    <row r="121" spans="1:5" ht="12" customHeight="1">
      <c r="A121" s="45" t="s">
        <v>138</v>
      </c>
      <c r="B121" s="105" t="s">
        <v>325</v>
      </c>
      <c r="C121" s="518">
        <v>825500</v>
      </c>
      <c r="D121" s="518">
        <v>89356120</v>
      </c>
      <c r="E121" s="108">
        <v>120091212</v>
      </c>
    </row>
    <row r="122" spans="1:5" ht="12" customHeight="1">
      <c r="A122" s="45" t="s">
        <v>140</v>
      </c>
      <c r="B122" s="53" t="s">
        <v>444</v>
      </c>
      <c r="C122" s="491">
        <v>676767</v>
      </c>
      <c r="D122" s="491">
        <v>4215000</v>
      </c>
      <c r="E122" s="108">
        <v>6800000</v>
      </c>
    </row>
    <row r="123" spans="1:5" ht="12" customHeight="1">
      <c r="A123" s="45" t="s">
        <v>142</v>
      </c>
      <c r="B123" s="51" t="s">
        <v>327</v>
      </c>
      <c r="C123" s="491"/>
      <c r="D123" s="491"/>
      <c r="E123" s="108"/>
    </row>
    <row r="124" spans="1:5" ht="12" customHeight="1">
      <c r="A124" s="45" t="s">
        <v>328</v>
      </c>
      <c r="B124" s="109" t="s">
        <v>329</v>
      </c>
      <c r="C124" s="491"/>
      <c r="D124" s="491"/>
      <c r="E124" s="108"/>
    </row>
    <row r="125" spans="1:5" ht="12" customHeight="1">
      <c r="A125" s="45" t="s">
        <v>330</v>
      </c>
      <c r="B125" s="100" t="s">
        <v>302</v>
      </c>
      <c r="C125" s="491"/>
      <c r="D125" s="491"/>
      <c r="E125" s="108"/>
    </row>
    <row r="126" spans="1:5" ht="12" customHeight="1">
      <c r="A126" s="45" t="s">
        <v>331</v>
      </c>
      <c r="B126" s="100" t="s">
        <v>332</v>
      </c>
      <c r="C126" s="491"/>
      <c r="D126" s="491"/>
      <c r="E126" s="108"/>
    </row>
    <row r="127" spans="1:5" ht="12" customHeight="1">
      <c r="A127" s="45" t="s">
        <v>333</v>
      </c>
      <c r="B127" s="100" t="s">
        <v>334</v>
      </c>
      <c r="C127" s="491"/>
      <c r="D127" s="491"/>
      <c r="E127" s="108"/>
    </row>
    <row r="128" spans="1:5" ht="12" customHeight="1">
      <c r="A128" s="45" t="s">
        <v>335</v>
      </c>
      <c r="B128" s="100" t="s">
        <v>308</v>
      </c>
      <c r="C128" s="491"/>
      <c r="D128" s="491"/>
      <c r="E128" s="108"/>
    </row>
    <row r="129" spans="1:5" ht="12" customHeight="1">
      <c r="A129" s="45" t="s">
        <v>336</v>
      </c>
      <c r="B129" s="100" t="s">
        <v>337</v>
      </c>
      <c r="C129" s="491"/>
      <c r="D129" s="491"/>
      <c r="E129" s="108">
        <v>3000000</v>
      </c>
    </row>
    <row r="130" spans="1:5" ht="12" customHeight="1">
      <c r="A130" s="69" t="s">
        <v>338</v>
      </c>
      <c r="B130" s="100" t="s">
        <v>339</v>
      </c>
      <c r="C130" s="492"/>
      <c r="D130" s="492"/>
      <c r="E130" s="110">
        <v>3800000</v>
      </c>
    </row>
    <row r="131" spans="1:5" ht="12" customHeight="1">
      <c r="A131" s="41" t="s">
        <v>144</v>
      </c>
      <c r="B131" s="42" t="s">
        <v>340</v>
      </c>
      <c r="C131" s="486">
        <f>+C96+C117</f>
        <v>944752527</v>
      </c>
      <c r="D131" s="486">
        <f>+D96+D117</f>
        <v>1064626973</v>
      </c>
      <c r="E131" s="487">
        <f>+E96+E117</f>
        <v>856790512</v>
      </c>
    </row>
    <row r="132" spans="1:5" ht="12" customHeight="1">
      <c r="A132" s="41" t="s">
        <v>341</v>
      </c>
      <c r="B132" s="42" t="s">
        <v>342</v>
      </c>
      <c r="C132" s="486">
        <f>+C133+C134+C135</f>
        <v>0</v>
      </c>
      <c r="D132" s="486">
        <f>+D133+D134+D135</f>
        <v>0</v>
      </c>
      <c r="E132" s="487">
        <f>+E133+E134+E135</f>
        <v>0</v>
      </c>
    </row>
    <row r="133" spans="1:5" ht="12" customHeight="1">
      <c r="A133" s="45" t="s">
        <v>160</v>
      </c>
      <c r="B133" s="105" t="s">
        <v>343</v>
      </c>
      <c r="C133" s="491"/>
      <c r="D133" s="491"/>
      <c r="E133" s="108"/>
    </row>
    <row r="134" spans="1:5" ht="12" customHeight="1">
      <c r="A134" s="45" t="s">
        <v>162</v>
      </c>
      <c r="B134" s="105" t="s">
        <v>344</v>
      </c>
      <c r="C134" s="491"/>
      <c r="D134" s="491"/>
      <c r="E134" s="108"/>
    </row>
    <row r="135" spans="1:5" ht="12" customHeight="1">
      <c r="A135" s="69" t="s">
        <v>164</v>
      </c>
      <c r="B135" s="105" t="s">
        <v>345</v>
      </c>
      <c r="C135" s="491"/>
      <c r="D135" s="491"/>
      <c r="E135" s="108"/>
    </row>
    <row r="136" spans="1:5" ht="12" customHeight="1">
      <c r="A136" s="41" t="s">
        <v>174</v>
      </c>
      <c r="B136" s="42" t="s">
        <v>346</v>
      </c>
      <c r="C136" s="486">
        <f>SUM(C137:C142)</f>
        <v>0</v>
      </c>
      <c r="D136" s="486">
        <f>SUM(D137:D142)</f>
        <v>0</v>
      </c>
      <c r="E136" s="487">
        <f>SUM(E137:E142)</f>
        <v>0</v>
      </c>
    </row>
    <row r="137" spans="1:5" ht="12" customHeight="1">
      <c r="A137" s="45" t="s">
        <v>176</v>
      </c>
      <c r="B137" s="111" t="s">
        <v>347</v>
      </c>
      <c r="C137" s="491"/>
      <c r="D137" s="491"/>
      <c r="E137" s="108"/>
    </row>
    <row r="138" spans="1:5" ht="12" customHeight="1">
      <c r="A138" s="45" t="s">
        <v>178</v>
      </c>
      <c r="B138" s="111" t="s">
        <v>348</v>
      </c>
      <c r="C138" s="491"/>
      <c r="D138" s="491"/>
      <c r="E138" s="108"/>
    </row>
    <row r="139" spans="1:5" ht="12" customHeight="1">
      <c r="A139" s="45" t="s">
        <v>180</v>
      </c>
      <c r="B139" s="111" t="s">
        <v>349</v>
      </c>
      <c r="C139" s="491"/>
      <c r="D139" s="491"/>
      <c r="E139" s="108"/>
    </row>
    <row r="140" spans="1:5" ht="12" customHeight="1">
      <c r="A140" s="45" t="s">
        <v>182</v>
      </c>
      <c r="B140" s="111" t="s">
        <v>350</v>
      </c>
      <c r="C140" s="491"/>
      <c r="D140" s="491"/>
      <c r="E140" s="108"/>
    </row>
    <row r="141" spans="1:5" ht="12" customHeight="1">
      <c r="A141" s="45" t="s">
        <v>184</v>
      </c>
      <c r="B141" s="111" t="s">
        <v>351</v>
      </c>
      <c r="C141" s="491"/>
      <c r="D141" s="491"/>
      <c r="E141" s="108"/>
    </row>
    <row r="142" spans="1:5" ht="12" customHeight="1">
      <c r="A142" s="69" t="s">
        <v>186</v>
      </c>
      <c r="B142" s="111" t="s">
        <v>352</v>
      </c>
      <c r="C142" s="491"/>
      <c r="D142" s="491"/>
      <c r="E142" s="108"/>
    </row>
    <row r="143" spans="1:5" ht="12" customHeight="1">
      <c r="A143" s="41" t="s">
        <v>198</v>
      </c>
      <c r="B143" s="42" t="s">
        <v>353</v>
      </c>
      <c r="C143" s="486">
        <f>+C144+C145+C146+C147</f>
        <v>15149348</v>
      </c>
      <c r="D143" s="486">
        <f>+D144+D145+D146+D147</f>
        <v>15138605</v>
      </c>
      <c r="E143" s="487">
        <f>+E144+E145+E146+E147</f>
        <v>15390031</v>
      </c>
    </row>
    <row r="144" spans="1:5" ht="12" customHeight="1">
      <c r="A144" s="45" t="s">
        <v>200</v>
      </c>
      <c r="B144" s="111" t="s">
        <v>354</v>
      </c>
      <c r="C144" s="491"/>
      <c r="D144" s="491"/>
      <c r="E144" s="108"/>
    </row>
    <row r="145" spans="1:5" ht="12" customHeight="1">
      <c r="A145" s="45" t="s">
        <v>202</v>
      </c>
      <c r="B145" s="111" t="s">
        <v>355</v>
      </c>
      <c r="C145" s="491">
        <v>15149348</v>
      </c>
      <c r="D145" s="491">
        <v>15138605</v>
      </c>
      <c r="E145" s="108">
        <v>15390031</v>
      </c>
    </row>
    <row r="146" spans="1:5" ht="12" customHeight="1">
      <c r="A146" s="45" t="s">
        <v>204</v>
      </c>
      <c r="B146" s="111" t="s">
        <v>356</v>
      </c>
      <c r="C146" s="491"/>
      <c r="D146" s="491"/>
      <c r="E146" s="108"/>
    </row>
    <row r="147" spans="1:5" ht="12" customHeight="1">
      <c r="A147" s="69" t="s">
        <v>206</v>
      </c>
      <c r="B147" s="112" t="s">
        <v>357</v>
      </c>
      <c r="C147" s="491"/>
      <c r="D147" s="491"/>
      <c r="E147" s="108"/>
    </row>
    <row r="148" spans="1:5" ht="12" customHeight="1">
      <c r="A148" s="41" t="s">
        <v>358</v>
      </c>
      <c r="B148" s="42" t="s">
        <v>359</v>
      </c>
      <c r="C148" s="519">
        <f>SUM(C149:C153)</f>
        <v>0</v>
      </c>
      <c r="D148" s="519">
        <f>SUM(D149:D153)</f>
        <v>0</v>
      </c>
      <c r="E148" s="520">
        <f>SUM(E149:E153)</f>
        <v>0</v>
      </c>
    </row>
    <row r="149" spans="1:5" ht="12" customHeight="1">
      <c r="A149" s="45" t="s">
        <v>212</v>
      </c>
      <c r="B149" s="111" t="s">
        <v>360</v>
      </c>
      <c r="C149" s="491"/>
      <c r="D149" s="491"/>
      <c r="E149" s="108"/>
    </row>
    <row r="150" spans="1:5" ht="12" customHeight="1">
      <c r="A150" s="45" t="s">
        <v>214</v>
      </c>
      <c r="B150" s="111" t="s">
        <v>361</v>
      </c>
      <c r="C150" s="491"/>
      <c r="D150" s="491"/>
      <c r="E150" s="108"/>
    </row>
    <row r="151" spans="1:5" ht="12" customHeight="1">
      <c r="A151" s="45" t="s">
        <v>216</v>
      </c>
      <c r="B151" s="111" t="s">
        <v>362</v>
      </c>
      <c r="C151" s="491"/>
      <c r="D151" s="491"/>
      <c r="E151" s="108"/>
    </row>
    <row r="152" spans="1:5" ht="12" customHeight="1">
      <c r="A152" s="45" t="s">
        <v>218</v>
      </c>
      <c r="B152" s="111" t="s">
        <v>634</v>
      </c>
      <c r="C152" s="491"/>
      <c r="D152" s="491"/>
      <c r="E152" s="108"/>
    </row>
    <row r="153" spans="1:5" ht="12" customHeight="1">
      <c r="A153" s="45" t="s">
        <v>364</v>
      </c>
      <c r="B153" s="111" t="s">
        <v>365</v>
      </c>
      <c r="C153" s="491"/>
      <c r="D153" s="491"/>
      <c r="E153" s="108"/>
    </row>
    <row r="154" spans="1:5" ht="12" customHeight="1">
      <c r="A154" s="41" t="s">
        <v>220</v>
      </c>
      <c r="B154" s="42" t="s">
        <v>366</v>
      </c>
      <c r="C154" s="521"/>
      <c r="D154" s="521"/>
      <c r="E154" s="522"/>
    </row>
    <row r="155" spans="1:5" ht="12" customHeight="1">
      <c r="A155" s="41" t="s">
        <v>367</v>
      </c>
      <c r="B155" s="42" t="s">
        <v>368</v>
      </c>
      <c r="C155" s="521"/>
      <c r="D155" s="521"/>
      <c r="E155" s="522"/>
    </row>
    <row r="156" spans="1:6" ht="15" customHeight="1">
      <c r="A156" s="41" t="s">
        <v>369</v>
      </c>
      <c r="B156" s="42" t="s">
        <v>370</v>
      </c>
      <c r="C156" s="523">
        <f>+C132+C136+C143+C148+C154+C155</f>
        <v>15149348</v>
      </c>
      <c r="D156" s="523">
        <f>+D132+D136+D143+D148+D154+D155</f>
        <v>15138605</v>
      </c>
      <c r="E156" s="524">
        <f>+E132+E136+E143+E148+E154+E155</f>
        <v>15390031</v>
      </c>
      <c r="F156" s="236"/>
    </row>
    <row r="157" spans="1:5" s="488" customFormat="1" ht="12.75" customHeight="1">
      <c r="A157" s="119" t="s">
        <v>371</v>
      </c>
      <c r="B157" s="366" t="s">
        <v>372</v>
      </c>
      <c r="C157" s="523">
        <f>+C131+C156</f>
        <v>959901875</v>
      </c>
      <c r="D157" s="523">
        <f>+D131+D156</f>
        <v>1079765578</v>
      </c>
      <c r="E157" s="524">
        <f>+E131+E156</f>
        <v>872180543</v>
      </c>
    </row>
    <row r="158" spans="3:5" ht="15.75">
      <c r="C158" s="476"/>
      <c r="E158" s="525">
        <f>E90-E157</f>
        <v>0</v>
      </c>
    </row>
    <row r="159" ht="15.75">
      <c r="C159" s="476"/>
    </row>
    <row r="160" ht="15.75">
      <c r="C160" s="476"/>
    </row>
    <row r="161" ht="16.5" customHeight="1">
      <c r="C161" s="476"/>
    </row>
    <row r="162" ht="15.75">
      <c r="C162" s="476"/>
    </row>
    <row r="163" ht="15.75">
      <c r="C163" s="476"/>
    </row>
    <row r="164" ht="15.75">
      <c r="C164" s="476"/>
    </row>
    <row r="165" ht="15.75">
      <c r="C165" s="476"/>
    </row>
    <row r="166" ht="15.75">
      <c r="C166" s="476"/>
    </row>
    <row r="167" ht="15.75">
      <c r="C167" s="476"/>
    </row>
    <row r="168" ht="15.75">
      <c r="C168" s="476"/>
    </row>
    <row r="169" ht="15.75">
      <c r="C169" s="476"/>
    </row>
    <row r="170" ht="15.75">
      <c r="C170" s="476"/>
    </row>
  </sheetData>
  <sheetProtection selectLockedCells="1" selectUnlockedCells="1"/>
  <mergeCells count="6">
    <mergeCell ref="A92:E92"/>
    <mergeCell ref="A93:B93"/>
    <mergeCell ref="A2:E2"/>
    <mergeCell ref="A3:E3"/>
    <mergeCell ref="A4:E4"/>
    <mergeCell ref="A5:B5"/>
  </mergeCells>
  <printOptions horizontalCentered="1"/>
  <pageMargins left="0.7875" right="0.7875" top="0.6694444444444444" bottom="0.4722222222222222" header="0.5118055555555555" footer="0.5118055555555555"/>
  <pageSetup horizontalDpi="300" verticalDpi="300" orientation="portrait" paperSize="9" scale="65"/>
  <rowBreaks count="1" manualBreakCount="1">
    <brk id="91" max="255" man="1"/>
  </rowBreaks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50"/>
  </sheetPr>
  <dimension ref="A1:J21"/>
  <sheetViews>
    <sheetView zoomScale="120" zoomScaleNormal="120" zoomScalePageLayoutView="0" workbookViewId="0" topLeftCell="A1">
      <selection activeCell="D11" sqref="D11"/>
    </sheetView>
  </sheetViews>
  <sheetFormatPr defaultColWidth="9.00390625" defaultRowHeight="12.75"/>
  <cols>
    <col min="1" max="1" width="6.875" style="128" customWidth="1"/>
    <col min="2" max="2" width="42.875" style="127" customWidth="1"/>
    <col min="3" max="8" width="12.875" style="127" customWidth="1"/>
    <col min="9" max="9" width="14.375" style="127" customWidth="1"/>
    <col min="10" max="10" width="4.375" style="127" customWidth="1"/>
    <col min="11" max="11" width="9.375" style="127" customWidth="1"/>
    <col min="12" max="12" width="11.00390625" style="127" customWidth="1"/>
    <col min="13" max="16384" width="9.375" style="127" customWidth="1"/>
  </cols>
  <sheetData>
    <row r="1" spans="1:10" ht="27.75" customHeight="1">
      <c r="A1" s="756" t="s">
        <v>53</v>
      </c>
      <c r="B1" s="756"/>
      <c r="C1" s="756"/>
      <c r="D1" s="756"/>
      <c r="E1" s="756"/>
      <c r="F1" s="756"/>
      <c r="G1" s="756"/>
      <c r="H1" s="756"/>
      <c r="I1" s="756"/>
      <c r="J1" s="776" t="str">
        <f>CONCATENATE("2. tájékoztató tábla ",ALAPADATOK!A7," ",ALAPADATOK!B7," ",ALAPADATOK!C7," ",ALAPADATOK!D7," ",ALAPADATOK!E7," ",ALAPADATOK!F7," ",ALAPADATOK!G7," ",ALAPADATOK!H7)</f>
        <v>2. tájékoztató tábla a … / 2019 ( … ) önkormányzati rendelethez</v>
      </c>
    </row>
    <row r="2" spans="9:10" ht="20.25" customHeight="1">
      <c r="I2" s="526" t="str">
        <f>'KV_1.sz.tájékoztató_t.'!E5</f>
        <v>Forintban!</v>
      </c>
      <c r="J2" s="776"/>
    </row>
    <row r="3" spans="1:10" s="527" customFormat="1" ht="26.25" customHeight="1">
      <c r="A3" s="743" t="s">
        <v>112</v>
      </c>
      <c r="B3" s="777" t="s">
        <v>635</v>
      </c>
      <c r="C3" s="743" t="s">
        <v>636</v>
      </c>
      <c r="D3" s="743" t="str">
        <f>+CONCATENATE(LEFT(KV_ÖSSZEFÜGGÉSEK!A5,4)," előtti kifizetés")</f>
        <v>2019 előtti kifizetés</v>
      </c>
      <c r="E3" s="778" t="s">
        <v>637</v>
      </c>
      <c r="F3" s="778"/>
      <c r="G3" s="778"/>
      <c r="H3" s="778"/>
      <c r="I3" s="777" t="s">
        <v>516</v>
      </c>
      <c r="J3" s="776"/>
    </row>
    <row r="4" spans="1:10" s="530" customFormat="1" ht="32.25" customHeight="1">
      <c r="A4" s="743"/>
      <c r="B4" s="777"/>
      <c r="C4" s="777"/>
      <c r="D4" s="743"/>
      <c r="E4" s="528" t="str">
        <f>+CONCATENATE(LEFT(KV_ÖSSZEFÜGGÉSEK!A5,4),".")</f>
        <v>2019.</v>
      </c>
      <c r="F4" s="528" t="str">
        <f>+CONCATENATE(LEFT(KV_ÖSSZEFÜGGÉSEK!A5,4)+1,".")</f>
        <v>2020.</v>
      </c>
      <c r="G4" s="528" t="str">
        <f>+CONCATENATE(LEFT(KV_ÖSSZEFÜGGÉSEK!A5,4)+2,".")</f>
        <v>2021.</v>
      </c>
      <c r="H4" s="529" t="str">
        <f>+CONCATENATE(LEFT(KV_ÖSSZEFÜGGÉSEK!A5,4)+2,".",CHAR(10)," után")</f>
        <v>2021.
 után</v>
      </c>
      <c r="I4" s="777"/>
      <c r="J4" s="776"/>
    </row>
    <row r="5" spans="1:10" s="534" customFormat="1" ht="12.75" customHeight="1">
      <c r="A5" s="531" t="s">
        <v>114</v>
      </c>
      <c r="B5" s="134" t="s">
        <v>115</v>
      </c>
      <c r="C5" s="532" t="s">
        <v>385</v>
      </c>
      <c r="D5" s="134" t="s">
        <v>386</v>
      </c>
      <c r="E5" s="531" t="s">
        <v>473</v>
      </c>
      <c r="F5" s="532" t="s">
        <v>638</v>
      </c>
      <c r="G5" s="532" t="s">
        <v>639</v>
      </c>
      <c r="H5" s="137" t="s">
        <v>640</v>
      </c>
      <c r="I5" s="533" t="s">
        <v>641</v>
      </c>
      <c r="J5" s="776"/>
    </row>
    <row r="6" spans="1:10" ht="24.75" customHeight="1">
      <c r="A6" s="135" t="s">
        <v>116</v>
      </c>
      <c r="B6" s="535" t="s">
        <v>642</v>
      </c>
      <c r="C6" s="536"/>
      <c r="D6" s="537">
        <f>+D7+D8+SUM(D7:D9)</f>
        <v>32428536</v>
      </c>
      <c r="E6" s="537">
        <f>+E7+E8+SUM(E7:E9)</f>
        <v>31136840</v>
      </c>
      <c r="F6" s="537">
        <f>+F7+F8+SUM(F7:F9)</f>
        <v>7953400</v>
      </c>
      <c r="G6" s="537">
        <f>+G7+G8+SUM(G7:G9)</f>
        <v>2927783</v>
      </c>
      <c r="H6" s="537">
        <f>+H7+H8+SUM(H7:H9)</f>
        <v>2620800</v>
      </c>
      <c r="I6" s="538">
        <f aca="true" t="shared" si="0" ref="I6:I20">SUM(D6:H6)</f>
        <v>77067359</v>
      </c>
      <c r="J6" s="776"/>
    </row>
    <row r="7" spans="1:10" ht="21.75" customHeight="1">
      <c r="A7" s="539" t="s">
        <v>130</v>
      </c>
      <c r="B7" s="540" t="s">
        <v>643</v>
      </c>
      <c r="C7" s="541" t="s">
        <v>644</v>
      </c>
      <c r="D7" s="542">
        <v>3276000</v>
      </c>
      <c r="E7" s="543">
        <v>655200</v>
      </c>
      <c r="F7" s="544">
        <v>655200</v>
      </c>
      <c r="G7" s="544">
        <v>655200</v>
      </c>
      <c r="H7" s="545">
        <v>1310400</v>
      </c>
      <c r="I7" s="546">
        <f t="shared" si="0"/>
        <v>6552000</v>
      </c>
      <c r="J7" s="776"/>
    </row>
    <row r="8" spans="1:10" ht="35.25" customHeight="1">
      <c r="A8" s="539" t="s">
        <v>144</v>
      </c>
      <c r="B8" s="540" t="s">
        <v>645</v>
      </c>
      <c r="C8" s="541" t="s">
        <v>646</v>
      </c>
      <c r="D8" s="547">
        <v>11447620</v>
      </c>
      <c r="E8" s="548">
        <v>11614220</v>
      </c>
      <c r="F8" s="549"/>
      <c r="G8" s="549"/>
      <c r="H8" s="550"/>
      <c r="I8" s="546">
        <f t="shared" si="0"/>
        <v>23061840</v>
      </c>
      <c r="J8" s="776"/>
    </row>
    <row r="9" spans="1:10" ht="35.25" customHeight="1">
      <c r="A9" s="551" t="s">
        <v>341</v>
      </c>
      <c r="B9" s="552" t="s">
        <v>647</v>
      </c>
      <c r="C9" s="553" t="s">
        <v>646</v>
      </c>
      <c r="D9" s="554">
        <v>2981296</v>
      </c>
      <c r="E9" s="555">
        <v>6598000</v>
      </c>
      <c r="F9" s="556">
        <v>6643000</v>
      </c>
      <c r="G9" s="556">
        <v>1617383</v>
      </c>
      <c r="H9" s="557"/>
      <c r="I9" s="546">
        <f t="shared" si="0"/>
        <v>17839679</v>
      </c>
      <c r="J9" s="776"/>
    </row>
    <row r="10" spans="1:10" ht="25.5" customHeight="1">
      <c r="A10" s="135" t="s">
        <v>174</v>
      </c>
      <c r="B10" s="535" t="s">
        <v>648</v>
      </c>
      <c r="C10" s="536"/>
      <c r="D10" s="537">
        <f>+D11+D12</f>
        <v>2159000</v>
      </c>
      <c r="E10" s="558">
        <f>+E11+E12</f>
        <v>0</v>
      </c>
      <c r="F10" s="559">
        <f>+F11+F12</f>
        <v>0</v>
      </c>
      <c r="G10" s="559">
        <f>+G11+G12</f>
        <v>0</v>
      </c>
      <c r="H10" s="560">
        <f>+H11+H12</f>
        <v>0</v>
      </c>
      <c r="I10" s="538">
        <f t="shared" si="0"/>
        <v>2159000</v>
      </c>
      <c r="J10" s="776"/>
    </row>
    <row r="11" spans="1:10" ht="24" customHeight="1">
      <c r="A11" s="539" t="s">
        <v>198</v>
      </c>
      <c r="B11" s="540" t="s">
        <v>649</v>
      </c>
      <c r="C11" s="541" t="s">
        <v>644</v>
      </c>
      <c r="D11" s="542">
        <v>2159000</v>
      </c>
      <c r="E11" s="543"/>
      <c r="F11" s="544"/>
      <c r="G11" s="544"/>
      <c r="H11" s="545"/>
      <c r="I11" s="546">
        <f t="shared" si="0"/>
        <v>2159000</v>
      </c>
      <c r="J11" s="776"/>
    </row>
    <row r="12" spans="1:10" ht="19.5" customHeight="1">
      <c r="A12" s="539" t="s">
        <v>358</v>
      </c>
      <c r="B12" s="540" t="s">
        <v>650</v>
      </c>
      <c r="C12" s="541"/>
      <c r="D12" s="547"/>
      <c r="E12" s="548"/>
      <c r="F12" s="549"/>
      <c r="G12" s="549"/>
      <c r="H12" s="550"/>
      <c r="I12" s="546">
        <f t="shared" si="0"/>
        <v>0</v>
      </c>
      <c r="J12" s="776"/>
    </row>
    <row r="13" spans="1:10" ht="19.5" customHeight="1">
      <c r="A13" s="135" t="s">
        <v>220</v>
      </c>
      <c r="B13" s="535" t="s">
        <v>651</v>
      </c>
      <c r="C13" s="536"/>
      <c r="D13" s="537">
        <f>+D14</f>
        <v>0</v>
      </c>
      <c r="E13" s="558">
        <f>+E14</f>
        <v>10211862</v>
      </c>
      <c r="F13" s="559">
        <f>+F14</f>
        <v>0</v>
      </c>
      <c r="G13" s="559">
        <f>+G14</f>
        <v>0</v>
      </c>
      <c r="H13" s="560">
        <f>+H14</f>
        <v>0</v>
      </c>
      <c r="I13" s="538">
        <f t="shared" si="0"/>
        <v>10211862</v>
      </c>
      <c r="J13" s="776"/>
    </row>
    <row r="14" spans="1:10" ht="19.5" customHeight="1">
      <c r="A14" s="539" t="s">
        <v>367</v>
      </c>
      <c r="B14" s="540" t="s">
        <v>496</v>
      </c>
      <c r="C14" s="541" t="s">
        <v>646</v>
      </c>
      <c r="D14" s="547"/>
      <c r="E14" s="548">
        <v>10211862</v>
      </c>
      <c r="F14" s="549"/>
      <c r="G14" s="549"/>
      <c r="H14" s="550"/>
      <c r="I14" s="546">
        <f t="shared" si="0"/>
        <v>10211862</v>
      </c>
      <c r="J14" s="776"/>
    </row>
    <row r="15" spans="1:10" ht="19.5" customHeight="1">
      <c r="A15" s="135" t="s">
        <v>369</v>
      </c>
      <c r="B15" s="535" t="s">
        <v>652</v>
      </c>
      <c r="C15" s="536"/>
      <c r="D15" s="537">
        <f>SUM(D16:D18)</f>
        <v>5618800</v>
      </c>
      <c r="E15" s="537">
        <f>SUM(E16:E18)</f>
        <v>121778186</v>
      </c>
      <c r="F15" s="537">
        <f>+F17+SUM(F16:F18)</f>
        <v>0</v>
      </c>
      <c r="G15" s="537">
        <f>+G17+SUM(G16:G18)</f>
        <v>0</v>
      </c>
      <c r="H15" s="537">
        <f>+H17+SUM(H16:H18)</f>
        <v>0</v>
      </c>
      <c r="I15" s="538">
        <f t="shared" si="0"/>
        <v>127396986</v>
      </c>
      <c r="J15" s="776"/>
    </row>
    <row r="16" spans="1:10" ht="19.5" customHeight="1">
      <c r="A16" s="551" t="s">
        <v>371</v>
      </c>
      <c r="B16" s="561" t="s">
        <v>653</v>
      </c>
      <c r="C16" s="553" t="s">
        <v>646</v>
      </c>
      <c r="D16" s="562">
        <v>1750390</v>
      </c>
      <c r="E16" s="563">
        <v>57256120</v>
      </c>
      <c r="F16" s="564"/>
      <c r="G16" s="564"/>
      <c r="H16" s="565"/>
      <c r="I16" s="546">
        <f t="shared" si="0"/>
        <v>59006510</v>
      </c>
      <c r="J16" s="776"/>
    </row>
    <row r="17" spans="1:10" ht="21.75" customHeight="1">
      <c r="A17" s="566" t="s">
        <v>396</v>
      </c>
      <c r="B17" s="567" t="s">
        <v>654</v>
      </c>
      <c r="C17" s="568" t="s">
        <v>646</v>
      </c>
      <c r="D17" s="569">
        <v>1930250</v>
      </c>
      <c r="E17" s="570">
        <v>64522066</v>
      </c>
      <c r="F17" s="571"/>
      <c r="G17" s="571"/>
      <c r="H17" s="572"/>
      <c r="I17" s="573">
        <f t="shared" si="0"/>
        <v>66452316</v>
      </c>
      <c r="J17" s="776"/>
    </row>
    <row r="18" spans="1:10" ht="32.25" customHeight="1">
      <c r="A18" s="551" t="s">
        <v>397</v>
      </c>
      <c r="B18" s="540" t="s">
        <v>655</v>
      </c>
      <c r="C18" s="553" t="s">
        <v>646</v>
      </c>
      <c r="D18" s="554">
        <v>1938160</v>
      </c>
      <c r="E18" s="555"/>
      <c r="F18" s="556"/>
      <c r="G18" s="556"/>
      <c r="H18" s="557"/>
      <c r="I18" s="546">
        <f t="shared" si="0"/>
        <v>1938160</v>
      </c>
      <c r="J18" s="776"/>
    </row>
    <row r="19" spans="1:10" ht="19.5" customHeight="1">
      <c r="A19" s="135" t="s">
        <v>400</v>
      </c>
      <c r="B19" s="535" t="s">
        <v>656</v>
      </c>
      <c r="C19" s="536"/>
      <c r="D19" s="537">
        <f>+D20</f>
        <v>0</v>
      </c>
      <c r="E19" s="558">
        <f>+E20</f>
        <v>0</v>
      </c>
      <c r="F19" s="559">
        <f>+F20</f>
        <v>0</v>
      </c>
      <c r="G19" s="559">
        <f>+G20</f>
        <v>0</v>
      </c>
      <c r="H19" s="560">
        <f>+H20</f>
        <v>0</v>
      </c>
      <c r="I19" s="538">
        <f t="shared" si="0"/>
        <v>0</v>
      </c>
      <c r="J19" s="776"/>
    </row>
    <row r="20" spans="1:10" ht="19.5" customHeight="1">
      <c r="A20" s="551" t="s">
        <v>403</v>
      </c>
      <c r="B20" s="574" t="s">
        <v>650</v>
      </c>
      <c r="C20" s="575"/>
      <c r="D20" s="554"/>
      <c r="E20" s="555"/>
      <c r="F20" s="556"/>
      <c r="G20" s="556"/>
      <c r="H20" s="557"/>
      <c r="I20" s="576">
        <f t="shared" si="0"/>
        <v>0</v>
      </c>
      <c r="J20" s="776"/>
    </row>
    <row r="21" spans="1:10" ht="19.5" customHeight="1">
      <c r="A21" s="779" t="s">
        <v>657</v>
      </c>
      <c r="B21" s="779"/>
      <c r="C21" s="577"/>
      <c r="D21" s="537">
        <f aca="true" t="shared" si="1" ref="D21:I21">+D6+D10+D13+D15+D19</f>
        <v>40206336</v>
      </c>
      <c r="E21" s="558">
        <f t="shared" si="1"/>
        <v>163126888</v>
      </c>
      <c r="F21" s="559">
        <f t="shared" si="1"/>
        <v>7953400</v>
      </c>
      <c r="G21" s="559">
        <f t="shared" si="1"/>
        <v>2927783</v>
      </c>
      <c r="H21" s="560">
        <f t="shared" si="1"/>
        <v>2620800</v>
      </c>
      <c r="I21" s="538">
        <f t="shared" si="1"/>
        <v>216835207</v>
      </c>
      <c r="J21" s="776"/>
    </row>
  </sheetData>
  <sheetProtection selectLockedCells="1" selectUnlockedCells="1"/>
  <mergeCells count="9">
    <mergeCell ref="A1:I1"/>
    <mergeCell ref="J1:J21"/>
    <mergeCell ref="A3:A4"/>
    <mergeCell ref="B3:B4"/>
    <mergeCell ref="C3:C4"/>
    <mergeCell ref="D3:D4"/>
    <mergeCell ref="E3:H3"/>
    <mergeCell ref="I3:I4"/>
    <mergeCell ref="A21:B21"/>
  </mergeCells>
  <printOptions horizontalCentered="1"/>
  <pageMargins left="0.25" right="0.25" top="0.75" bottom="0.75" header="0.5118055555555555" footer="0.5118055555555555"/>
  <pageSetup horizontalDpi="300" verticalDpi="300" orientation="landscape" paperSize="9" scale="95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50"/>
  </sheetPr>
  <dimension ref="A1:D33"/>
  <sheetViews>
    <sheetView zoomScale="120" zoomScaleNormal="120" zoomScalePageLayoutView="0" workbookViewId="0" topLeftCell="A1">
      <selection activeCell="F17" sqref="F17"/>
    </sheetView>
  </sheetViews>
  <sheetFormatPr defaultColWidth="9.00390625" defaultRowHeight="12.75"/>
  <cols>
    <col min="1" max="1" width="5.875" style="578" customWidth="1"/>
    <col min="2" max="2" width="54.875" style="311" customWidth="1"/>
    <col min="3" max="4" width="17.625" style="311" customWidth="1"/>
    <col min="5" max="16384" width="9.375" style="311" customWidth="1"/>
  </cols>
  <sheetData>
    <row r="1" ht="14.25" customHeight="1">
      <c r="D1" s="579" t="str">
        <f>CONCATENATE("3. tájékoztató tábla ",ALAPADATOK!A7," ",ALAPADATOK!B7," ",ALAPADATOK!C7," ",ALAPADATOK!D7," ",ALAPADATOK!E7," ",ALAPADATOK!F7," ",ALAPADATOK!G7," ",ALAPADATOK!H7)</f>
        <v>3. tájékoztató tábla a … / 2019 ( … ) önkormányzati rendelethez</v>
      </c>
    </row>
    <row r="3" spans="2:4" ht="31.5" customHeight="1">
      <c r="B3" s="780" t="s">
        <v>658</v>
      </c>
      <c r="C3" s="780"/>
      <c r="D3" s="780"/>
    </row>
    <row r="4" spans="1:4" s="582" customFormat="1" ht="15.75">
      <c r="A4" s="580"/>
      <c r="B4" s="581"/>
      <c r="D4" s="583" t="str">
        <f>'KV_2.sz.tájékoztató_t.'!I2</f>
        <v>Forintban!</v>
      </c>
    </row>
    <row r="5" spans="1:4" s="454" customFormat="1" ht="48" customHeight="1">
      <c r="A5" s="584" t="s">
        <v>469</v>
      </c>
      <c r="B5" s="452" t="s">
        <v>113</v>
      </c>
      <c r="C5" s="452" t="s">
        <v>659</v>
      </c>
      <c r="D5" s="453" t="s">
        <v>660</v>
      </c>
    </row>
    <row r="6" spans="1:4" s="454" customFormat="1" ht="13.5" customHeight="1">
      <c r="A6" s="585" t="s">
        <v>114</v>
      </c>
      <c r="B6" s="436" t="s">
        <v>115</v>
      </c>
      <c r="C6" s="436" t="s">
        <v>385</v>
      </c>
      <c r="D6" s="437" t="s">
        <v>386</v>
      </c>
    </row>
    <row r="7" spans="1:4" ht="18" customHeight="1">
      <c r="A7" s="586" t="s">
        <v>116</v>
      </c>
      <c r="B7" s="587" t="s">
        <v>661</v>
      </c>
      <c r="C7" s="588"/>
      <c r="D7" s="142"/>
    </row>
    <row r="8" spans="1:4" ht="18" customHeight="1">
      <c r="A8" s="589" t="s">
        <v>130</v>
      </c>
      <c r="B8" s="590" t="s">
        <v>662</v>
      </c>
      <c r="C8" s="591"/>
      <c r="D8" s="146"/>
    </row>
    <row r="9" spans="1:4" ht="18" customHeight="1">
      <c r="A9" s="589" t="s">
        <v>144</v>
      </c>
      <c r="B9" s="590" t="s">
        <v>663</v>
      </c>
      <c r="C9" s="591"/>
      <c r="D9" s="146"/>
    </row>
    <row r="10" spans="1:4" ht="18" customHeight="1">
      <c r="A10" s="589" t="s">
        <v>341</v>
      </c>
      <c r="B10" s="590" t="s">
        <v>664</v>
      </c>
      <c r="C10" s="591"/>
      <c r="D10" s="146"/>
    </row>
    <row r="11" spans="1:4" ht="18" customHeight="1">
      <c r="A11" s="589" t="s">
        <v>174</v>
      </c>
      <c r="B11" s="590" t="s">
        <v>665</v>
      </c>
      <c r="C11" s="591">
        <v>52800000</v>
      </c>
      <c r="D11" s="146">
        <v>300000</v>
      </c>
    </row>
    <row r="12" spans="1:4" ht="18" customHeight="1">
      <c r="A12" s="589" t="s">
        <v>198</v>
      </c>
      <c r="B12" s="590" t="s">
        <v>666</v>
      </c>
      <c r="C12" s="591"/>
      <c r="D12" s="146"/>
    </row>
    <row r="13" spans="1:4" ht="18" customHeight="1">
      <c r="A13" s="589" t="s">
        <v>358</v>
      </c>
      <c r="B13" s="592" t="s">
        <v>667</v>
      </c>
      <c r="C13" s="591"/>
      <c r="D13" s="146"/>
    </row>
    <row r="14" spans="1:4" ht="18" customHeight="1">
      <c r="A14" s="589" t="s">
        <v>367</v>
      </c>
      <c r="B14" s="592" t="s">
        <v>668</v>
      </c>
      <c r="C14" s="591">
        <v>4800000</v>
      </c>
      <c r="D14" s="146">
        <v>300000</v>
      </c>
    </row>
    <row r="15" spans="1:4" ht="18" customHeight="1">
      <c r="A15" s="589" t="s">
        <v>369</v>
      </c>
      <c r="B15" s="592" t="s">
        <v>669</v>
      </c>
      <c r="C15" s="591"/>
      <c r="D15" s="146"/>
    </row>
    <row r="16" spans="1:4" ht="18" customHeight="1">
      <c r="A16" s="589" t="s">
        <v>371</v>
      </c>
      <c r="B16" s="592" t="s">
        <v>670</v>
      </c>
      <c r="C16" s="591"/>
      <c r="D16" s="146"/>
    </row>
    <row r="17" spans="1:4" ht="22.5" customHeight="1">
      <c r="A17" s="589" t="s">
        <v>396</v>
      </c>
      <c r="B17" s="592" t="s">
        <v>671</v>
      </c>
      <c r="C17" s="591">
        <v>48000000</v>
      </c>
      <c r="D17" s="146">
        <v>0</v>
      </c>
    </row>
    <row r="18" spans="1:4" ht="18" customHeight="1">
      <c r="A18" s="589" t="s">
        <v>397</v>
      </c>
      <c r="B18" s="590" t="s">
        <v>672</v>
      </c>
      <c r="C18" s="591">
        <v>7500000</v>
      </c>
      <c r="D18" s="146">
        <v>0</v>
      </c>
    </row>
    <row r="19" spans="1:4" ht="18" customHeight="1">
      <c r="A19" s="589" t="s">
        <v>400</v>
      </c>
      <c r="B19" s="590" t="s">
        <v>673</v>
      </c>
      <c r="C19" s="591"/>
      <c r="D19" s="146"/>
    </row>
    <row r="20" spans="1:4" ht="18" customHeight="1">
      <c r="A20" s="589" t="s">
        <v>403</v>
      </c>
      <c r="B20" s="590" t="s">
        <v>674</v>
      </c>
      <c r="C20" s="591"/>
      <c r="D20" s="146"/>
    </row>
    <row r="21" spans="1:4" ht="18" customHeight="1">
      <c r="A21" s="589" t="s">
        <v>406</v>
      </c>
      <c r="B21" s="590" t="s">
        <v>675</v>
      </c>
      <c r="C21" s="591"/>
      <c r="D21" s="146"/>
    </row>
    <row r="22" spans="1:4" ht="18" customHeight="1">
      <c r="A22" s="589" t="s">
        <v>409</v>
      </c>
      <c r="B22" s="590" t="s">
        <v>676</v>
      </c>
      <c r="C22" s="591"/>
      <c r="D22" s="146"/>
    </row>
    <row r="23" spans="1:4" ht="18" customHeight="1">
      <c r="A23" s="589" t="s">
        <v>412</v>
      </c>
      <c r="B23" s="593"/>
      <c r="C23" s="145"/>
      <c r="D23" s="146"/>
    </row>
    <row r="24" spans="1:4" ht="18" customHeight="1">
      <c r="A24" s="589" t="s">
        <v>415</v>
      </c>
      <c r="B24" s="594"/>
      <c r="C24" s="145"/>
      <c r="D24" s="146"/>
    </row>
    <row r="25" spans="1:4" ht="18" customHeight="1">
      <c r="A25" s="589" t="s">
        <v>418</v>
      </c>
      <c r="B25" s="594"/>
      <c r="C25" s="145"/>
      <c r="D25" s="146"/>
    </row>
    <row r="26" spans="1:4" ht="18" customHeight="1">
      <c r="A26" s="589" t="s">
        <v>420</v>
      </c>
      <c r="B26" s="594"/>
      <c r="C26" s="145"/>
      <c r="D26" s="146"/>
    </row>
    <row r="27" spans="1:4" ht="18" customHeight="1">
      <c r="A27" s="589" t="s">
        <v>422</v>
      </c>
      <c r="B27" s="594"/>
      <c r="C27" s="145"/>
      <c r="D27" s="146"/>
    </row>
    <row r="28" spans="1:4" ht="18" customHeight="1">
      <c r="A28" s="589" t="s">
        <v>423</v>
      </c>
      <c r="B28" s="594"/>
      <c r="C28" s="145"/>
      <c r="D28" s="146"/>
    </row>
    <row r="29" spans="1:4" ht="18" customHeight="1">
      <c r="A29" s="589" t="s">
        <v>424</v>
      </c>
      <c r="B29" s="594"/>
      <c r="C29" s="145"/>
      <c r="D29" s="146"/>
    </row>
    <row r="30" spans="1:4" ht="18" customHeight="1">
      <c r="A30" s="589" t="s">
        <v>427</v>
      </c>
      <c r="B30" s="594"/>
      <c r="C30" s="145"/>
      <c r="D30" s="146"/>
    </row>
    <row r="31" spans="1:4" ht="18" customHeight="1">
      <c r="A31" s="595" t="s">
        <v>430</v>
      </c>
      <c r="B31" s="596"/>
      <c r="C31" s="597"/>
      <c r="D31" s="411"/>
    </row>
    <row r="32" spans="1:4" ht="18" customHeight="1">
      <c r="A32" s="585" t="s">
        <v>433</v>
      </c>
      <c r="B32" s="598" t="s">
        <v>529</v>
      </c>
      <c r="C32" s="599">
        <f>+C7+C8+C9+C10+C11+C18+C19+C20+C21+C22+C23+C24+C25+C26+C27+C28+C29+C30+C31</f>
        <v>60300000</v>
      </c>
      <c r="D32" s="600">
        <f>+D7+D8+D9+D10+D11+D18+D19+D20+D21+D22+D23+D24+D25+D26+D27+D28+D29+D30+D31</f>
        <v>300000</v>
      </c>
    </row>
    <row r="33" spans="1:4" ht="8.25" customHeight="1">
      <c r="A33" s="601"/>
      <c r="B33" s="781"/>
      <c r="C33" s="781"/>
      <c r="D33" s="781"/>
    </row>
  </sheetData>
  <sheetProtection sheet="1"/>
  <mergeCells count="2">
    <mergeCell ref="B3:D3"/>
    <mergeCell ref="B33:D33"/>
  </mergeCells>
  <printOptions horizontalCentered="1"/>
  <pageMargins left="0.7875" right="0.7875" top="1.0597222222222222" bottom="0.9840277777777777" header="0.5118055555555555" footer="0.5118055555555555"/>
  <pageSetup horizontalDpi="300" verticalDpi="300" orientation="portrait" paperSize="9" scale="95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50"/>
  </sheetPr>
  <dimension ref="A1:Q82"/>
  <sheetViews>
    <sheetView zoomScale="120" zoomScaleNormal="120" zoomScalePageLayoutView="0" workbookViewId="0" topLeftCell="A1">
      <selection activeCell="C20" sqref="C20"/>
    </sheetView>
  </sheetViews>
  <sheetFormatPr defaultColWidth="9.00390625" defaultRowHeight="12.75"/>
  <cols>
    <col min="1" max="1" width="4.875" style="602" customWidth="1"/>
    <col min="2" max="2" width="31.125" style="603" customWidth="1"/>
    <col min="3" max="4" width="9.00390625" style="603" customWidth="1"/>
    <col min="5" max="5" width="9.50390625" style="603" customWidth="1"/>
    <col min="6" max="6" width="8.875" style="603" customWidth="1"/>
    <col min="7" max="7" width="8.625" style="603" customWidth="1"/>
    <col min="8" max="8" width="8.875" style="603" customWidth="1"/>
    <col min="9" max="9" width="8.125" style="603" customWidth="1"/>
    <col min="10" max="14" width="9.50390625" style="603" customWidth="1"/>
    <col min="15" max="15" width="12.625" style="602" customWidth="1"/>
    <col min="16" max="16384" width="9.375" style="603" customWidth="1"/>
  </cols>
  <sheetData>
    <row r="1" spans="13:15" ht="15.75">
      <c r="M1" s="604"/>
      <c r="N1" s="605"/>
      <c r="O1" s="579" t="str">
        <f>CONCATENATE("4. tájékoztató tábla ",ALAPADATOK!A7," ",ALAPADATOK!B7," ",ALAPADATOK!C7," ",ALAPADATOK!D7," ",ALAPADATOK!E7," ",ALAPADATOK!F7," ",ALAPADATOK!G7," ",ALAPADATOK!H7)</f>
        <v>4. tájékoztató tábla a … / 2019 ( … ) önkormányzati rendelethez</v>
      </c>
    </row>
    <row r="2" spans="1:15" ht="31.5" customHeight="1">
      <c r="A2" s="782" t="str">
        <f>+CONCATENATE("Előirányzat-felhasználási terv",CHAR(10),LEFT(KV_ÖSSZEFÜGGÉSEK!A5,4),". évre")</f>
        <v>Előirányzat-felhasználási terv
2019. évre</v>
      </c>
      <c r="B2" s="782"/>
      <c r="C2" s="782"/>
      <c r="D2" s="782"/>
      <c r="E2" s="782"/>
      <c r="F2" s="782"/>
      <c r="G2" s="782"/>
      <c r="H2" s="782"/>
      <c r="I2" s="782"/>
      <c r="J2" s="782"/>
      <c r="K2" s="782"/>
      <c r="L2" s="782"/>
      <c r="M2" s="782"/>
      <c r="N2" s="782"/>
      <c r="O2" s="782"/>
    </row>
    <row r="3" ht="15.75">
      <c r="O3" s="606" t="str">
        <f>'KV_3.sz.tájékoztató_t.'!D4</f>
        <v>Forintban!</v>
      </c>
    </row>
    <row r="4" spans="1:15" s="602" customFormat="1" ht="25.5" customHeight="1">
      <c r="A4" s="607" t="s">
        <v>469</v>
      </c>
      <c r="B4" s="608" t="s">
        <v>384</v>
      </c>
      <c r="C4" s="608" t="s">
        <v>677</v>
      </c>
      <c r="D4" s="608" t="s">
        <v>678</v>
      </c>
      <c r="E4" s="608" t="s">
        <v>679</v>
      </c>
      <c r="F4" s="608" t="s">
        <v>680</v>
      </c>
      <c r="G4" s="608" t="s">
        <v>681</v>
      </c>
      <c r="H4" s="608" t="s">
        <v>682</v>
      </c>
      <c r="I4" s="608" t="s">
        <v>683</v>
      </c>
      <c r="J4" s="608" t="s">
        <v>684</v>
      </c>
      <c r="K4" s="608" t="s">
        <v>685</v>
      </c>
      <c r="L4" s="608" t="s">
        <v>686</v>
      </c>
      <c r="M4" s="608" t="s">
        <v>687</v>
      </c>
      <c r="N4" s="608" t="s">
        <v>688</v>
      </c>
      <c r="O4" s="609" t="s">
        <v>529</v>
      </c>
    </row>
    <row r="5" spans="1:15" s="611" customFormat="1" ht="15" customHeight="1">
      <c r="A5" s="610" t="s">
        <v>116</v>
      </c>
      <c r="B5" s="783" t="s">
        <v>382</v>
      </c>
      <c r="C5" s="783"/>
      <c r="D5" s="783"/>
      <c r="E5" s="783"/>
      <c r="F5" s="783"/>
      <c r="G5" s="783"/>
      <c r="H5" s="783"/>
      <c r="I5" s="783"/>
      <c r="J5" s="783"/>
      <c r="K5" s="783"/>
      <c r="L5" s="783"/>
      <c r="M5" s="783"/>
      <c r="N5" s="783"/>
      <c r="O5" s="783"/>
    </row>
    <row r="6" spans="1:17" s="611" customFormat="1" ht="22.5">
      <c r="A6" s="612" t="s">
        <v>130</v>
      </c>
      <c r="B6" s="613" t="s">
        <v>387</v>
      </c>
      <c r="C6" s="614">
        <v>34495627</v>
      </c>
      <c r="D6" s="614">
        <v>34495627</v>
      </c>
      <c r="E6" s="614">
        <v>34495627</v>
      </c>
      <c r="F6" s="614">
        <v>34495627</v>
      </c>
      <c r="G6" s="614">
        <v>34495627</v>
      </c>
      <c r="H6" s="614">
        <v>34495627</v>
      </c>
      <c r="I6" s="614">
        <v>34495626</v>
      </c>
      <c r="J6" s="614">
        <v>34495626</v>
      </c>
      <c r="K6" s="614">
        <v>34495626</v>
      </c>
      <c r="L6" s="614">
        <v>34495626</v>
      </c>
      <c r="M6" s="614">
        <v>34495626</v>
      </c>
      <c r="N6" s="614">
        <v>34495626</v>
      </c>
      <c r="O6" s="615">
        <f aca="true" t="shared" si="0" ref="O6:O15">SUM(C6:N6)</f>
        <v>413947518</v>
      </c>
      <c r="Q6" s="616"/>
    </row>
    <row r="7" spans="1:15" s="621" customFormat="1" ht="22.5">
      <c r="A7" s="617" t="s">
        <v>144</v>
      </c>
      <c r="B7" s="618" t="s">
        <v>689</v>
      </c>
      <c r="C7" s="619">
        <v>1898491</v>
      </c>
      <c r="D7" s="619">
        <v>1898491</v>
      </c>
      <c r="E7" s="619">
        <v>1898491</v>
      </c>
      <c r="F7" s="619">
        <v>1898491</v>
      </c>
      <c r="G7" s="619">
        <v>1898491</v>
      </c>
      <c r="H7" s="619">
        <v>1898491</v>
      </c>
      <c r="I7" s="619">
        <v>1898491</v>
      </c>
      <c r="J7" s="619">
        <v>1898490</v>
      </c>
      <c r="K7" s="619">
        <v>1898490</v>
      </c>
      <c r="L7" s="619">
        <v>1898490</v>
      </c>
      <c r="M7" s="619">
        <v>1898490</v>
      </c>
      <c r="N7" s="619">
        <v>1898490</v>
      </c>
      <c r="O7" s="620">
        <f t="shared" si="0"/>
        <v>22781887</v>
      </c>
    </row>
    <row r="8" spans="1:15" s="621" customFormat="1" ht="22.5">
      <c r="A8" s="617" t="s">
        <v>341</v>
      </c>
      <c r="B8" s="622" t="s">
        <v>690</v>
      </c>
      <c r="C8" s="623">
        <v>738024</v>
      </c>
      <c r="D8" s="623">
        <v>738024</v>
      </c>
      <c r="E8" s="623">
        <v>738024</v>
      </c>
      <c r="F8" s="623">
        <v>738024</v>
      </c>
      <c r="G8" s="623">
        <v>738024</v>
      </c>
      <c r="H8" s="623">
        <v>738024</v>
      </c>
      <c r="I8" s="623">
        <v>738024</v>
      </c>
      <c r="J8" s="623">
        <v>738024</v>
      </c>
      <c r="K8" s="623">
        <v>738024</v>
      </c>
      <c r="L8" s="623">
        <v>738024</v>
      </c>
      <c r="M8" s="623">
        <v>738025</v>
      </c>
      <c r="N8" s="623">
        <v>738025</v>
      </c>
      <c r="O8" s="624">
        <f t="shared" si="0"/>
        <v>8856290</v>
      </c>
    </row>
    <row r="9" spans="1:15" s="621" customFormat="1" ht="13.5" customHeight="1">
      <c r="A9" s="617" t="s">
        <v>174</v>
      </c>
      <c r="B9" s="625" t="s">
        <v>392</v>
      </c>
      <c r="C9" s="619">
        <v>5000000</v>
      </c>
      <c r="D9" s="619">
        <v>5000000</v>
      </c>
      <c r="E9" s="619">
        <v>5000000</v>
      </c>
      <c r="F9" s="619">
        <v>5000000</v>
      </c>
      <c r="G9" s="619">
        <v>5000000</v>
      </c>
      <c r="H9" s="619">
        <v>5000000</v>
      </c>
      <c r="I9" s="619">
        <v>5000000</v>
      </c>
      <c r="J9" s="619">
        <v>5000000</v>
      </c>
      <c r="K9" s="619">
        <v>5000000</v>
      </c>
      <c r="L9" s="619">
        <v>5000000</v>
      </c>
      <c r="M9" s="619">
        <v>5000000</v>
      </c>
      <c r="N9" s="619">
        <v>5000000</v>
      </c>
      <c r="O9" s="620">
        <f t="shared" si="0"/>
        <v>60000000</v>
      </c>
    </row>
    <row r="10" spans="1:15" s="621" customFormat="1" ht="13.5" customHeight="1">
      <c r="A10" s="617" t="s">
        <v>198</v>
      </c>
      <c r="B10" s="625" t="s">
        <v>393</v>
      </c>
      <c r="C10" s="619">
        <v>8373007</v>
      </c>
      <c r="D10" s="619">
        <v>8373007</v>
      </c>
      <c r="E10" s="619">
        <v>8373007</v>
      </c>
      <c r="F10" s="619">
        <v>8373007</v>
      </c>
      <c r="G10" s="619">
        <v>8373007</v>
      </c>
      <c r="H10" s="619">
        <v>8373007</v>
      </c>
      <c r="I10" s="619">
        <v>8373007</v>
      </c>
      <c r="J10" s="619">
        <v>8373007</v>
      </c>
      <c r="K10" s="619">
        <v>8373007</v>
      </c>
      <c r="L10" s="619">
        <v>8373007</v>
      </c>
      <c r="M10" s="619">
        <v>8373008</v>
      </c>
      <c r="N10" s="619">
        <v>8373008</v>
      </c>
      <c r="O10" s="620">
        <f t="shared" si="0"/>
        <v>100476086</v>
      </c>
    </row>
    <row r="11" spans="1:15" s="621" customFormat="1" ht="13.5" customHeight="1">
      <c r="A11" s="617" t="s">
        <v>358</v>
      </c>
      <c r="B11" s="625" t="s">
        <v>440</v>
      </c>
      <c r="C11" s="619"/>
      <c r="D11" s="619"/>
      <c r="E11" s="619"/>
      <c r="F11" s="619"/>
      <c r="G11" s="619"/>
      <c r="H11" s="619"/>
      <c r="I11" s="619"/>
      <c r="J11" s="619"/>
      <c r="K11" s="619"/>
      <c r="L11" s="619"/>
      <c r="M11" s="619"/>
      <c r="N11" s="619"/>
      <c r="O11" s="620">
        <f t="shared" si="0"/>
        <v>0</v>
      </c>
    </row>
    <row r="12" spans="1:15" s="621" customFormat="1" ht="13.5" customHeight="1">
      <c r="A12" s="617" t="s">
        <v>220</v>
      </c>
      <c r="B12" s="625" t="s">
        <v>394</v>
      </c>
      <c r="C12" s="619"/>
      <c r="D12" s="619"/>
      <c r="E12" s="619"/>
      <c r="F12" s="619"/>
      <c r="G12" s="619"/>
      <c r="H12" s="619"/>
      <c r="I12" s="619"/>
      <c r="J12" s="619"/>
      <c r="K12" s="619"/>
      <c r="L12" s="619"/>
      <c r="M12" s="619"/>
      <c r="N12" s="619"/>
      <c r="O12" s="620">
        <f t="shared" si="0"/>
        <v>0</v>
      </c>
    </row>
    <row r="13" spans="1:15" s="621" customFormat="1" ht="22.5">
      <c r="A13" s="617" t="s">
        <v>367</v>
      </c>
      <c r="B13" s="618" t="s">
        <v>591</v>
      </c>
      <c r="C13" s="619">
        <v>1083333</v>
      </c>
      <c r="D13" s="619">
        <v>1083333</v>
      </c>
      <c r="E13" s="619">
        <v>1083333</v>
      </c>
      <c r="F13" s="619">
        <v>1083333</v>
      </c>
      <c r="G13" s="619">
        <v>1083333</v>
      </c>
      <c r="H13" s="619">
        <v>1083333</v>
      </c>
      <c r="I13" s="619">
        <v>1083333</v>
      </c>
      <c r="J13" s="619">
        <v>1083333</v>
      </c>
      <c r="K13" s="619">
        <v>1083334</v>
      </c>
      <c r="L13" s="619">
        <v>1083334</v>
      </c>
      <c r="M13" s="619">
        <v>1083334</v>
      </c>
      <c r="N13" s="619">
        <v>1083334</v>
      </c>
      <c r="O13" s="620">
        <f t="shared" si="0"/>
        <v>13000000</v>
      </c>
    </row>
    <row r="14" spans="1:15" s="621" customFormat="1" ht="13.5" customHeight="1">
      <c r="A14" s="617" t="s">
        <v>369</v>
      </c>
      <c r="B14" s="625" t="s">
        <v>691</v>
      </c>
      <c r="C14" s="619">
        <v>21093230</v>
      </c>
      <c r="D14" s="619">
        <v>21093230</v>
      </c>
      <c r="E14" s="619">
        <v>21093230</v>
      </c>
      <c r="F14" s="619">
        <v>21093230</v>
      </c>
      <c r="G14" s="619">
        <v>21093230</v>
      </c>
      <c r="H14" s="619">
        <v>21093230</v>
      </c>
      <c r="I14" s="619">
        <v>21093230</v>
      </c>
      <c r="J14" s="619">
        <v>21093230</v>
      </c>
      <c r="K14" s="619">
        <v>21093230</v>
      </c>
      <c r="L14" s="619">
        <v>21093230</v>
      </c>
      <c r="M14" s="619">
        <v>21093231</v>
      </c>
      <c r="N14" s="619">
        <v>21093231</v>
      </c>
      <c r="O14" s="620">
        <f t="shared" si="0"/>
        <v>253118762</v>
      </c>
    </row>
    <row r="15" spans="1:15" s="611" customFormat="1" ht="15.75" customHeight="1">
      <c r="A15" s="610" t="s">
        <v>371</v>
      </c>
      <c r="B15" s="626" t="s">
        <v>692</v>
      </c>
      <c r="C15" s="627">
        <f aca="true" t="shared" si="1" ref="C15:N15">SUM(C6:C14)</f>
        <v>72681712</v>
      </c>
      <c r="D15" s="627">
        <f t="shared" si="1"/>
        <v>72681712</v>
      </c>
      <c r="E15" s="627">
        <f t="shared" si="1"/>
        <v>72681712</v>
      </c>
      <c r="F15" s="627">
        <f t="shared" si="1"/>
        <v>72681712</v>
      </c>
      <c r="G15" s="627">
        <f t="shared" si="1"/>
        <v>72681712</v>
      </c>
      <c r="H15" s="627">
        <f t="shared" si="1"/>
        <v>72681712</v>
      </c>
      <c r="I15" s="627">
        <f t="shared" si="1"/>
        <v>72681711</v>
      </c>
      <c r="J15" s="627">
        <f t="shared" si="1"/>
        <v>72681710</v>
      </c>
      <c r="K15" s="627">
        <f t="shared" si="1"/>
        <v>72681711</v>
      </c>
      <c r="L15" s="627">
        <f t="shared" si="1"/>
        <v>72681711</v>
      </c>
      <c r="M15" s="627">
        <f t="shared" si="1"/>
        <v>72681714</v>
      </c>
      <c r="N15" s="627">
        <f t="shared" si="1"/>
        <v>72681714</v>
      </c>
      <c r="O15" s="628">
        <f t="shared" si="0"/>
        <v>872180543</v>
      </c>
    </row>
    <row r="16" spans="1:15" s="611" customFormat="1" ht="15" customHeight="1">
      <c r="A16" s="610" t="s">
        <v>396</v>
      </c>
      <c r="B16" s="783" t="s">
        <v>383</v>
      </c>
      <c r="C16" s="783"/>
      <c r="D16" s="783"/>
      <c r="E16" s="783"/>
      <c r="F16" s="783"/>
      <c r="G16" s="783"/>
      <c r="H16" s="783"/>
      <c r="I16" s="783"/>
      <c r="J16" s="783"/>
      <c r="K16" s="783"/>
      <c r="L16" s="783"/>
      <c r="M16" s="783"/>
      <c r="N16" s="783"/>
      <c r="O16" s="783"/>
    </row>
    <row r="17" spans="1:15" s="621" customFormat="1" ht="13.5" customHeight="1">
      <c r="A17" s="629" t="s">
        <v>397</v>
      </c>
      <c r="B17" s="630" t="s">
        <v>388</v>
      </c>
      <c r="C17" s="623">
        <v>26405693</v>
      </c>
      <c r="D17" s="623">
        <v>26405693</v>
      </c>
      <c r="E17" s="623">
        <v>26405693</v>
      </c>
      <c r="F17" s="623">
        <v>26405693</v>
      </c>
      <c r="G17" s="623">
        <v>26405693</v>
      </c>
      <c r="H17" s="623">
        <v>26405694</v>
      </c>
      <c r="I17" s="623">
        <v>26405693</v>
      </c>
      <c r="J17" s="623">
        <v>26405693</v>
      </c>
      <c r="K17" s="623">
        <v>26405693</v>
      </c>
      <c r="L17" s="623">
        <v>26405693</v>
      </c>
      <c r="M17" s="623">
        <v>26405694</v>
      </c>
      <c r="N17" s="623">
        <v>26405694</v>
      </c>
      <c r="O17" s="624">
        <f aca="true" t="shared" si="2" ref="O17:O26">SUM(C17:N17)</f>
        <v>316868319</v>
      </c>
    </row>
    <row r="18" spans="1:15" s="621" customFormat="1" ht="27" customHeight="1">
      <c r="A18" s="617" t="s">
        <v>400</v>
      </c>
      <c r="B18" s="618" t="s">
        <v>287</v>
      </c>
      <c r="C18" s="619">
        <v>4845212</v>
      </c>
      <c r="D18" s="619">
        <v>4845210</v>
      </c>
      <c r="E18" s="619">
        <v>4845210</v>
      </c>
      <c r="F18" s="619">
        <v>4845210</v>
      </c>
      <c r="G18" s="619">
        <v>4845213</v>
      </c>
      <c r="H18" s="619">
        <v>4845210</v>
      </c>
      <c r="I18" s="619">
        <v>4845210</v>
      </c>
      <c r="J18" s="619">
        <v>4845208</v>
      </c>
      <c r="K18" s="619">
        <v>4845210</v>
      </c>
      <c r="L18" s="619">
        <v>4845210</v>
      </c>
      <c r="M18" s="619">
        <v>4845208</v>
      </c>
      <c r="N18" s="619">
        <v>4845207</v>
      </c>
      <c r="O18" s="620">
        <f t="shared" si="2"/>
        <v>58142518</v>
      </c>
    </row>
    <row r="19" spans="1:15" s="621" customFormat="1" ht="13.5" customHeight="1">
      <c r="A19" s="617" t="s">
        <v>403</v>
      </c>
      <c r="B19" s="625" t="s">
        <v>288</v>
      </c>
      <c r="C19" s="619">
        <v>19450456</v>
      </c>
      <c r="D19" s="619">
        <v>19450457</v>
      </c>
      <c r="E19" s="619">
        <v>19450457</v>
      </c>
      <c r="F19" s="619">
        <v>19450457</v>
      </c>
      <c r="G19" s="619">
        <v>19450457</v>
      </c>
      <c r="H19" s="619">
        <v>19450457</v>
      </c>
      <c r="I19" s="619">
        <v>19450457</v>
      </c>
      <c r="J19" s="619">
        <v>19450457</v>
      </c>
      <c r="K19" s="619">
        <v>19450457</v>
      </c>
      <c r="L19" s="619">
        <v>19450457</v>
      </c>
      <c r="M19" s="619">
        <v>19450457</v>
      </c>
      <c r="N19" s="619">
        <v>19450457</v>
      </c>
      <c r="O19" s="620">
        <f t="shared" si="2"/>
        <v>233405483</v>
      </c>
    </row>
    <row r="20" spans="1:15" s="621" customFormat="1" ht="13.5" customHeight="1">
      <c r="A20" s="617" t="s">
        <v>406</v>
      </c>
      <c r="B20" s="625" t="s">
        <v>289</v>
      </c>
      <c r="C20" s="619">
        <v>2219166</v>
      </c>
      <c r="D20" s="619">
        <v>2219167</v>
      </c>
      <c r="E20" s="619">
        <v>2219166</v>
      </c>
      <c r="F20" s="619">
        <v>2219166</v>
      </c>
      <c r="G20" s="619">
        <v>2219167</v>
      </c>
      <c r="H20" s="619">
        <v>2219167</v>
      </c>
      <c r="I20" s="619">
        <v>2219167</v>
      </c>
      <c r="J20" s="619">
        <v>2219167</v>
      </c>
      <c r="K20" s="619">
        <v>2219167</v>
      </c>
      <c r="L20" s="619">
        <v>2219166</v>
      </c>
      <c r="M20" s="619">
        <v>2219167</v>
      </c>
      <c r="N20" s="619">
        <v>2219167</v>
      </c>
      <c r="O20" s="620">
        <f t="shared" si="2"/>
        <v>26630000</v>
      </c>
    </row>
    <row r="21" spans="1:15" s="621" customFormat="1" ht="13.5" customHeight="1">
      <c r="A21" s="617" t="s">
        <v>409</v>
      </c>
      <c r="B21" s="625" t="s">
        <v>693</v>
      </c>
      <c r="C21" s="619">
        <v>2597208</v>
      </c>
      <c r="D21" s="619">
        <v>2597209</v>
      </c>
      <c r="E21" s="619">
        <v>2597208</v>
      </c>
      <c r="F21" s="619">
        <v>2597208</v>
      </c>
      <c r="G21" s="619">
        <v>2597208</v>
      </c>
      <c r="H21" s="619">
        <v>2597208</v>
      </c>
      <c r="I21" s="619">
        <v>2597208</v>
      </c>
      <c r="J21" s="619">
        <v>2597208</v>
      </c>
      <c r="K21" s="619">
        <v>2597208</v>
      </c>
      <c r="L21" s="619">
        <v>2597207</v>
      </c>
      <c r="M21" s="619">
        <v>2597209</v>
      </c>
      <c r="N21" s="619">
        <v>2597209</v>
      </c>
      <c r="O21" s="620">
        <f t="shared" si="2"/>
        <v>31166498</v>
      </c>
    </row>
    <row r="22" spans="1:15" s="621" customFormat="1" ht="13.5" customHeight="1">
      <c r="A22" s="617" t="s">
        <v>412</v>
      </c>
      <c r="B22" s="625" t="s">
        <v>322</v>
      </c>
      <c r="C22" s="619">
        <v>2334488</v>
      </c>
      <c r="D22" s="619">
        <v>2334489</v>
      </c>
      <c r="E22" s="619">
        <v>2334488</v>
      </c>
      <c r="F22" s="619">
        <v>2334488</v>
      </c>
      <c r="G22" s="619">
        <v>2334488</v>
      </c>
      <c r="H22" s="619">
        <v>2334488</v>
      </c>
      <c r="I22" s="619">
        <v>2334489</v>
      </c>
      <c r="J22" s="619">
        <v>2334489</v>
      </c>
      <c r="K22" s="619">
        <v>2334489</v>
      </c>
      <c r="L22" s="619">
        <v>2334488</v>
      </c>
      <c r="M22" s="619">
        <v>2334489</v>
      </c>
      <c r="N22" s="619">
        <v>2334489</v>
      </c>
      <c r="O22" s="620">
        <f t="shared" si="2"/>
        <v>28013862</v>
      </c>
    </row>
    <row r="23" spans="1:15" s="621" customFormat="1" ht="15.75">
      <c r="A23" s="617" t="s">
        <v>415</v>
      </c>
      <c r="B23" s="618" t="s">
        <v>324</v>
      </c>
      <c r="C23" s="619">
        <v>12980319</v>
      </c>
      <c r="D23" s="619">
        <v>12980319</v>
      </c>
      <c r="E23" s="619">
        <v>12980321</v>
      </c>
      <c r="F23" s="619">
        <v>12980319</v>
      </c>
      <c r="G23" s="619">
        <v>12980319</v>
      </c>
      <c r="H23" s="619">
        <v>12980319</v>
      </c>
      <c r="I23" s="619">
        <v>12980319</v>
      </c>
      <c r="J23" s="619">
        <v>12980319</v>
      </c>
      <c r="K23" s="619">
        <v>12980318</v>
      </c>
      <c r="L23" s="619">
        <v>12980320</v>
      </c>
      <c r="M23" s="619">
        <v>12980320</v>
      </c>
      <c r="N23" s="619">
        <v>12980320</v>
      </c>
      <c r="O23" s="620">
        <f t="shared" si="2"/>
        <v>155763832</v>
      </c>
    </row>
    <row r="24" spans="1:15" s="621" customFormat="1" ht="13.5" customHeight="1">
      <c r="A24" s="617" t="s">
        <v>418</v>
      </c>
      <c r="B24" s="625" t="s">
        <v>444</v>
      </c>
      <c r="C24" s="619">
        <v>566668</v>
      </c>
      <c r="D24" s="619">
        <v>566666</v>
      </c>
      <c r="E24" s="619">
        <v>566666</v>
      </c>
      <c r="F24" s="619">
        <v>566668</v>
      </c>
      <c r="G24" s="619">
        <v>566665</v>
      </c>
      <c r="H24" s="619">
        <v>566667</v>
      </c>
      <c r="I24" s="619">
        <v>566665</v>
      </c>
      <c r="J24" s="619">
        <v>566667</v>
      </c>
      <c r="K24" s="619">
        <v>566667</v>
      </c>
      <c r="L24" s="619">
        <v>566667</v>
      </c>
      <c r="M24" s="619">
        <v>566667</v>
      </c>
      <c r="N24" s="619">
        <v>566667</v>
      </c>
      <c r="O24" s="620">
        <f t="shared" si="2"/>
        <v>6800000</v>
      </c>
    </row>
    <row r="25" spans="1:15" s="621" customFormat="1" ht="13.5" customHeight="1">
      <c r="A25" s="617" t="s">
        <v>420</v>
      </c>
      <c r="B25" s="625" t="s">
        <v>604</v>
      </c>
      <c r="C25" s="619">
        <v>1282502</v>
      </c>
      <c r="D25" s="619">
        <v>1282502</v>
      </c>
      <c r="E25" s="619">
        <v>1282503</v>
      </c>
      <c r="F25" s="619">
        <v>1282503</v>
      </c>
      <c r="G25" s="619">
        <v>1282502</v>
      </c>
      <c r="H25" s="619">
        <v>1282502</v>
      </c>
      <c r="I25" s="619">
        <v>1282503</v>
      </c>
      <c r="J25" s="619">
        <v>1282502</v>
      </c>
      <c r="K25" s="619">
        <v>1282502</v>
      </c>
      <c r="L25" s="619">
        <v>1282503</v>
      </c>
      <c r="M25" s="619">
        <v>1282503</v>
      </c>
      <c r="N25" s="619">
        <v>1282504</v>
      </c>
      <c r="O25" s="620">
        <f t="shared" si="2"/>
        <v>15390031</v>
      </c>
    </row>
    <row r="26" spans="1:15" s="611" customFormat="1" ht="15.75" customHeight="1">
      <c r="A26" s="631" t="s">
        <v>422</v>
      </c>
      <c r="B26" s="626" t="s">
        <v>694</v>
      </c>
      <c r="C26" s="627">
        <f aca="true" t="shared" si="3" ref="C26:N26">SUM(C17:C25)</f>
        <v>72681712</v>
      </c>
      <c r="D26" s="627">
        <f t="shared" si="3"/>
        <v>72681712</v>
      </c>
      <c r="E26" s="627">
        <f t="shared" si="3"/>
        <v>72681712</v>
      </c>
      <c r="F26" s="627">
        <f t="shared" si="3"/>
        <v>72681712</v>
      </c>
      <c r="G26" s="627">
        <f t="shared" si="3"/>
        <v>72681712</v>
      </c>
      <c r="H26" s="627">
        <f t="shared" si="3"/>
        <v>72681712</v>
      </c>
      <c r="I26" s="627">
        <f t="shared" si="3"/>
        <v>72681711</v>
      </c>
      <c r="J26" s="627">
        <f t="shared" si="3"/>
        <v>72681710</v>
      </c>
      <c r="K26" s="627">
        <f t="shared" si="3"/>
        <v>72681711</v>
      </c>
      <c r="L26" s="627">
        <f t="shared" si="3"/>
        <v>72681711</v>
      </c>
      <c r="M26" s="627">
        <f t="shared" si="3"/>
        <v>72681714</v>
      </c>
      <c r="N26" s="627">
        <f t="shared" si="3"/>
        <v>72681714</v>
      </c>
      <c r="O26" s="628">
        <f t="shared" si="2"/>
        <v>872180543</v>
      </c>
    </row>
    <row r="27" spans="1:15" ht="15.75">
      <c r="A27" s="631" t="s">
        <v>423</v>
      </c>
      <c r="B27" s="632" t="s">
        <v>695</v>
      </c>
      <c r="C27" s="633">
        <f aca="true" t="shared" si="4" ref="C27:O27">C15-C26</f>
        <v>0</v>
      </c>
      <c r="D27" s="633">
        <f t="shared" si="4"/>
        <v>0</v>
      </c>
      <c r="E27" s="633">
        <f t="shared" si="4"/>
        <v>0</v>
      </c>
      <c r="F27" s="633">
        <f t="shared" si="4"/>
        <v>0</v>
      </c>
      <c r="G27" s="633">
        <f t="shared" si="4"/>
        <v>0</v>
      </c>
      <c r="H27" s="633">
        <f t="shared" si="4"/>
        <v>0</v>
      </c>
      <c r="I27" s="633">
        <f t="shared" si="4"/>
        <v>0</v>
      </c>
      <c r="J27" s="633">
        <f t="shared" si="4"/>
        <v>0</v>
      </c>
      <c r="K27" s="633">
        <f t="shared" si="4"/>
        <v>0</v>
      </c>
      <c r="L27" s="633">
        <f t="shared" si="4"/>
        <v>0</v>
      </c>
      <c r="M27" s="633">
        <f t="shared" si="4"/>
        <v>0</v>
      </c>
      <c r="N27" s="633">
        <f t="shared" si="4"/>
        <v>0</v>
      </c>
      <c r="O27" s="634">
        <f t="shared" si="4"/>
        <v>0</v>
      </c>
    </row>
    <row r="28" ht="15.75">
      <c r="A28" s="635"/>
    </row>
    <row r="29" spans="2:15" ht="15.75">
      <c r="B29" s="636"/>
      <c r="C29" s="637"/>
      <c r="D29" s="637"/>
      <c r="O29" s="603"/>
    </row>
    <row r="30" ht="15.75">
      <c r="O30" s="603"/>
    </row>
    <row r="31" ht="15.75">
      <c r="O31" s="603"/>
    </row>
    <row r="32" ht="15.75">
      <c r="O32" s="603"/>
    </row>
    <row r="33" ht="15.75">
      <c r="O33" s="603"/>
    </row>
    <row r="34" ht="15.75">
      <c r="O34" s="603"/>
    </row>
    <row r="35" ht="15.75">
      <c r="O35" s="603"/>
    </row>
    <row r="36" ht="15.75">
      <c r="O36" s="603"/>
    </row>
    <row r="37" ht="15.75">
      <c r="O37" s="603"/>
    </row>
    <row r="38" ht="15.75">
      <c r="O38" s="603"/>
    </row>
    <row r="39" ht="15.75">
      <c r="O39" s="603"/>
    </row>
    <row r="40" ht="15.75">
      <c r="O40" s="603"/>
    </row>
    <row r="41" ht="15.75">
      <c r="O41" s="603"/>
    </row>
    <row r="42" ht="15.75">
      <c r="O42" s="603"/>
    </row>
    <row r="43" ht="15.75">
      <c r="O43" s="603"/>
    </row>
    <row r="44" ht="15.75">
      <c r="O44" s="603"/>
    </row>
    <row r="45" ht="15.75">
      <c r="O45" s="603"/>
    </row>
    <row r="46" ht="15.75">
      <c r="O46" s="603"/>
    </row>
    <row r="47" ht="15.75">
      <c r="O47" s="603"/>
    </row>
    <row r="48" ht="15.75">
      <c r="O48" s="603"/>
    </row>
    <row r="49" ht="15.75">
      <c r="O49" s="603"/>
    </row>
    <row r="50" ht="15.75">
      <c r="O50" s="603"/>
    </row>
    <row r="51" ht="15.75">
      <c r="O51" s="603"/>
    </row>
    <row r="52" ht="15.75">
      <c r="O52" s="603"/>
    </row>
    <row r="53" ht="15.75">
      <c r="O53" s="603"/>
    </row>
    <row r="54" ht="15.75">
      <c r="O54" s="603"/>
    </row>
    <row r="55" ht="15.75">
      <c r="O55" s="603"/>
    </row>
    <row r="56" ht="15.75">
      <c r="O56" s="603"/>
    </row>
    <row r="57" ht="15.75">
      <c r="O57" s="603"/>
    </row>
    <row r="58" ht="15.75">
      <c r="O58" s="603"/>
    </row>
    <row r="59" ht="15.75">
      <c r="O59" s="603"/>
    </row>
    <row r="60" ht="15.75">
      <c r="O60" s="603"/>
    </row>
    <row r="61" ht="15.75">
      <c r="O61" s="603"/>
    </row>
    <row r="62" ht="15.75">
      <c r="O62" s="603"/>
    </row>
    <row r="63" ht="15.75">
      <c r="O63" s="603"/>
    </row>
    <row r="64" ht="15.75">
      <c r="O64" s="603"/>
    </row>
    <row r="65" ht="15.75">
      <c r="O65" s="603"/>
    </row>
    <row r="66" ht="15.75">
      <c r="O66" s="603"/>
    </row>
    <row r="67" ht="15.75">
      <c r="O67" s="603"/>
    </row>
    <row r="68" ht="15.75">
      <c r="O68" s="603"/>
    </row>
    <row r="69" ht="15.75">
      <c r="O69" s="603"/>
    </row>
    <row r="70" ht="15.75">
      <c r="O70" s="603"/>
    </row>
    <row r="71" ht="15.75">
      <c r="O71" s="603"/>
    </row>
    <row r="72" ht="15.75">
      <c r="O72" s="603"/>
    </row>
    <row r="73" ht="15.75">
      <c r="O73" s="603"/>
    </row>
    <row r="74" ht="15.75">
      <c r="O74" s="603"/>
    </row>
    <row r="75" ht="15.75">
      <c r="O75" s="603"/>
    </row>
    <row r="76" ht="15.75">
      <c r="O76" s="603"/>
    </row>
    <row r="77" ht="15.75">
      <c r="O77" s="603"/>
    </row>
    <row r="78" ht="15.75">
      <c r="O78" s="603"/>
    </row>
    <row r="79" ht="15.75">
      <c r="O79" s="603"/>
    </row>
    <row r="80" ht="15.75">
      <c r="O80" s="603"/>
    </row>
    <row r="81" ht="15.75">
      <c r="O81" s="603"/>
    </row>
    <row r="82" ht="15.75">
      <c r="O82" s="603"/>
    </row>
  </sheetData>
  <sheetProtection sheet="1"/>
  <mergeCells count="3">
    <mergeCell ref="A2:O2"/>
    <mergeCell ref="B5:O5"/>
    <mergeCell ref="B16:O16"/>
  </mergeCells>
  <printOptions horizontalCentered="1"/>
  <pageMargins left="0.7875" right="0.7875" top="1.06875" bottom="0.9840277777777777" header="0.5118055555555555" footer="0.5118055555555555"/>
  <pageSetup horizontalDpi="300" verticalDpi="300" orientation="landscape" paperSize="9" scale="90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H36"/>
  <sheetViews>
    <sheetView zoomScale="120" zoomScaleNormal="120" zoomScalePageLayoutView="0" workbookViewId="0" topLeftCell="A1">
      <selection activeCell="B21" sqref="B21"/>
    </sheetView>
  </sheetViews>
  <sheetFormatPr defaultColWidth="9.00390625" defaultRowHeight="12.75"/>
  <cols>
    <col min="1" max="1" width="15.50390625" style="275" customWidth="1"/>
    <col min="2" max="2" width="88.625" style="275" customWidth="1"/>
    <col min="3" max="3" width="16.875" style="275" customWidth="1"/>
    <col min="4" max="4" width="4.875" style="638" customWidth="1"/>
    <col min="5" max="16384" width="9.375" style="275" customWidth="1"/>
  </cols>
  <sheetData>
    <row r="1" spans="2:4" ht="47.25" customHeight="1">
      <c r="B1" s="784" t="str">
        <f>+CONCATENATE("A ",LEFT(KV_ÖSSZEFÜGGÉSEK!A5,4),". évi általános működés és ágazati feladatok támogatásának alakulása jogcímenként")</f>
        <v>A 2019. évi általános működés és ágazati feladatok támogatásának alakulása jogcímenként</v>
      </c>
      <c r="C1" s="784"/>
      <c r="D1" s="785" t="str">
        <f>CONCATENATE("5. tájékoztató tábla ",ALAPADATOK!A7," ",ALAPADATOK!B7," ",ALAPADATOK!C7," ",ALAPADATOK!D7," ",ALAPADATOK!E7," ",ALAPADATOK!F7," ",ALAPADATOK!G7," ",ALAPADATOK!H7)</f>
        <v>5. tájékoztató tábla a … / 2019 ( … ) önkormányzati rendelethez</v>
      </c>
    </row>
    <row r="2" spans="2:4" ht="22.5" customHeight="1">
      <c r="B2" s="639"/>
      <c r="C2" s="640" t="s">
        <v>696</v>
      </c>
      <c r="D2" s="785"/>
    </row>
    <row r="3" spans="1:8" s="307" customFormat="1" ht="54" customHeight="1">
      <c r="A3" s="641" t="s">
        <v>697</v>
      </c>
      <c r="B3" s="642" t="s">
        <v>698</v>
      </c>
      <c r="C3" s="643" t="str">
        <f>+CONCATENATE(LEFT(KV_ÖSSZEFÜGGÉSEK!A5,4),". évi tervezett támogatás összesen")</f>
        <v>2019. évi tervezett támogatás összesen</v>
      </c>
      <c r="D3" s="785"/>
      <c r="H3" s="579"/>
    </row>
    <row r="4" spans="1:4" s="647" customFormat="1" ht="12.75">
      <c r="A4" s="644" t="s">
        <v>114</v>
      </c>
      <c r="B4" s="645" t="s">
        <v>115</v>
      </c>
      <c r="C4" s="646" t="s">
        <v>385</v>
      </c>
      <c r="D4" s="785"/>
    </row>
    <row r="5" spans="1:4" ht="12.75">
      <c r="A5" s="648" t="s">
        <v>699</v>
      </c>
      <c r="B5" s="649" t="s">
        <v>700</v>
      </c>
      <c r="C5" s="650">
        <v>104836200</v>
      </c>
      <c r="D5" s="785"/>
    </row>
    <row r="6" spans="1:4" ht="12.75" customHeight="1">
      <c r="A6" s="651" t="s">
        <v>701</v>
      </c>
      <c r="B6" s="652" t="s">
        <v>702</v>
      </c>
      <c r="C6" s="650">
        <v>7421440</v>
      </c>
      <c r="D6" s="785"/>
    </row>
    <row r="7" spans="1:4" ht="12.75">
      <c r="A7" s="651" t="s">
        <v>703</v>
      </c>
      <c r="B7" s="652" t="s">
        <v>704</v>
      </c>
      <c r="C7" s="650">
        <v>10368000</v>
      </c>
      <c r="D7" s="785"/>
    </row>
    <row r="8" spans="1:4" ht="12.75">
      <c r="A8" s="651" t="s">
        <v>705</v>
      </c>
      <c r="B8" s="652" t="s">
        <v>706</v>
      </c>
      <c r="C8" s="650">
        <v>100000</v>
      </c>
      <c r="D8" s="785"/>
    </row>
    <row r="9" spans="1:4" ht="12.75">
      <c r="A9" s="651" t="s">
        <v>707</v>
      </c>
      <c r="B9" s="652" t="s">
        <v>708</v>
      </c>
      <c r="C9" s="650">
        <v>8006290</v>
      </c>
      <c r="D9" s="785"/>
    </row>
    <row r="10" spans="1:4" ht="12.75">
      <c r="A10" s="651" t="s">
        <v>709</v>
      </c>
      <c r="B10" s="652" t="s">
        <v>710</v>
      </c>
      <c r="C10" s="650">
        <v>13113900</v>
      </c>
      <c r="D10" s="785"/>
    </row>
    <row r="11" spans="1:4" ht="12.75">
      <c r="A11" s="651" t="s">
        <v>711</v>
      </c>
      <c r="B11" s="652" t="s">
        <v>712</v>
      </c>
      <c r="C11" s="650">
        <v>94350</v>
      </c>
      <c r="D11" s="785"/>
    </row>
    <row r="12" spans="1:4" ht="12.75">
      <c r="A12" s="651" t="s">
        <v>713</v>
      </c>
      <c r="B12" s="653" t="s">
        <v>714</v>
      </c>
      <c r="C12" s="650">
        <v>35709068</v>
      </c>
      <c r="D12" s="785"/>
    </row>
    <row r="13" spans="1:4" ht="12.75" customHeight="1">
      <c r="A13" s="651" t="s">
        <v>715</v>
      </c>
      <c r="B13" s="654" t="s">
        <v>716</v>
      </c>
      <c r="C13" s="650">
        <v>972400</v>
      </c>
      <c r="D13" s="785"/>
    </row>
    <row r="14" spans="1:4" ht="12.75">
      <c r="A14" s="651" t="s">
        <v>717</v>
      </c>
      <c r="B14" s="652" t="s">
        <v>718</v>
      </c>
      <c r="C14" s="650">
        <v>78032334</v>
      </c>
      <c r="D14" s="785"/>
    </row>
    <row r="15" spans="1:4" ht="12.75">
      <c r="A15" s="651" t="s">
        <v>719</v>
      </c>
      <c r="B15" s="652" t="s">
        <v>720</v>
      </c>
      <c r="C15" s="650">
        <v>13798334</v>
      </c>
      <c r="D15" s="785"/>
    </row>
    <row r="16" spans="1:4" ht="12.75">
      <c r="A16" s="651" t="s">
        <v>721</v>
      </c>
      <c r="B16" s="652" t="s">
        <v>722</v>
      </c>
      <c r="C16" s="650">
        <v>2815000</v>
      </c>
      <c r="D16" s="785"/>
    </row>
    <row r="17" spans="1:4" ht="12.75">
      <c r="A17" s="651" t="s">
        <v>723</v>
      </c>
      <c r="B17" s="652" t="s">
        <v>724</v>
      </c>
      <c r="C17" s="650">
        <v>38043000</v>
      </c>
      <c r="D17" s="785"/>
    </row>
    <row r="18" spans="1:4" ht="12.75">
      <c r="A18" s="651" t="s">
        <v>725</v>
      </c>
      <c r="B18" s="652" t="s">
        <v>726</v>
      </c>
      <c r="C18" s="650">
        <v>6089600</v>
      </c>
      <c r="D18" s="785"/>
    </row>
    <row r="19" spans="1:4" ht="12.75">
      <c r="A19" s="651" t="s">
        <v>727</v>
      </c>
      <c r="B19" s="655" t="s">
        <v>728</v>
      </c>
      <c r="C19" s="650">
        <v>25632000</v>
      </c>
      <c r="D19" s="785"/>
    </row>
    <row r="20" spans="1:4" ht="12.75">
      <c r="A20" s="651" t="s">
        <v>729</v>
      </c>
      <c r="B20" s="655" t="s">
        <v>730</v>
      </c>
      <c r="C20" s="650">
        <v>11901000</v>
      </c>
      <c r="D20" s="785"/>
    </row>
    <row r="21" spans="1:4" ht="12.75">
      <c r="A21" s="651" t="s">
        <v>731</v>
      </c>
      <c r="B21" s="652" t="s">
        <v>732</v>
      </c>
      <c r="C21" s="650">
        <v>15827000</v>
      </c>
      <c r="D21" s="785"/>
    </row>
    <row r="22" spans="1:4" ht="12.75">
      <c r="A22" s="651" t="s">
        <v>733</v>
      </c>
      <c r="B22" s="652" t="s">
        <v>734</v>
      </c>
      <c r="C22" s="650">
        <v>27447632</v>
      </c>
      <c r="D22" s="785"/>
    </row>
    <row r="23" spans="1:4" ht="12.75">
      <c r="A23" s="651" t="s">
        <v>735</v>
      </c>
      <c r="B23" s="652" t="s">
        <v>736</v>
      </c>
      <c r="C23" s="650">
        <v>3078000</v>
      </c>
      <c r="D23" s="785"/>
    </row>
    <row r="24" spans="1:4" ht="22.5">
      <c r="A24" s="656" t="s">
        <v>737</v>
      </c>
      <c r="B24" s="652" t="s">
        <v>738</v>
      </c>
      <c r="C24" s="650">
        <v>5986000</v>
      </c>
      <c r="D24" s="785"/>
    </row>
    <row r="25" spans="1:4" ht="12.75">
      <c r="A25" s="656" t="s">
        <v>739</v>
      </c>
      <c r="B25" s="652" t="s">
        <v>740</v>
      </c>
      <c r="C25" s="650">
        <v>1614000</v>
      </c>
      <c r="D25" s="785"/>
    </row>
    <row r="26" spans="1:4" ht="12.75">
      <c r="A26" s="657" t="s">
        <v>741</v>
      </c>
      <c r="B26" s="652" t="s">
        <v>742</v>
      </c>
      <c r="C26" s="650">
        <v>5876970</v>
      </c>
      <c r="D26" s="785"/>
    </row>
    <row r="27" spans="1:4" s="298" customFormat="1" ht="19.5" customHeight="1">
      <c r="A27" s="658"/>
      <c r="B27" s="659" t="s">
        <v>529</v>
      </c>
      <c r="C27" s="660">
        <f>SUM(C5:C26)</f>
        <v>416762518</v>
      </c>
      <c r="D27" s="785"/>
    </row>
    <row r="28" spans="1:2" ht="12.75">
      <c r="A28" s="786" t="s">
        <v>743</v>
      </c>
      <c r="B28" s="786"/>
    </row>
    <row r="29" spans="1:2" ht="12.75">
      <c r="A29" s="661"/>
      <c r="B29" s="661"/>
    </row>
    <row r="30" spans="1:2" ht="12.75">
      <c r="A30" s="661"/>
      <c r="B30" s="661"/>
    </row>
    <row r="31" spans="1:2" ht="12.75">
      <c r="A31" s="661"/>
      <c r="B31" s="661"/>
    </row>
    <row r="32" spans="1:2" ht="12.75">
      <c r="A32" s="661"/>
      <c r="B32" s="661"/>
    </row>
    <row r="33" spans="1:2" ht="12.75">
      <c r="A33" s="661"/>
      <c r="B33" s="661"/>
    </row>
    <row r="34" spans="1:2" ht="12.75">
      <c r="A34" s="661"/>
      <c r="B34" s="661"/>
    </row>
    <row r="35" spans="1:2" ht="12.75">
      <c r="A35" s="661"/>
      <c r="B35" s="661"/>
    </row>
    <row r="36" spans="1:2" ht="12.75">
      <c r="A36" s="661"/>
      <c r="B36" s="661"/>
    </row>
  </sheetData>
  <sheetProtection selectLockedCells="1" selectUnlockedCells="1"/>
  <mergeCells count="3">
    <mergeCell ref="B1:C1"/>
    <mergeCell ref="D1:D27"/>
    <mergeCell ref="A28:B28"/>
  </mergeCells>
  <printOptions horizontalCentered="1"/>
  <pageMargins left="0.25" right="0.25" top="0.75" bottom="0.75" header="0.5118055555555555" footer="0.5118055555555555"/>
  <pageSetup fitToHeight="1" fitToWidth="1" horizontalDpi="300" verticalDpi="300" orientation="landscape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50"/>
  </sheetPr>
  <dimension ref="A1:D40"/>
  <sheetViews>
    <sheetView zoomScale="120" zoomScaleNormal="120" zoomScalePageLayoutView="0" workbookViewId="0" topLeftCell="A1">
      <selection activeCell="F17" sqref="F17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1.125" style="0" customWidth="1"/>
    <col min="4" max="4" width="14.875" style="0" customWidth="1"/>
  </cols>
  <sheetData>
    <row r="1" spans="3:4" ht="15">
      <c r="C1" s="662"/>
      <c r="D1" s="663" t="str">
        <f>CONCATENATE("6. tájékoztató tábla ",ALAPADATOK!A7," ",ALAPADATOK!B7," ",ALAPADATOK!C7," ",ALAPADATOK!D7," ",ALAPADATOK!E7," ",ALAPADATOK!F7," ",ALAPADATOK!G7," ",ALAPADATOK!H7)</f>
        <v>6. tájékoztató tábla a … / 2019 ( … ) önkormányzati rendelethez</v>
      </c>
    </row>
    <row r="2" spans="1:4" ht="45" customHeight="1">
      <c r="A2" s="787" t="str">
        <f>+CONCATENATE("K I M U T A T Á S",CHAR(10),"a ",LEFT(KV_ÖSSZEFÜGGÉSEK!A5,4),". évben céljelleggel juttatott támogatásokról")</f>
        <v>K I M U T A T Á S
a 2019. évben céljelleggel juttatott támogatásokról</v>
      </c>
      <c r="B2" s="787"/>
      <c r="C2" s="787"/>
      <c r="D2" s="787"/>
    </row>
    <row r="3" spans="1:4" ht="17.25" customHeight="1">
      <c r="A3" s="664"/>
      <c r="B3" s="664"/>
      <c r="C3" s="664"/>
      <c r="D3" s="664"/>
    </row>
    <row r="4" spans="1:4" ht="12.75">
      <c r="A4" s="665"/>
      <c r="B4" s="665"/>
      <c r="C4" s="788" t="str">
        <f>'KV_4.sz.tájékoztató_t.'!O3</f>
        <v>Forintban!</v>
      </c>
      <c r="D4" s="788"/>
    </row>
    <row r="5" spans="1:4" ht="42.75" customHeight="1">
      <c r="A5" s="666" t="s">
        <v>112</v>
      </c>
      <c r="B5" s="667" t="s">
        <v>744</v>
      </c>
      <c r="C5" s="667" t="s">
        <v>745</v>
      </c>
      <c r="D5" s="668" t="s">
        <v>746</v>
      </c>
    </row>
    <row r="6" spans="1:4" ht="15.75" customHeight="1">
      <c r="A6" s="669" t="s">
        <v>116</v>
      </c>
      <c r="B6" s="670" t="s">
        <v>747</v>
      </c>
      <c r="C6" s="671" t="s">
        <v>748</v>
      </c>
      <c r="D6" s="672">
        <v>650838</v>
      </c>
    </row>
    <row r="7" spans="1:4" ht="15.75" customHeight="1">
      <c r="A7" s="673" t="s">
        <v>130</v>
      </c>
      <c r="B7" s="674" t="s">
        <v>749</v>
      </c>
      <c r="C7" s="675" t="s">
        <v>750</v>
      </c>
      <c r="D7" s="672">
        <v>1200000</v>
      </c>
    </row>
    <row r="8" spans="1:4" ht="15.75" customHeight="1">
      <c r="A8" s="673" t="s">
        <v>144</v>
      </c>
      <c r="B8" s="670" t="s">
        <v>751</v>
      </c>
      <c r="C8" s="671" t="s">
        <v>750</v>
      </c>
      <c r="D8" s="672">
        <v>120000</v>
      </c>
    </row>
    <row r="9" spans="1:4" ht="15.75" customHeight="1">
      <c r="A9" s="673" t="s">
        <v>341</v>
      </c>
      <c r="B9" s="670" t="s">
        <v>752</v>
      </c>
      <c r="C9" s="671" t="s">
        <v>753</v>
      </c>
      <c r="D9" s="672">
        <v>450000</v>
      </c>
    </row>
    <row r="10" spans="1:4" ht="15.75" customHeight="1">
      <c r="A10" s="673" t="s">
        <v>174</v>
      </c>
      <c r="B10" s="670" t="s">
        <v>754</v>
      </c>
      <c r="C10" s="671" t="s">
        <v>750</v>
      </c>
      <c r="D10" s="672">
        <v>330660</v>
      </c>
    </row>
    <row r="11" spans="1:4" ht="15.75" customHeight="1">
      <c r="A11" s="673" t="s">
        <v>198</v>
      </c>
      <c r="B11" s="670" t="s">
        <v>755</v>
      </c>
      <c r="C11" s="671" t="s">
        <v>750</v>
      </c>
      <c r="D11" s="672">
        <v>200000</v>
      </c>
    </row>
    <row r="12" spans="1:4" ht="15.75" customHeight="1">
      <c r="A12" s="673" t="s">
        <v>358</v>
      </c>
      <c r="B12" s="670" t="s">
        <v>756</v>
      </c>
      <c r="C12" s="671" t="s">
        <v>757</v>
      </c>
      <c r="D12" s="672">
        <v>1200000</v>
      </c>
    </row>
    <row r="13" spans="1:4" ht="15.75" customHeight="1">
      <c r="A13" s="673" t="s">
        <v>220</v>
      </c>
      <c r="B13" s="670" t="s">
        <v>756</v>
      </c>
      <c r="C13" s="671" t="s">
        <v>758</v>
      </c>
      <c r="D13" s="672">
        <v>15000</v>
      </c>
    </row>
    <row r="14" spans="1:4" ht="15.75" customHeight="1">
      <c r="A14" s="673" t="s">
        <v>367</v>
      </c>
      <c r="B14" s="670" t="s">
        <v>759</v>
      </c>
      <c r="C14" s="671" t="s">
        <v>750</v>
      </c>
      <c r="D14" s="672">
        <v>2000000</v>
      </c>
    </row>
    <row r="15" spans="1:4" ht="29.25" customHeight="1">
      <c r="A15" s="673" t="s">
        <v>369</v>
      </c>
      <c r="B15" s="670" t="s">
        <v>760</v>
      </c>
      <c r="C15" s="676" t="s">
        <v>761</v>
      </c>
      <c r="D15" s="672">
        <v>3000000</v>
      </c>
    </row>
    <row r="16" spans="1:4" ht="24.75" customHeight="1">
      <c r="A16" s="673" t="s">
        <v>371</v>
      </c>
      <c r="B16" s="670" t="s">
        <v>756</v>
      </c>
      <c r="C16" s="676" t="s">
        <v>762</v>
      </c>
      <c r="D16" s="672">
        <v>300000</v>
      </c>
    </row>
    <row r="17" spans="1:4" ht="15.75" customHeight="1">
      <c r="A17" s="673" t="s">
        <v>396</v>
      </c>
      <c r="B17" s="677" t="s">
        <v>756</v>
      </c>
      <c r="C17" s="678" t="s">
        <v>763</v>
      </c>
      <c r="D17" s="672">
        <v>500000</v>
      </c>
    </row>
    <row r="18" spans="1:4" ht="15.75" customHeight="1">
      <c r="A18" s="673" t="s">
        <v>397</v>
      </c>
      <c r="B18" s="677"/>
      <c r="C18" s="677"/>
      <c r="D18" s="672"/>
    </row>
    <row r="19" spans="1:4" ht="15.75" customHeight="1">
      <c r="A19" s="673" t="s">
        <v>400</v>
      </c>
      <c r="B19" s="677"/>
      <c r="C19" s="677"/>
      <c r="D19" s="672"/>
    </row>
    <row r="20" spans="1:4" ht="15.75" customHeight="1">
      <c r="A20" s="673" t="s">
        <v>403</v>
      </c>
      <c r="B20" s="677"/>
      <c r="C20" s="677"/>
      <c r="D20" s="672"/>
    </row>
    <row r="21" spans="1:4" ht="15.75" customHeight="1">
      <c r="A21" s="673" t="s">
        <v>406</v>
      </c>
      <c r="B21" s="677"/>
      <c r="C21" s="677"/>
      <c r="D21" s="672"/>
    </row>
    <row r="22" spans="1:4" ht="15.75" customHeight="1">
      <c r="A22" s="673" t="s">
        <v>409</v>
      </c>
      <c r="B22" s="677"/>
      <c r="C22" s="677"/>
      <c r="D22" s="672"/>
    </row>
    <row r="23" spans="1:4" ht="15.75" customHeight="1">
      <c r="A23" s="673" t="s">
        <v>412</v>
      </c>
      <c r="B23" s="677"/>
      <c r="C23" s="677"/>
      <c r="D23" s="672"/>
    </row>
    <row r="24" spans="1:4" ht="15.75" customHeight="1">
      <c r="A24" s="673" t="s">
        <v>415</v>
      </c>
      <c r="B24" s="677"/>
      <c r="C24" s="677"/>
      <c r="D24" s="672"/>
    </row>
    <row r="25" spans="1:4" ht="15.75" customHeight="1">
      <c r="A25" s="673" t="s">
        <v>418</v>
      </c>
      <c r="B25" s="677"/>
      <c r="C25" s="677"/>
      <c r="D25" s="672"/>
    </row>
    <row r="26" spans="1:4" ht="15.75" customHeight="1">
      <c r="A26" s="673" t="s">
        <v>420</v>
      </c>
      <c r="B26" s="677"/>
      <c r="C26" s="677"/>
      <c r="D26" s="672"/>
    </row>
    <row r="27" spans="1:4" ht="15.75" customHeight="1">
      <c r="A27" s="673" t="s">
        <v>422</v>
      </c>
      <c r="B27" s="677"/>
      <c r="C27" s="677"/>
      <c r="D27" s="672"/>
    </row>
    <row r="28" spans="1:4" ht="15.75" customHeight="1">
      <c r="A28" s="673" t="s">
        <v>423</v>
      </c>
      <c r="B28" s="677"/>
      <c r="C28" s="677"/>
      <c r="D28" s="672"/>
    </row>
    <row r="29" spans="1:4" ht="15.75" customHeight="1">
      <c r="A29" s="673" t="s">
        <v>424</v>
      </c>
      <c r="B29" s="677"/>
      <c r="C29" s="677"/>
      <c r="D29" s="672"/>
    </row>
    <row r="30" spans="1:4" ht="15.75" customHeight="1">
      <c r="A30" s="673" t="s">
        <v>427</v>
      </c>
      <c r="B30" s="677"/>
      <c r="C30" s="677"/>
      <c r="D30" s="672"/>
    </row>
    <row r="31" spans="1:4" ht="15.75" customHeight="1">
      <c r="A31" s="673" t="s">
        <v>430</v>
      </c>
      <c r="B31" s="677"/>
      <c r="C31" s="677"/>
      <c r="D31" s="672"/>
    </row>
    <row r="32" spans="1:4" ht="15.75" customHeight="1">
      <c r="A32" s="673" t="s">
        <v>433</v>
      </c>
      <c r="B32" s="677"/>
      <c r="C32" s="677"/>
      <c r="D32" s="672"/>
    </row>
    <row r="33" spans="1:4" ht="15.75" customHeight="1">
      <c r="A33" s="673" t="s">
        <v>466</v>
      </c>
      <c r="B33" s="677"/>
      <c r="C33" s="677"/>
      <c r="D33" s="672"/>
    </row>
    <row r="34" spans="1:4" ht="15.75" customHeight="1">
      <c r="A34" s="673" t="s">
        <v>764</v>
      </c>
      <c r="B34" s="677"/>
      <c r="C34" s="677"/>
      <c r="D34" s="672"/>
    </row>
    <row r="35" spans="1:4" ht="15.75" customHeight="1">
      <c r="A35" s="673" t="s">
        <v>765</v>
      </c>
      <c r="B35" s="677"/>
      <c r="C35" s="677"/>
      <c r="D35" s="679"/>
    </row>
    <row r="36" spans="1:4" ht="15.75" customHeight="1">
      <c r="A36" s="673" t="s">
        <v>766</v>
      </c>
      <c r="B36" s="677"/>
      <c r="C36" s="677"/>
      <c r="D36" s="679"/>
    </row>
    <row r="37" spans="1:4" ht="15.75" customHeight="1">
      <c r="A37" s="673" t="s">
        <v>767</v>
      </c>
      <c r="B37" s="677"/>
      <c r="C37" s="677"/>
      <c r="D37" s="679"/>
    </row>
    <row r="38" spans="1:4" ht="15.75" customHeight="1">
      <c r="A38" s="680" t="s">
        <v>768</v>
      </c>
      <c r="B38" s="681"/>
      <c r="C38" s="681"/>
      <c r="D38" s="682"/>
    </row>
    <row r="39" spans="1:4" ht="15.75" customHeight="1">
      <c r="A39" s="789" t="s">
        <v>529</v>
      </c>
      <c r="B39" s="789"/>
      <c r="C39" s="683"/>
      <c r="D39" s="684">
        <f>SUM(D6:D38)</f>
        <v>9966498</v>
      </c>
    </row>
    <row r="40" ht="12.75">
      <c r="A40" t="s">
        <v>769</v>
      </c>
    </row>
  </sheetData>
  <sheetProtection selectLockedCells="1" selectUnlockedCells="1"/>
  <mergeCells count="3">
    <mergeCell ref="A2:D2"/>
    <mergeCell ref="C4:D4"/>
    <mergeCell ref="A39:B39"/>
  </mergeCells>
  <conditionalFormatting sqref="D39">
    <cfRule type="cellIs" priority="1" dxfId="6" operator="equal" stopIfTrue="1">
      <formula>0</formula>
    </cfRule>
  </conditionalFormatting>
  <printOptions horizontalCentered="1"/>
  <pageMargins left="0.7875" right="0.7875" top="1.0597222222222222" bottom="0.9840277777777777" header="0.5118055555555555" footer="0.5118055555555555"/>
  <pageSetup horizontalDpi="300" verticalDpi="300" orientation="portrait" paperSize="9" scale="95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indexed="50"/>
  </sheetPr>
  <dimension ref="A1:G51"/>
  <sheetViews>
    <sheetView zoomScale="120" zoomScaleNormal="120" zoomScaleSheetLayoutView="100" zoomScalePageLayoutView="0" workbookViewId="0" topLeftCell="A1">
      <selection activeCell="E1" sqref="E1"/>
    </sheetView>
  </sheetViews>
  <sheetFormatPr defaultColWidth="9.00390625" defaultRowHeight="12.75"/>
  <cols>
    <col min="1" max="1" width="9.00390625" style="24" customWidth="1"/>
    <col min="2" max="2" width="66.375" style="24" customWidth="1"/>
    <col min="3" max="3" width="15.50390625" style="25" customWidth="1"/>
    <col min="4" max="5" width="15.50390625" style="24" customWidth="1"/>
    <col min="6" max="6" width="9.00390625" style="26" customWidth="1"/>
    <col min="7" max="16384" width="9.375" style="26" customWidth="1"/>
  </cols>
  <sheetData>
    <row r="1" spans="3:5" ht="15.75">
      <c r="C1" s="685"/>
      <c r="D1" s="662"/>
      <c r="E1" s="663" t="str">
        <f>CONCATENATE("7. tájékoztató tábla ",ALAPADATOK!A7," ",ALAPADATOK!B7," ",ALAPADATOK!C7," ",ALAPADATOK!D7," ",ALAPADATOK!E7," ",ALAPADATOK!F7," ",ALAPADATOK!G7," ",ALAPADATOK!H7)</f>
        <v>7. tájékoztató tábla a … / 2019 ( … ) önkormányzati rendelethez</v>
      </c>
    </row>
    <row r="2" spans="1:5" ht="15.75" customHeight="1">
      <c r="A2" s="790" t="str">
        <f>CONCATENATE(ALAPADATOK!A3)</f>
        <v>ELEK VÁROS ÖNKORMÁNYZATA</v>
      </c>
      <c r="B2" s="790"/>
      <c r="C2" s="790"/>
      <c r="D2" s="790"/>
      <c r="E2" s="790"/>
    </row>
    <row r="3" spans="1:5" ht="15.75">
      <c r="A3" s="775" t="s">
        <v>770</v>
      </c>
      <c r="B3" s="775"/>
      <c r="C3" s="775"/>
      <c r="D3" s="775"/>
      <c r="E3" s="775"/>
    </row>
    <row r="4" spans="1:5" ht="15.75" customHeight="1">
      <c r="A4" s="737" t="s">
        <v>771</v>
      </c>
      <c r="B4" s="737"/>
      <c r="C4" s="737"/>
      <c r="D4" s="737"/>
      <c r="E4" s="737"/>
    </row>
    <row r="5" spans="1:5" ht="15.75" customHeight="1">
      <c r="A5" s="733" t="s">
        <v>110</v>
      </c>
      <c r="B5" s="733"/>
      <c r="D5" s="123"/>
      <c r="E5" s="504" t="str">
        <f>'KV_4.sz.tájékoztató_t.'!O3</f>
        <v>Forintban!</v>
      </c>
    </row>
    <row r="6" spans="1:5" ht="37.5" customHeight="1">
      <c r="A6" s="505" t="s">
        <v>112</v>
      </c>
      <c r="B6" s="506" t="s">
        <v>113</v>
      </c>
      <c r="C6" s="506" t="str">
        <f>+CONCATENATE(LEFT(KV_ÖSSZEFÜGGÉSEK!A5,4)+1,". évi")</f>
        <v>2020. évi</v>
      </c>
      <c r="D6" s="686" t="str">
        <f>+CONCATENATE(LEFT(KV_ÖSSZEFÜGGÉSEK!A5,4)+2,". évi")</f>
        <v>2021. évi</v>
      </c>
      <c r="E6" s="507" t="str">
        <f>+CONCATENATE(LEFT(KV_ÖSSZEFÜGGÉSEK!A5,4)+3,". évi")</f>
        <v>2022. évi</v>
      </c>
    </row>
    <row r="7" spans="1:5" s="40" customFormat="1" ht="12" customHeight="1">
      <c r="A7" s="336" t="s">
        <v>114</v>
      </c>
      <c r="B7" s="483" t="s">
        <v>115</v>
      </c>
      <c r="C7" s="483" t="s">
        <v>385</v>
      </c>
      <c r="D7" s="483" t="s">
        <v>386</v>
      </c>
      <c r="E7" s="484" t="s">
        <v>473</v>
      </c>
    </row>
    <row r="8" spans="1:5" s="44" customFormat="1" ht="12" customHeight="1">
      <c r="A8" s="41" t="s">
        <v>116</v>
      </c>
      <c r="B8" s="42" t="s">
        <v>772</v>
      </c>
      <c r="C8" s="497">
        <v>414000000</v>
      </c>
      <c r="D8" s="497">
        <v>418000000</v>
      </c>
      <c r="E8" s="498">
        <v>422000000</v>
      </c>
    </row>
    <row r="9" spans="1:5" s="44" customFormat="1" ht="12" customHeight="1">
      <c r="A9" s="41" t="s">
        <v>130</v>
      </c>
      <c r="B9" s="54" t="s">
        <v>389</v>
      </c>
      <c r="C9" s="497">
        <v>370000000</v>
      </c>
      <c r="D9" s="497">
        <v>375000000</v>
      </c>
      <c r="E9" s="498">
        <v>380000000</v>
      </c>
    </row>
    <row r="10" spans="1:5" s="44" customFormat="1" ht="12" customHeight="1">
      <c r="A10" s="41" t="s">
        <v>144</v>
      </c>
      <c r="B10" s="42" t="s">
        <v>437</v>
      </c>
      <c r="C10" s="497">
        <v>20000000</v>
      </c>
      <c r="D10" s="497">
        <v>25000000</v>
      </c>
      <c r="E10" s="498">
        <v>30000000</v>
      </c>
    </row>
    <row r="11" spans="1:5" s="44" customFormat="1" ht="12" customHeight="1">
      <c r="A11" s="41" t="s">
        <v>158</v>
      </c>
      <c r="B11" s="42" t="s">
        <v>571</v>
      </c>
      <c r="C11" s="486">
        <f>SUM(C12:C18)</f>
        <v>61500000</v>
      </c>
      <c r="D11" s="486">
        <f>SUM(D12:D18)</f>
        <v>63000000</v>
      </c>
      <c r="E11" s="487">
        <f>SUM(E12:E18)</f>
        <v>64500000</v>
      </c>
    </row>
    <row r="12" spans="1:5" s="44" customFormat="1" ht="12" customHeight="1">
      <c r="A12" s="45" t="s">
        <v>160</v>
      </c>
      <c r="B12" s="46" t="s">
        <v>161</v>
      </c>
      <c r="C12" s="489">
        <v>5000000</v>
      </c>
      <c r="D12" s="489">
        <v>5500000</v>
      </c>
      <c r="E12" s="490">
        <v>5500000</v>
      </c>
    </row>
    <row r="13" spans="1:5" s="44" customFormat="1" ht="12" customHeight="1">
      <c r="A13" s="48" t="s">
        <v>162</v>
      </c>
      <c r="B13" s="49" t="s">
        <v>163</v>
      </c>
      <c r="C13" s="491"/>
      <c r="D13" s="491"/>
      <c r="E13" s="108"/>
    </row>
    <row r="14" spans="1:5" s="44" customFormat="1" ht="12" customHeight="1">
      <c r="A14" s="48" t="s">
        <v>164</v>
      </c>
      <c r="B14" s="49" t="s">
        <v>165</v>
      </c>
      <c r="C14" s="491">
        <v>48500000</v>
      </c>
      <c r="D14" s="491">
        <v>49000000</v>
      </c>
      <c r="E14" s="108">
        <v>50000000</v>
      </c>
    </row>
    <row r="15" spans="1:5" s="44" customFormat="1" ht="12" customHeight="1">
      <c r="A15" s="48" t="s">
        <v>166</v>
      </c>
      <c r="B15" s="49" t="s">
        <v>167</v>
      </c>
      <c r="C15" s="491"/>
      <c r="D15" s="491"/>
      <c r="E15" s="108"/>
    </row>
    <row r="16" spans="1:5" s="44" customFormat="1" ht="12" customHeight="1">
      <c r="A16" s="48" t="s">
        <v>168</v>
      </c>
      <c r="B16" s="49" t="s">
        <v>169</v>
      </c>
      <c r="C16" s="491">
        <v>8000000</v>
      </c>
      <c r="D16" s="491">
        <v>8500000</v>
      </c>
      <c r="E16" s="108">
        <v>9000000</v>
      </c>
    </row>
    <row r="17" spans="1:5" s="44" customFormat="1" ht="12" customHeight="1">
      <c r="A17" s="48" t="s">
        <v>170</v>
      </c>
      <c r="B17" s="49" t="s">
        <v>171</v>
      </c>
      <c r="C17" s="491"/>
      <c r="D17" s="491"/>
      <c r="E17" s="108"/>
    </row>
    <row r="18" spans="1:5" s="44" customFormat="1" ht="12" customHeight="1">
      <c r="A18" s="52" t="s">
        <v>172</v>
      </c>
      <c r="B18" s="62" t="s">
        <v>173</v>
      </c>
      <c r="C18" s="492"/>
      <c r="D18" s="492"/>
      <c r="E18" s="110"/>
    </row>
    <row r="19" spans="1:5" s="44" customFormat="1" ht="12" customHeight="1">
      <c r="A19" s="41" t="s">
        <v>174</v>
      </c>
      <c r="B19" s="42" t="s">
        <v>773</v>
      </c>
      <c r="C19" s="497">
        <v>100000000</v>
      </c>
      <c r="D19" s="497">
        <v>100500000</v>
      </c>
      <c r="E19" s="498">
        <v>101000000</v>
      </c>
    </row>
    <row r="20" spans="1:5" s="44" customFormat="1" ht="12" customHeight="1">
      <c r="A20" s="41" t="s">
        <v>198</v>
      </c>
      <c r="B20" s="42" t="s">
        <v>440</v>
      </c>
      <c r="C20" s="497"/>
      <c r="D20" s="497"/>
      <c r="E20" s="498"/>
    </row>
    <row r="21" spans="1:5" s="44" customFormat="1" ht="12" customHeight="1">
      <c r="A21" s="41" t="s">
        <v>210</v>
      </c>
      <c r="B21" s="42" t="s">
        <v>774</v>
      </c>
      <c r="C21" s="497"/>
      <c r="D21" s="497"/>
      <c r="E21" s="498"/>
    </row>
    <row r="22" spans="1:5" s="44" customFormat="1" ht="12" customHeight="1">
      <c r="A22" s="41" t="s">
        <v>220</v>
      </c>
      <c r="B22" s="54" t="s">
        <v>775</v>
      </c>
      <c r="C22" s="497"/>
      <c r="D22" s="497"/>
      <c r="E22" s="498"/>
    </row>
    <row r="23" spans="1:5" s="44" customFormat="1" ht="12" customHeight="1">
      <c r="A23" s="41" t="s">
        <v>367</v>
      </c>
      <c r="B23" s="42" t="s">
        <v>231</v>
      </c>
      <c r="C23" s="486">
        <f>+C8+C9+C10+C11+C19+C20+C21+C22</f>
        <v>965500000</v>
      </c>
      <c r="D23" s="486">
        <f>+D8+D9+D10+D11+D19+D20+D21+D22</f>
        <v>981500000</v>
      </c>
      <c r="E23" s="43">
        <f>+E8+E9+E10+E11+E19+E20+E21+E22</f>
        <v>997500000</v>
      </c>
    </row>
    <row r="24" spans="1:5" s="44" customFormat="1" ht="12" customHeight="1">
      <c r="A24" s="41" t="s">
        <v>369</v>
      </c>
      <c r="B24" s="42" t="s">
        <v>776</v>
      </c>
      <c r="C24" s="497"/>
      <c r="D24" s="497"/>
      <c r="E24" s="498"/>
    </row>
    <row r="25" spans="1:5" s="44" customFormat="1" ht="12" customHeight="1">
      <c r="A25" s="41" t="s">
        <v>371</v>
      </c>
      <c r="B25" s="42" t="s">
        <v>777</v>
      </c>
      <c r="C25" s="486">
        <f>+C23+C24</f>
        <v>965500000</v>
      </c>
      <c r="D25" s="486">
        <f>+D23+D24</f>
        <v>981500000</v>
      </c>
      <c r="E25" s="487">
        <f>+E23+E24</f>
        <v>997500000</v>
      </c>
    </row>
    <row r="26" spans="1:5" s="44" customFormat="1" ht="12" customHeight="1">
      <c r="A26" s="499"/>
      <c r="B26" s="500"/>
      <c r="C26" s="501"/>
      <c r="D26" s="687"/>
      <c r="E26" s="688"/>
    </row>
    <row r="27" spans="1:5" s="44" customFormat="1" ht="12" customHeight="1">
      <c r="A27" s="737" t="s">
        <v>282</v>
      </c>
      <c r="B27" s="737"/>
      <c r="C27" s="737"/>
      <c r="D27" s="737"/>
      <c r="E27" s="737"/>
    </row>
    <row r="28" spans="1:5" s="44" customFormat="1" ht="12" customHeight="1">
      <c r="A28" s="738" t="s">
        <v>283</v>
      </c>
      <c r="B28" s="738"/>
      <c r="C28" s="25"/>
      <c r="D28" s="123"/>
      <c r="E28" s="504" t="str">
        <f>E5</f>
        <v>Forintban!</v>
      </c>
    </row>
    <row r="29" spans="1:6" s="44" customFormat="1" ht="24" customHeight="1">
      <c r="A29" s="505" t="s">
        <v>469</v>
      </c>
      <c r="B29" s="506" t="s">
        <v>284</v>
      </c>
      <c r="C29" s="506" t="str">
        <f>+C6</f>
        <v>2020. évi</v>
      </c>
      <c r="D29" s="506" t="str">
        <f>+D6</f>
        <v>2021. évi</v>
      </c>
      <c r="E29" s="507" t="str">
        <f>+E6</f>
        <v>2022. évi</v>
      </c>
      <c r="F29" s="689"/>
    </row>
    <row r="30" spans="1:6" s="44" customFormat="1" ht="12" customHeight="1">
      <c r="A30" s="356" t="s">
        <v>114</v>
      </c>
      <c r="B30" s="690" t="s">
        <v>115</v>
      </c>
      <c r="C30" s="690" t="s">
        <v>385</v>
      </c>
      <c r="D30" s="690" t="s">
        <v>386</v>
      </c>
      <c r="E30" s="691" t="s">
        <v>473</v>
      </c>
      <c r="F30" s="689"/>
    </row>
    <row r="31" spans="1:6" s="44" customFormat="1" ht="15" customHeight="1">
      <c r="A31" s="41" t="s">
        <v>116</v>
      </c>
      <c r="B31" s="125" t="s">
        <v>778</v>
      </c>
      <c r="C31" s="497">
        <v>900500000</v>
      </c>
      <c r="D31" s="497">
        <v>906000000</v>
      </c>
      <c r="E31" s="77">
        <v>912000000</v>
      </c>
      <c r="F31" s="689"/>
    </row>
    <row r="32" spans="1:5" ht="12" customHeight="1">
      <c r="A32" s="102" t="s">
        <v>130</v>
      </c>
      <c r="B32" s="103" t="s">
        <v>779</v>
      </c>
      <c r="C32" s="515">
        <f>+C33+C34+C35</f>
        <v>65000000</v>
      </c>
      <c r="D32" s="515">
        <f>+D33+D34+D35</f>
        <v>75500000</v>
      </c>
      <c r="E32" s="516">
        <f>+E33+E34+E35</f>
        <v>85500000</v>
      </c>
    </row>
    <row r="33" spans="1:5" ht="12" customHeight="1">
      <c r="A33" s="45" t="s">
        <v>132</v>
      </c>
      <c r="B33" s="95" t="s">
        <v>322</v>
      </c>
      <c r="C33" s="489">
        <v>30000000</v>
      </c>
      <c r="D33" s="489">
        <v>35000000</v>
      </c>
      <c r="E33" s="490">
        <v>40000000</v>
      </c>
    </row>
    <row r="34" spans="1:5" ht="12" customHeight="1">
      <c r="A34" s="45" t="s">
        <v>134</v>
      </c>
      <c r="B34" s="105" t="s">
        <v>324</v>
      </c>
      <c r="C34" s="491">
        <v>30000000</v>
      </c>
      <c r="D34" s="491">
        <v>35000000</v>
      </c>
      <c r="E34" s="108">
        <v>40000000</v>
      </c>
    </row>
    <row r="35" spans="1:5" ht="12" customHeight="1">
      <c r="A35" s="45" t="s">
        <v>136</v>
      </c>
      <c r="B35" s="53" t="s">
        <v>444</v>
      </c>
      <c r="C35" s="491">
        <v>5000000</v>
      </c>
      <c r="D35" s="491">
        <v>5500000</v>
      </c>
      <c r="E35" s="108">
        <v>5500000</v>
      </c>
    </row>
    <row r="36" spans="1:5" ht="12" customHeight="1">
      <c r="A36" s="41" t="s">
        <v>144</v>
      </c>
      <c r="B36" s="42" t="s">
        <v>340</v>
      </c>
      <c r="C36" s="486">
        <f>+C31+C32</f>
        <v>965500000</v>
      </c>
      <c r="D36" s="486">
        <f>+D31+D32</f>
        <v>981500000</v>
      </c>
      <c r="E36" s="487">
        <f>+E31+E32</f>
        <v>997500000</v>
      </c>
    </row>
    <row r="37" spans="1:6" ht="15" customHeight="1">
      <c r="A37" s="41" t="s">
        <v>341</v>
      </c>
      <c r="B37" s="42" t="s">
        <v>780</v>
      </c>
      <c r="C37" s="692"/>
      <c r="D37" s="692"/>
      <c r="E37" s="693"/>
      <c r="F37" s="118"/>
    </row>
    <row r="38" spans="1:5" s="44" customFormat="1" ht="12.75" customHeight="1">
      <c r="A38" s="119" t="s">
        <v>174</v>
      </c>
      <c r="B38" s="366" t="s">
        <v>781</v>
      </c>
      <c r="C38" s="523">
        <f>+C36+C37</f>
        <v>965500000</v>
      </c>
      <c r="D38" s="523">
        <f>+D36+D37</f>
        <v>981500000</v>
      </c>
      <c r="E38" s="524">
        <f>+E36+E37</f>
        <v>997500000</v>
      </c>
    </row>
    <row r="39" spans="3:5" ht="15.75">
      <c r="C39" s="694">
        <f>C25-C38</f>
        <v>0</v>
      </c>
      <c r="D39" s="694">
        <f>D25-D38</f>
        <v>0</v>
      </c>
      <c r="E39" s="694">
        <f>E25-E38</f>
        <v>0</v>
      </c>
    </row>
    <row r="40" ht="15.75">
      <c r="C40" s="24"/>
    </row>
    <row r="41" ht="15.75">
      <c r="C41" s="24"/>
    </row>
    <row r="42" ht="16.5" customHeight="1">
      <c r="C42" s="24"/>
    </row>
    <row r="43" ht="15.75">
      <c r="C43" s="24"/>
    </row>
    <row r="44" ht="15.75">
      <c r="C44" s="24"/>
    </row>
    <row r="45" spans="6:7" s="24" customFormat="1" ht="15.75">
      <c r="F45" s="26"/>
      <c r="G45" s="26"/>
    </row>
    <row r="46" spans="6:7" s="24" customFormat="1" ht="15.75">
      <c r="F46" s="26"/>
      <c r="G46" s="26"/>
    </row>
    <row r="47" spans="6:7" s="24" customFormat="1" ht="15.75">
      <c r="F47" s="26"/>
      <c r="G47" s="26"/>
    </row>
    <row r="48" spans="6:7" s="24" customFormat="1" ht="15.75">
      <c r="F48" s="26"/>
      <c r="G48" s="26"/>
    </row>
    <row r="49" spans="6:7" s="24" customFormat="1" ht="15.75">
      <c r="F49" s="26"/>
      <c r="G49" s="26"/>
    </row>
    <row r="50" spans="6:7" s="24" customFormat="1" ht="15.75">
      <c r="F50" s="26"/>
      <c r="G50" s="26"/>
    </row>
    <row r="51" spans="6:7" s="24" customFormat="1" ht="15.75">
      <c r="F51" s="26"/>
      <c r="G51" s="26"/>
    </row>
  </sheetData>
  <sheetProtection selectLockedCells="1" selectUnlockedCells="1"/>
  <mergeCells count="6">
    <mergeCell ref="A27:E27"/>
    <mergeCell ref="A28:B28"/>
    <mergeCell ref="A2:E2"/>
    <mergeCell ref="A3:E3"/>
    <mergeCell ref="A4:E4"/>
    <mergeCell ref="A5:B5"/>
  </mergeCells>
  <printOptions horizontalCentered="1"/>
  <pageMargins left="0.7875" right="0.7875" top="1.4569444444444444" bottom="0.8659722222222223" header="0.5118055555555555" footer="0.5118055555555555"/>
  <pageSetup horizontalDpi="300" verticalDpi="300" orientation="portrait" paperSize="9" scale="75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indexed="50"/>
  </sheetPr>
  <dimension ref="A1:O28"/>
  <sheetViews>
    <sheetView zoomScale="120" zoomScaleNormal="120" zoomScalePageLayoutView="0" workbookViewId="0" topLeftCell="A1">
      <selection activeCell="A2" sqref="A2:O2"/>
    </sheetView>
  </sheetViews>
  <sheetFormatPr defaultColWidth="9.00390625" defaultRowHeight="12.75"/>
  <cols>
    <col min="2" max="2" width="30.875" style="0" customWidth="1"/>
    <col min="15" max="15" width="12.125" style="0" customWidth="1"/>
  </cols>
  <sheetData>
    <row r="1" spans="1:15" ht="15.75">
      <c r="A1" s="695"/>
      <c r="B1" s="696"/>
      <c r="C1" s="696"/>
      <c r="D1" s="696"/>
      <c r="E1" s="696"/>
      <c r="F1" s="696"/>
      <c r="G1" s="696"/>
      <c r="H1" s="696"/>
      <c r="I1" s="696"/>
      <c r="J1" s="696"/>
      <c r="K1" s="696"/>
      <c r="L1" s="696"/>
      <c r="M1" s="696"/>
      <c r="N1" s="696"/>
      <c r="O1" s="479" t="s">
        <v>782</v>
      </c>
    </row>
    <row r="2" spans="1:15" ht="28.5" customHeight="1">
      <c r="A2" s="791" t="s">
        <v>783</v>
      </c>
      <c r="B2" s="791"/>
      <c r="C2" s="791"/>
      <c r="D2" s="791"/>
      <c r="E2" s="791"/>
      <c r="F2" s="791"/>
      <c r="G2" s="791"/>
      <c r="H2" s="791"/>
      <c r="I2" s="791"/>
      <c r="J2" s="791"/>
      <c r="K2" s="791"/>
      <c r="L2" s="791"/>
      <c r="M2" s="791"/>
      <c r="N2" s="791"/>
      <c r="O2" s="791"/>
    </row>
    <row r="3" spans="1:15" ht="15.75">
      <c r="A3" s="697"/>
      <c r="B3" s="698"/>
      <c r="C3" s="698"/>
      <c r="D3" s="698"/>
      <c r="E3" s="698"/>
      <c r="F3" s="698"/>
      <c r="G3" s="698"/>
      <c r="H3" s="698"/>
      <c r="I3" s="698"/>
      <c r="J3" s="698"/>
      <c r="K3" s="698"/>
      <c r="L3" s="698"/>
      <c r="M3" s="698"/>
      <c r="N3" s="698"/>
      <c r="O3" s="699" t="s">
        <v>111</v>
      </c>
    </row>
    <row r="4" spans="1:15" ht="24">
      <c r="A4" s="700" t="s">
        <v>469</v>
      </c>
      <c r="B4" s="701" t="s">
        <v>384</v>
      </c>
      <c r="C4" s="701" t="s">
        <v>677</v>
      </c>
      <c r="D4" s="701" t="s">
        <v>678</v>
      </c>
      <c r="E4" s="701" t="s">
        <v>679</v>
      </c>
      <c r="F4" s="701" t="s">
        <v>680</v>
      </c>
      <c r="G4" s="701" t="s">
        <v>681</v>
      </c>
      <c r="H4" s="701" t="s">
        <v>682</v>
      </c>
      <c r="I4" s="701" t="s">
        <v>683</v>
      </c>
      <c r="J4" s="701" t="s">
        <v>684</v>
      </c>
      <c r="K4" s="701" t="s">
        <v>685</v>
      </c>
      <c r="L4" s="701" t="s">
        <v>686</v>
      </c>
      <c r="M4" s="701" t="s">
        <v>687</v>
      </c>
      <c r="N4" s="701" t="s">
        <v>688</v>
      </c>
      <c r="O4" s="702" t="s">
        <v>529</v>
      </c>
    </row>
    <row r="5" spans="1:15" ht="13.5" customHeight="1">
      <c r="A5" s="703"/>
      <c r="B5" s="792" t="s">
        <v>382</v>
      </c>
      <c r="C5" s="792"/>
      <c r="D5" s="792"/>
      <c r="E5" s="792"/>
      <c r="F5" s="792"/>
      <c r="G5" s="792"/>
      <c r="H5" s="792"/>
      <c r="I5" s="792"/>
      <c r="J5" s="792"/>
      <c r="K5" s="792"/>
      <c r="L5" s="792"/>
      <c r="M5" s="792"/>
      <c r="N5" s="792"/>
      <c r="O5" s="792"/>
    </row>
    <row r="6" spans="1:15" ht="18.75" customHeight="1">
      <c r="A6" s="704" t="s">
        <v>116</v>
      </c>
      <c r="B6" s="705" t="s">
        <v>784</v>
      </c>
      <c r="C6" s="706">
        <v>330084138</v>
      </c>
      <c r="D6" s="707">
        <f aca="true" t="shared" si="0" ref="D6:N6">+C28</f>
        <v>306943496</v>
      </c>
      <c r="E6" s="707">
        <f t="shared" si="0"/>
        <v>300025884</v>
      </c>
      <c r="F6" s="707">
        <f t="shared" si="0"/>
        <v>303131564</v>
      </c>
      <c r="G6" s="707">
        <f t="shared" si="0"/>
        <v>263669092</v>
      </c>
      <c r="H6" s="707">
        <f t="shared" si="0"/>
        <v>208368478</v>
      </c>
      <c r="I6" s="707">
        <f t="shared" si="0"/>
        <v>157567867</v>
      </c>
      <c r="J6" s="707">
        <f t="shared" si="0"/>
        <v>126632256</v>
      </c>
      <c r="K6" s="707">
        <f t="shared" si="0"/>
        <v>98044315</v>
      </c>
      <c r="L6" s="707">
        <f t="shared" si="0"/>
        <v>102267204</v>
      </c>
      <c r="M6" s="707">
        <f t="shared" si="0"/>
        <v>96466595</v>
      </c>
      <c r="N6" s="707">
        <f t="shared" si="0"/>
        <v>86715985</v>
      </c>
      <c r="O6" s="708" t="s">
        <v>785</v>
      </c>
    </row>
    <row r="7" spans="1:15" ht="26.25" customHeight="1">
      <c r="A7" s="709" t="s">
        <v>130</v>
      </c>
      <c r="B7" s="710" t="s">
        <v>387</v>
      </c>
      <c r="C7" s="711">
        <v>34495627</v>
      </c>
      <c r="D7" s="711">
        <v>34495627</v>
      </c>
      <c r="E7" s="711">
        <v>34495627</v>
      </c>
      <c r="F7" s="711">
        <v>34495627</v>
      </c>
      <c r="G7" s="711">
        <v>34495627</v>
      </c>
      <c r="H7" s="711">
        <v>34495627</v>
      </c>
      <c r="I7" s="711">
        <v>34495626</v>
      </c>
      <c r="J7" s="711">
        <v>34495626</v>
      </c>
      <c r="K7" s="711">
        <v>34495626</v>
      </c>
      <c r="L7" s="711">
        <v>34495626</v>
      </c>
      <c r="M7" s="711">
        <v>34495626</v>
      </c>
      <c r="N7" s="711">
        <v>34495626</v>
      </c>
      <c r="O7" s="712">
        <f aca="true" t="shared" si="1" ref="O7:O15">SUM(C7:N7)</f>
        <v>413947518</v>
      </c>
    </row>
    <row r="8" spans="1:15" ht="21.75" customHeight="1">
      <c r="A8" s="709" t="s">
        <v>144</v>
      </c>
      <c r="B8" s="710" t="s">
        <v>689</v>
      </c>
      <c r="C8" s="711">
        <v>1898490</v>
      </c>
      <c r="D8" s="711">
        <v>1898490</v>
      </c>
      <c r="E8" s="711">
        <v>1898490</v>
      </c>
      <c r="F8" s="711">
        <v>1898490</v>
      </c>
      <c r="G8" s="711">
        <v>1898490</v>
      </c>
      <c r="H8" s="711">
        <v>1898491</v>
      </c>
      <c r="I8" s="711">
        <v>1898491</v>
      </c>
      <c r="J8" s="711">
        <v>1898491</v>
      </c>
      <c r="K8" s="711">
        <v>1898491</v>
      </c>
      <c r="L8" s="711">
        <v>1898491</v>
      </c>
      <c r="M8" s="711">
        <v>1898491</v>
      </c>
      <c r="N8" s="711">
        <v>1898491</v>
      </c>
      <c r="O8" s="712">
        <f t="shared" si="1"/>
        <v>22781887</v>
      </c>
    </row>
    <row r="9" spans="1:15" ht="21.75" customHeight="1">
      <c r="A9" s="709" t="s">
        <v>341</v>
      </c>
      <c r="B9" s="713" t="s">
        <v>690</v>
      </c>
      <c r="C9" s="714"/>
      <c r="D9" s="714"/>
      <c r="E9" s="714"/>
      <c r="F9" s="714"/>
      <c r="G9" s="714"/>
      <c r="H9" s="714"/>
      <c r="I9" s="714"/>
      <c r="J9" s="714"/>
      <c r="K9" s="714"/>
      <c r="L9" s="714"/>
      <c r="M9" s="714"/>
      <c r="N9" s="714"/>
      <c r="O9" s="712">
        <f t="shared" si="1"/>
        <v>0</v>
      </c>
    </row>
    <row r="10" spans="1:15" ht="12.75">
      <c r="A10" s="709" t="s">
        <v>174</v>
      </c>
      <c r="B10" s="715" t="s">
        <v>392</v>
      </c>
      <c r="C10" s="711">
        <v>3000000</v>
      </c>
      <c r="D10" s="711">
        <v>4000000</v>
      </c>
      <c r="E10" s="711">
        <v>19000000</v>
      </c>
      <c r="F10" s="711">
        <v>5000000</v>
      </c>
      <c r="G10" s="711">
        <v>1000000</v>
      </c>
      <c r="H10" s="711">
        <v>1000000</v>
      </c>
      <c r="I10" s="711">
        <v>1000000</v>
      </c>
      <c r="J10" s="711">
        <v>1000000</v>
      </c>
      <c r="K10" s="711">
        <v>18000000</v>
      </c>
      <c r="L10" s="711">
        <v>5000000</v>
      </c>
      <c r="M10" s="711">
        <v>1000000</v>
      </c>
      <c r="N10" s="711">
        <v>1000000</v>
      </c>
      <c r="O10" s="712">
        <f t="shared" si="1"/>
        <v>60000000</v>
      </c>
    </row>
    <row r="11" spans="1:15" ht="12.75">
      <c r="A11" s="709" t="s">
        <v>198</v>
      </c>
      <c r="B11" s="715" t="s">
        <v>393</v>
      </c>
      <c r="C11" s="711">
        <v>8373007</v>
      </c>
      <c r="D11" s="711">
        <v>8373007</v>
      </c>
      <c r="E11" s="711">
        <v>8373007</v>
      </c>
      <c r="F11" s="711">
        <v>8373007</v>
      </c>
      <c r="G11" s="711">
        <v>8373007</v>
      </c>
      <c r="H11" s="711">
        <v>8373007</v>
      </c>
      <c r="I11" s="711">
        <v>8373007</v>
      </c>
      <c r="J11" s="711">
        <v>8373007</v>
      </c>
      <c r="K11" s="711">
        <v>8373007</v>
      </c>
      <c r="L11" s="711">
        <v>8373007</v>
      </c>
      <c r="M11" s="711">
        <v>8373008</v>
      </c>
      <c r="N11" s="711">
        <v>8373008</v>
      </c>
      <c r="O11" s="712">
        <f t="shared" si="1"/>
        <v>100476086</v>
      </c>
    </row>
    <row r="12" spans="1:15" ht="12.75">
      <c r="A12" s="709" t="s">
        <v>358</v>
      </c>
      <c r="B12" s="715" t="s">
        <v>440</v>
      </c>
      <c r="C12" s="711"/>
      <c r="D12" s="711"/>
      <c r="E12" s="711">
        <v>13000000</v>
      </c>
      <c r="F12" s="711"/>
      <c r="G12" s="711"/>
      <c r="H12" s="711"/>
      <c r="I12" s="711"/>
      <c r="J12" s="711"/>
      <c r="K12" s="711"/>
      <c r="L12" s="711"/>
      <c r="M12" s="711"/>
      <c r="N12" s="711"/>
      <c r="O12" s="712">
        <f t="shared" si="1"/>
        <v>13000000</v>
      </c>
    </row>
    <row r="13" spans="1:15" ht="12.75">
      <c r="A13" s="709" t="s">
        <v>220</v>
      </c>
      <c r="B13" s="715" t="s">
        <v>394</v>
      </c>
      <c r="C13" s="711"/>
      <c r="D13" s="711"/>
      <c r="E13" s="711"/>
      <c r="F13" s="711"/>
      <c r="G13" s="711"/>
      <c r="H13" s="711"/>
      <c r="I13" s="711"/>
      <c r="J13" s="711"/>
      <c r="K13" s="711"/>
      <c r="L13" s="711"/>
      <c r="M13" s="711"/>
      <c r="N13" s="711"/>
      <c r="O13" s="712">
        <f t="shared" si="1"/>
        <v>0</v>
      </c>
    </row>
    <row r="14" spans="1:15" ht="18" customHeight="1">
      <c r="A14" s="709" t="s">
        <v>367</v>
      </c>
      <c r="B14" s="710" t="s">
        <v>591</v>
      </c>
      <c r="C14" s="711"/>
      <c r="D14" s="711"/>
      <c r="E14" s="711">
        <v>8856290</v>
      </c>
      <c r="F14" s="711"/>
      <c r="G14" s="711"/>
      <c r="H14" s="711"/>
      <c r="I14" s="711"/>
      <c r="J14" s="711"/>
      <c r="K14" s="711"/>
      <c r="L14" s="711"/>
      <c r="M14" s="711"/>
      <c r="N14" s="711"/>
      <c r="O14" s="712">
        <f t="shared" si="1"/>
        <v>8856290</v>
      </c>
    </row>
    <row r="15" spans="1:15" ht="12.75">
      <c r="A15" s="709" t="s">
        <v>369</v>
      </c>
      <c r="B15" s="715" t="s">
        <v>691</v>
      </c>
      <c r="C15" s="711"/>
      <c r="D15" s="711"/>
      <c r="E15" s="711"/>
      <c r="F15" s="711"/>
      <c r="G15" s="711"/>
      <c r="H15" s="711"/>
      <c r="I15" s="711"/>
      <c r="J15" s="711"/>
      <c r="K15" s="711"/>
      <c r="L15" s="711"/>
      <c r="M15" s="711"/>
      <c r="N15" s="711"/>
      <c r="O15" s="712">
        <f t="shared" si="1"/>
        <v>0</v>
      </c>
    </row>
    <row r="16" spans="1:15" ht="12.75">
      <c r="A16" s="703" t="s">
        <v>371</v>
      </c>
      <c r="B16" s="716" t="s">
        <v>692</v>
      </c>
      <c r="C16" s="717">
        <f aca="true" t="shared" si="2" ref="C16:N16">SUM(C6:C15)</f>
        <v>377851262</v>
      </c>
      <c r="D16" s="717">
        <f t="shared" si="2"/>
        <v>355710620</v>
      </c>
      <c r="E16" s="717">
        <f t="shared" si="2"/>
        <v>385649298</v>
      </c>
      <c r="F16" s="717">
        <f t="shared" si="2"/>
        <v>352898688</v>
      </c>
      <c r="G16" s="717">
        <f t="shared" si="2"/>
        <v>309436216</v>
      </c>
      <c r="H16" s="717">
        <f t="shared" si="2"/>
        <v>254135603</v>
      </c>
      <c r="I16" s="717">
        <f t="shared" si="2"/>
        <v>203334991</v>
      </c>
      <c r="J16" s="717">
        <f t="shared" si="2"/>
        <v>172399380</v>
      </c>
      <c r="K16" s="717">
        <f t="shared" si="2"/>
        <v>160811439</v>
      </c>
      <c r="L16" s="717">
        <f t="shared" si="2"/>
        <v>152034328</v>
      </c>
      <c r="M16" s="717">
        <f t="shared" si="2"/>
        <v>142233720</v>
      </c>
      <c r="N16" s="717">
        <f t="shared" si="2"/>
        <v>132483110</v>
      </c>
      <c r="O16" s="718">
        <f>C6+O7+O8+O9+O10+O11+O12+O13+O14+O15</f>
        <v>949145919</v>
      </c>
    </row>
    <row r="17" spans="1:15" ht="12.75">
      <c r="A17" s="703"/>
      <c r="B17" s="792" t="s">
        <v>383</v>
      </c>
      <c r="C17" s="792"/>
      <c r="D17" s="792"/>
      <c r="E17" s="792"/>
      <c r="F17" s="792"/>
      <c r="G17" s="792"/>
      <c r="H17" s="792"/>
      <c r="I17" s="792"/>
      <c r="J17" s="792"/>
      <c r="K17" s="792"/>
      <c r="L17" s="792"/>
      <c r="M17" s="792"/>
      <c r="N17" s="792"/>
      <c r="O17" s="792"/>
    </row>
    <row r="18" spans="1:15" ht="12.75">
      <c r="A18" s="719" t="s">
        <v>396</v>
      </c>
      <c r="B18" s="720" t="s">
        <v>388</v>
      </c>
      <c r="C18" s="623">
        <v>26405693</v>
      </c>
      <c r="D18" s="623">
        <v>26405693</v>
      </c>
      <c r="E18" s="623">
        <v>26405693</v>
      </c>
      <c r="F18" s="623">
        <v>26405693</v>
      </c>
      <c r="G18" s="623">
        <v>26405693</v>
      </c>
      <c r="H18" s="623">
        <v>26405694</v>
      </c>
      <c r="I18" s="623">
        <v>26405693</v>
      </c>
      <c r="J18" s="623">
        <v>26405693</v>
      </c>
      <c r="K18" s="623">
        <v>26405693</v>
      </c>
      <c r="L18" s="623">
        <v>26405693</v>
      </c>
      <c r="M18" s="623">
        <v>26405694</v>
      </c>
      <c r="N18" s="623">
        <v>26405694</v>
      </c>
      <c r="O18" s="721">
        <f aca="true" t="shared" si="3" ref="O18:O27">SUM(C18:N18)</f>
        <v>316868319</v>
      </c>
    </row>
    <row r="19" spans="1:15" ht="24" customHeight="1">
      <c r="A19" s="709" t="s">
        <v>397</v>
      </c>
      <c r="B19" s="710" t="s">
        <v>287</v>
      </c>
      <c r="C19" s="619">
        <v>4845212</v>
      </c>
      <c r="D19" s="619">
        <v>4845210</v>
      </c>
      <c r="E19" s="619">
        <v>4845210</v>
      </c>
      <c r="F19" s="619">
        <v>4845210</v>
      </c>
      <c r="G19" s="619">
        <v>4845213</v>
      </c>
      <c r="H19" s="619">
        <v>4845210</v>
      </c>
      <c r="I19" s="619">
        <v>4845210</v>
      </c>
      <c r="J19" s="619">
        <v>4845208</v>
      </c>
      <c r="K19" s="619">
        <v>4845210</v>
      </c>
      <c r="L19" s="619">
        <v>4845210</v>
      </c>
      <c r="M19" s="619">
        <v>4845208</v>
      </c>
      <c r="N19" s="619">
        <v>4845207</v>
      </c>
      <c r="O19" s="712">
        <f t="shared" si="3"/>
        <v>58142518</v>
      </c>
    </row>
    <row r="20" spans="1:15" ht="12.75">
      <c r="A20" s="709" t="s">
        <v>400</v>
      </c>
      <c r="B20" s="715" t="s">
        <v>786</v>
      </c>
      <c r="C20" s="619">
        <v>19450456</v>
      </c>
      <c r="D20" s="619">
        <v>19450457</v>
      </c>
      <c r="E20" s="619">
        <v>19450457</v>
      </c>
      <c r="F20" s="619">
        <v>19450457</v>
      </c>
      <c r="G20" s="619">
        <v>19450457</v>
      </c>
      <c r="H20" s="619">
        <v>19450457</v>
      </c>
      <c r="I20" s="619">
        <v>19450457</v>
      </c>
      <c r="J20" s="619">
        <v>19450457</v>
      </c>
      <c r="K20" s="619">
        <v>19450457</v>
      </c>
      <c r="L20" s="619">
        <v>19450457</v>
      </c>
      <c r="M20" s="619">
        <v>19450457</v>
      </c>
      <c r="N20" s="619">
        <v>19450457</v>
      </c>
      <c r="O20" s="712">
        <f t="shared" si="3"/>
        <v>233405483</v>
      </c>
    </row>
    <row r="21" spans="1:15" ht="12.75">
      <c r="A21" s="709" t="s">
        <v>403</v>
      </c>
      <c r="B21" s="715" t="s">
        <v>787</v>
      </c>
      <c r="C21" s="619">
        <v>2219166</v>
      </c>
      <c r="D21" s="619">
        <v>2219167</v>
      </c>
      <c r="E21" s="619">
        <v>2219166</v>
      </c>
      <c r="F21" s="619">
        <v>2219166</v>
      </c>
      <c r="G21" s="619">
        <v>2219167</v>
      </c>
      <c r="H21" s="619">
        <v>2219167</v>
      </c>
      <c r="I21" s="619">
        <v>2219167</v>
      </c>
      <c r="J21" s="619">
        <v>2219167</v>
      </c>
      <c r="K21" s="619">
        <v>2219167</v>
      </c>
      <c r="L21" s="619">
        <v>2219166</v>
      </c>
      <c r="M21" s="619">
        <v>2219167</v>
      </c>
      <c r="N21" s="619">
        <v>2219167</v>
      </c>
      <c r="O21" s="712">
        <f t="shared" si="3"/>
        <v>26630000</v>
      </c>
    </row>
    <row r="22" spans="1:15" ht="12.75">
      <c r="A22" s="709" t="s">
        <v>406</v>
      </c>
      <c r="B22" s="715" t="s">
        <v>291</v>
      </c>
      <c r="C22" s="619">
        <v>2597208</v>
      </c>
      <c r="D22" s="619">
        <v>2597209</v>
      </c>
      <c r="E22" s="619">
        <v>2597208</v>
      </c>
      <c r="F22" s="619">
        <v>2597208</v>
      </c>
      <c r="G22" s="619">
        <v>2597208</v>
      </c>
      <c r="H22" s="619">
        <v>2597208</v>
      </c>
      <c r="I22" s="619">
        <v>2597208</v>
      </c>
      <c r="J22" s="619">
        <v>2597208</v>
      </c>
      <c r="K22" s="619">
        <v>2597208</v>
      </c>
      <c r="L22" s="619">
        <v>2597207</v>
      </c>
      <c r="M22" s="619">
        <v>2597209</v>
      </c>
      <c r="N22" s="619">
        <v>2597209</v>
      </c>
      <c r="O22" s="712">
        <f t="shared" si="3"/>
        <v>31166498</v>
      </c>
    </row>
    <row r="23" spans="1:15" ht="12.75">
      <c r="A23" s="709" t="s">
        <v>409</v>
      </c>
      <c r="B23" s="715" t="s">
        <v>322</v>
      </c>
      <c r="C23" s="711"/>
      <c r="D23" s="711">
        <v>167000</v>
      </c>
      <c r="E23" s="711">
        <v>7000000</v>
      </c>
      <c r="F23" s="711">
        <v>10211862</v>
      </c>
      <c r="G23" s="711">
        <v>5000000</v>
      </c>
      <c r="H23" s="711">
        <v>5000000</v>
      </c>
      <c r="I23" s="711">
        <v>635000</v>
      </c>
      <c r="J23" s="711"/>
      <c r="K23" s="711"/>
      <c r="L23" s="711"/>
      <c r="M23" s="711"/>
      <c r="N23" s="711"/>
      <c r="O23" s="712">
        <f t="shared" si="3"/>
        <v>28013862</v>
      </c>
    </row>
    <row r="24" spans="1:15" ht="15.75" customHeight="1">
      <c r="A24" s="709" t="s">
        <v>412</v>
      </c>
      <c r="B24" s="710" t="s">
        <v>324</v>
      </c>
      <c r="C24" s="711"/>
      <c r="D24" s="711"/>
      <c r="E24" s="711">
        <v>20000000</v>
      </c>
      <c r="F24" s="711">
        <v>20000000</v>
      </c>
      <c r="G24" s="711">
        <v>40000000</v>
      </c>
      <c r="H24" s="711">
        <v>35000000</v>
      </c>
      <c r="I24" s="711">
        <v>20000000</v>
      </c>
      <c r="J24" s="711">
        <v>18287332</v>
      </c>
      <c r="K24" s="711">
        <v>2476500</v>
      </c>
      <c r="L24" s="711"/>
      <c r="M24" s="711"/>
      <c r="N24" s="711"/>
      <c r="O24" s="712">
        <f t="shared" si="3"/>
        <v>155763832</v>
      </c>
    </row>
    <row r="25" spans="1:15" ht="12.75">
      <c r="A25" s="709" t="s">
        <v>415</v>
      </c>
      <c r="B25" s="715" t="s">
        <v>444</v>
      </c>
      <c r="C25" s="711"/>
      <c r="D25" s="711"/>
      <c r="E25" s="711"/>
      <c r="F25" s="711">
        <v>3500000</v>
      </c>
      <c r="G25" s="711">
        <v>550000</v>
      </c>
      <c r="H25" s="711">
        <v>1050000</v>
      </c>
      <c r="I25" s="711">
        <v>550000</v>
      </c>
      <c r="J25" s="711">
        <v>550000</v>
      </c>
      <c r="K25" s="711">
        <v>550000</v>
      </c>
      <c r="L25" s="711">
        <v>50000</v>
      </c>
      <c r="M25" s="711"/>
      <c r="N25" s="711"/>
      <c r="O25" s="712">
        <f t="shared" si="3"/>
        <v>6800000</v>
      </c>
    </row>
    <row r="26" spans="1:15" ht="12.75">
      <c r="A26" s="709" t="s">
        <v>418</v>
      </c>
      <c r="B26" s="715" t="s">
        <v>604</v>
      </c>
      <c r="C26" s="711">
        <v>15390031</v>
      </c>
      <c r="D26" s="711"/>
      <c r="E26" s="711"/>
      <c r="F26" s="711"/>
      <c r="G26" s="711"/>
      <c r="H26" s="711"/>
      <c r="I26" s="711"/>
      <c r="J26" s="711"/>
      <c r="K26" s="711"/>
      <c r="L26" s="711"/>
      <c r="M26" s="711"/>
      <c r="N26" s="711"/>
      <c r="O26" s="712">
        <f t="shared" si="3"/>
        <v>15390031</v>
      </c>
    </row>
    <row r="27" spans="1:15" ht="12.75">
      <c r="A27" s="722" t="s">
        <v>420</v>
      </c>
      <c r="B27" s="716" t="s">
        <v>694</v>
      </c>
      <c r="C27" s="717">
        <f aca="true" t="shared" si="4" ref="C27:N27">SUM(C18:C26)</f>
        <v>70907766</v>
      </c>
      <c r="D27" s="717">
        <f t="shared" si="4"/>
        <v>55684736</v>
      </c>
      <c r="E27" s="717">
        <f t="shared" si="4"/>
        <v>82517734</v>
      </c>
      <c r="F27" s="717">
        <f t="shared" si="4"/>
        <v>89229596</v>
      </c>
      <c r="G27" s="717">
        <f t="shared" si="4"/>
        <v>101067738</v>
      </c>
      <c r="H27" s="717">
        <f t="shared" si="4"/>
        <v>96567736</v>
      </c>
      <c r="I27" s="717">
        <f t="shared" si="4"/>
        <v>76702735</v>
      </c>
      <c r="J27" s="717">
        <f t="shared" si="4"/>
        <v>74355065</v>
      </c>
      <c r="K27" s="717">
        <f t="shared" si="4"/>
        <v>58544235</v>
      </c>
      <c r="L27" s="717">
        <f t="shared" si="4"/>
        <v>55567733</v>
      </c>
      <c r="M27" s="717">
        <f t="shared" si="4"/>
        <v>55517735</v>
      </c>
      <c r="N27" s="717">
        <f t="shared" si="4"/>
        <v>55517734</v>
      </c>
      <c r="O27" s="723">
        <f t="shared" si="3"/>
        <v>872180543</v>
      </c>
    </row>
    <row r="28" spans="1:15" ht="12.75">
      <c r="A28" s="722" t="s">
        <v>422</v>
      </c>
      <c r="B28" s="724" t="s">
        <v>788</v>
      </c>
      <c r="C28" s="725">
        <f aca="true" t="shared" si="5" ref="C28:N28">C16-C27</f>
        <v>306943496</v>
      </c>
      <c r="D28" s="725">
        <f t="shared" si="5"/>
        <v>300025884</v>
      </c>
      <c r="E28" s="725">
        <f t="shared" si="5"/>
        <v>303131564</v>
      </c>
      <c r="F28" s="725">
        <f t="shared" si="5"/>
        <v>263669092</v>
      </c>
      <c r="G28" s="725">
        <f t="shared" si="5"/>
        <v>208368478</v>
      </c>
      <c r="H28" s="725">
        <f t="shared" si="5"/>
        <v>157567867</v>
      </c>
      <c r="I28" s="725">
        <f t="shared" si="5"/>
        <v>126632256</v>
      </c>
      <c r="J28" s="725">
        <f t="shared" si="5"/>
        <v>98044315</v>
      </c>
      <c r="K28" s="725">
        <f t="shared" si="5"/>
        <v>102267204</v>
      </c>
      <c r="L28" s="725">
        <f t="shared" si="5"/>
        <v>96466595</v>
      </c>
      <c r="M28" s="725">
        <f t="shared" si="5"/>
        <v>86715985</v>
      </c>
      <c r="N28" s="725">
        <f t="shared" si="5"/>
        <v>76965376</v>
      </c>
      <c r="O28" s="726" t="s">
        <v>785</v>
      </c>
    </row>
  </sheetData>
  <sheetProtection selectLockedCells="1" selectUnlockedCells="1"/>
  <mergeCells count="3">
    <mergeCell ref="A2:O2"/>
    <mergeCell ref="B5:O5"/>
    <mergeCell ref="B17:O17"/>
  </mergeCells>
  <printOptions horizontalCentered="1"/>
  <pageMargins left="0.2361111111111111" right="0.2361111111111111" top="0.5513888888888889" bottom="0.5513888888888889" header="0.5118055555555555" footer="0.5118055555555555"/>
  <pageSetup horizontalDpi="300" verticalDpi="300" orientation="landscape" paperSize="9" scale="95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I164"/>
  <sheetViews>
    <sheetView zoomScale="120" zoomScaleNormal="120" zoomScaleSheetLayoutView="100" zoomScalePageLayoutView="0" workbookViewId="0" topLeftCell="A1">
      <selection activeCell="E25" sqref="E25"/>
    </sheetView>
  </sheetViews>
  <sheetFormatPr defaultColWidth="9.00390625" defaultRowHeight="12.75"/>
  <cols>
    <col min="1" max="1" width="9.50390625" style="24" customWidth="1"/>
    <col min="2" max="2" width="99.375" style="24" customWidth="1"/>
    <col min="3" max="3" width="21.625" style="25" customWidth="1"/>
    <col min="4" max="4" width="9.00390625" style="26" customWidth="1"/>
    <col min="5" max="16384" width="9.375" style="26" customWidth="1"/>
  </cols>
  <sheetData>
    <row r="1" spans="1:3" ht="18.75" customHeight="1">
      <c r="A1" s="27"/>
      <c r="B1" s="734" t="str">
        <f>CONCATENATE("1.1. melléklet ",ALAPADATOK!A7," ",ALAPADATOK!B7," ",ALAPADATOK!C7," ",ALAPADATOK!D7," ",ALAPADATOK!E7," ",ALAPADATOK!F7," ",ALAPADATOK!G7," ",ALAPADATOK!H7)</f>
        <v>1.1. melléklet a … / 2019 ( … ) önkormányzati rendelethez</v>
      </c>
      <c r="C1" s="734"/>
    </row>
    <row r="2" spans="1:3" ht="21.75" customHeight="1">
      <c r="A2" s="28"/>
      <c r="B2" s="29" t="str">
        <f>CONCATENATE(ALAPADATOK!A3)</f>
        <v>ELEK VÁROS ÖNKORMÁNYZATA</v>
      </c>
      <c r="C2" s="30"/>
    </row>
    <row r="3" spans="1:3" ht="21.75" customHeight="1">
      <c r="A3" s="30"/>
      <c r="B3" s="29" t="s">
        <v>107</v>
      </c>
      <c r="C3" s="30"/>
    </row>
    <row r="4" spans="1:3" ht="21.75" customHeight="1">
      <c r="A4" s="30"/>
      <c r="B4" s="29" t="s">
        <v>108</v>
      </c>
      <c r="C4" s="30"/>
    </row>
    <row r="5" spans="1:3" ht="21.75" customHeight="1">
      <c r="A5" s="27"/>
      <c r="B5" s="27"/>
      <c r="C5" s="31"/>
    </row>
    <row r="6" spans="1:3" ht="15" customHeight="1">
      <c r="A6" s="735" t="s">
        <v>109</v>
      </c>
      <c r="B6" s="735"/>
      <c r="C6" s="735"/>
    </row>
    <row r="7" spans="1:3" ht="15" customHeight="1">
      <c r="A7" s="736" t="s">
        <v>110</v>
      </c>
      <c r="B7" s="736"/>
      <c r="C7" s="33" t="s">
        <v>111</v>
      </c>
    </row>
    <row r="8" spans="1:3" ht="24" customHeight="1">
      <c r="A8" s="34" t="s">
        <v>112</v>
      </c>
      <c r="B8" s="35" t="s">
        <v>113</v>
      </c>
      <c r="C8" s="36" t="str">
        <f>+CONCATENATE(LEFT(KV_ÖSSZEFÜGGÉSEK!A5,4),". évi előirányzat")</f>
        <v>2019. évi előirányzat</v>
      </c>
    </row>
    <row r="9" spans="1:3" s="40" customFormat="1" ht="12" customHeight="1">
      <c r="A9" s="37"/>
      <c r="B9" s="38" t="s">
        <v>114</v>
      </c>
      <c r="C9" s="39" t="s">
        <v>115</v>
      </c>
    </row>
    <row r="10" spans="1:3" s="44" customFormat="1" ht="12" customHeight="1">
      <c r="A10" s="41" t="s">
        <v>116</v>
      </c>
      <c r="B10" s="42" t="s">
        <v>117</v>
      </c>
      <c r="C10" s="43">
        <f>+C11+C12+C13+C14+C15+C16</f>
        <v>413947518</v>
      </c>
    </row>
    <row r="11" spans="1:3" s="44" customFormat="1" ht="12" customHeight="1">
      <c r="A11" s="45" t="s">
        <v>118</v>
      </c>
      <c r="B11" s="46" t="s">
        <v>119</v>
      </c>
      <c r="C11" s="47">
        <v>180621648</v>
      </c>
    </row>
    <row r="12" spans="1:3" s="44" customFormat="1" ht="12" customHeight="1">
      <c r="A12" s="48" t="s">
        <v>120</v>
      </c>
      <c r="B12" s="49" t="s">
        <v>121</v>
      </c>
      <c r="C12" s="50">
        <v>91830668</v>
      </c>
    </row>
    <row r="13" spans="1:3" s="44" customFormat="1" ht="12" customHeight="1">
      <c r="A13" s="48" t="s">
        <v>122</v>
      </c>
      <c r="B13" s="49" t="s">
        <v>123</v>
      </c>
      <c r="C13" s="50">
        <v>135618232</v>
      </c>
    </row>
    <row r="14" spans="1:3" s="44" customFormat="1" ht="12" customHeight="1">
      <c r="A14" s="48" t="s">
        <v>124</v>
      </c>
      <c r="B14" s="49" t="s">
        <v>125</v>
      </c>
      <c r="C14" s="50">
        <v>5876970</v>
      </c>
    </row>
    <row r="15" spans="1:3" s="44" customFormat="1" ht="12" customHeight="1">
      <c r="A15" s="48" t="s">
        <v>126</v>
      </c>
      <c r="B15" s="51" t="s">
        <v>127</v>
      </c>
      <c r="C15" s="50"/>
    </row>
    <row r="16" spans="1:3" s="44" customFormat="1" ht="12" customHeight="1">
      <c r="A16" s="52" t="s">
        <v>128</v>
      </c>
      <c r="B16" s="53" t="s">
        <v>129</v>
      </c>
      <c r="C16" s="50"/>
    </row>
    <row r="17" spans="1:3" s="44" customFormat="1" ht="12" customHeight="1">
      <c r="A17" s="41" t="s">
        <v>130</v>
      </c>
      <c r="B17" s="54" t="s">
        <v>131</v>
      </c>
      <c r="C17" s="43">
        <f>+C18+C19+C20+C21+C22</f>
        <v>22781887</v>
      </c>
    </row>
    <row r="18" spans="1:3" s="44" customFormat="1" ht="12" customHeight="1">
      <c r="A18" s="45" t="s">
        <v>132</v>
      </c>
      <c r="B18" s="46" t="s">
        <v>133</v>
      </c>
      <c r="C18" s="47"/>
    </row>
    <row r="19" spans="1:3" s="44" customFormat="1" ht="12" customHeight="1">
      <c r="A19" s="48" t="s">
        <v>134</v>
      </c>
      <c r="B19" s="49" t="s">
        <v>135</v>
      </c>
      <c r="C19" s="50"/>
    </row>
    <row r="20" spans="1:3" s="44" customFormat="1" ht="12" customHeight="1">
      <c r="A20" s="48" t="s">
        <v>136</v>
      </c>
      <c r="B20" s="49" t="s">
        <v>137</v>
      </c>
      <c r="C20" s="50"/>
    </row>
    <row r="21" spans="1:3" s="44" customFormat="1" ht="12" customHeight="1">
      <c r="A21" s="48" t="s">
        <v>138</v>
      </c>
      <c r="B21" s="49" t="s">
        <v>139</v>
      </c>
      <c r="C21" s="50"/>
    </row>
    <row r="22" spans="1:3" s="44" customFormat="1" ht="12" customHeight="1">
      <c r="A22" s="48" t="s">
        <v>140</v>
      </c>
      <c r="B22" s="49" t="s">
        <v>141</v>
      </c>
      <c r="C22" s="50">
        <v>22781887</v>
      </c>
    </row>
    <row r="23" spans="1:3" s="44" customFormat="1" ht="12" customHeight="1">
      <c r="A23" s="52" t="s">
        <v>142</v>
      </c>
      <c r="B23" s="53" t="s">
        <v>143</v>
      </c>
      <c r="C23" s="55">
        <v>3139296</v>
      </c>
    </row>
    <row r="24" spans="1:3" s="44" customFormat="1" ht="12" customHeight="1">
      <c r="A24" s="41" t="s">
        <v>144</v>
      </c>
      <c r="B24" s="42" t="s">
        <v>145</v>
      </c>
      <c r="C24" s="43">
        <f>+C25+C26+C27+C28+C29</f>
        <v>8856290</v>
      </c>
    </row>
    <row r="25" spans="1:3" s="44" customFormat="1" ht="12" customHeight="1">
      <c r="A25" s="45" t="s">
        <v>146</v>
      </c>
      <c r="B25" s="46" t="s">
        <v>147</v>
      </c>
      <c r="C25" s="47">
        <v>8856290</v>
      </c>
    </row>
    <row r="26" spans="1:3" s="44" customFormat="1" ht="12" customHeight="1">
      <c r="A26" s="48" t="s">
        <v>148</v>
      </c>
      <c r="B26" s="49" t="s">
        <v>149</v>
      </c>
      <c r="C26" s="50"/>
    </row>
    <row r="27" spans="1:3" s="44" customFormat="1" ht="12" customHeight="1">
      <c r="A27" s="48" t="s">
        <v>150</v>
      </c>
      <c r="B27" s="49" t="s">
        <v>151</v>
      </c>
      <c r="C27" s="50"/>
    </row>
    <row r="28" spans="1:3" s="44" customFormat="1" ht="12" customHeight="1">
      <c r="A28" s="48" t="s">
        <v>152</v>
      </c>
      <c r="B28" s="49" t="s">
        <v>153</v>
      </c>
      <c r="C28" s="50"/>
    </row>
    <row r="29" spans="1:3" s="44" customFormat="1" ht="12" customHeight="1">
      <c r="A29" s="48" t="s">
        <v>154</v>
      </c>
      <c r="B29" s="49" t="s">
        <v>155</v>
      </c>
      <c r="C29" s="50"/>
    </row>
    <row r="30" spans="1:3" s="59" customFormat="1" ht="12" customHeight="1">
      <c r="A30" s="56" t="s">
        <v>156</v>
      </c>
      <c r="B30" s="57" t="s">
        <v>157</v>
      </c>
      <c r="C30" s="58"/>
    </row>
    <row r="31" spans="1:3" s="44" customFormat="1" ht="12" customHeight="1">
      <c r="A31" s="41" t="s">
        <v>158</v>
      </c>
      <c r="B31" s="42" t="s">
        <v>159</v>
      </c>
      <c r="C31" s="43">
        <f>SUM(C32:C38)</f>
        <v>60000000</v>
      </c>
    </row>
    <row r="32" spans="1:3" s="44" customFormat="1" ht="12" customHeight="1">
      <c r="A32" s="45" t="s">
        <v>160</v>
      </c>
      <c r="B32" s="46" t="s">
        <v>161</v>
      </c>
      <c r="C32" s="47">
        <v>4500000</v>
      </c>
    </row>
    <row r="33" spans="1:3" s="44" customFormat="1" ht="12" customHeight="1">
      <c r="A33" s="48" t="s">
        <v>162</v>
      </c>
      <c r="B33" s="49" t="s">
        <v>163</v>
      </c>
      <c r="C33" s="50"/>
    </row>
    <row r="34" spans="1:3" s="44" customFormat="1" ht="12" customHeight="1">
      <c r="A34" s="48" t="s">
        <v>164</v>
      </c>
      <c r="B34" s="49" t="s">
        <v>165</v>
      </c>
      <c r="C34" s="50">
        <v>48000000</v>
      </c>
    </row>
    <row r="35" spans="1:3" s="44" customFormat="1" ht="12" customHeight="1">
      <c r="A35" s="48" t="s">
        <v>166</v>
      </c>
      <c r="B35" s="49" t="s">
        <v>167</v>
      </c>
      <c r="C35" s="50"/>
    </row>
    <row r="36" spans="1:3" s="44" customFormat="1" ht="12" customHeight="1">
      <c r="A36" s="48" t="s">
        <v>168</v>
      </c>
      <c r="B36" s="49" t="s">
        <v>169</v>
      </c>
      <c r="C36" s="50">
        <v>7500000</v>
      </c>
    </row>
    <row r="37" spans="1:3" s="44" customFormat="1" ht="12" customHeight="1">
      <c r="A37" s="48" t="s">
        <v>170</v>
      </c>
      <c r="B37" s="49" t="s">
        <v>171</v>
      </c>
      <c r="C37" s="50"/>
    </row>
    <row r="38" spans="1:3" s="44" customFormat="1" ht="12" customHeight="1">
      <c r="A38" s="52" t="s">
        <v>172</v>
      </c>
      <c r="B38" s="60" t="s">
        <v>173</v>
      </c>
      <c r="C38" s="61"/>
    </row>
    <row r="39" spans="1:3" s="44" customFormat="1" ht="12" customHeight="1">
      <c r="A39" s="41" t="s">
        <v>174</v>
      </c>
      <c r="B39" s="42" t="s">
        <v>175</v>
      </c>
      <c r="C39" s="43">
        <f>SUM(C40:C50)</f>
        <v>100476086</v>
      </c>
    </row>
    <row r="40" spans="1:3" s="44" customFormat="1" ht="12" customHeight="1">
      <c r="A40" s="45" t="s">
        <v>176</v>
      </c>
      <c r="B40" s="46" t="s">
        <v>177</v>
      </c>
      <c r="C40" s="47">
        <v>15812490</v>
      </c>
    </row>
    <row r="41" spans="1:3" s="44" customFormat="1" ht="12" customHeight="1">
      <c r="A41" s="48" t="s">
        <v>178</v>
      </c>
      <c r="B41" s="49" t="s">
        <v>179</v>
      </c>
      <c r="C41" s="50">
        <v>7196000</v>
      </c>
    </row>
    <row r="42" spans="1:3" s="44" customFormat="1" ht="12" customHeight="1">
      <c r="A42" s="48" t="s">
        <v>180</v>
      </c>
      <c r="B42" s="49" t="s">
        <v>181</v>
      </c>
      <c r="C42" s="50">
        <v>8620000</v>
      </c>
    </row>
    <row r="43" spans="1:3" s="44" customFormat="1" ht="12" customHeight="1">
      <c r="A43" s="48" t="s">
        <v>182</v>
      </c>
      <c r="B43" s="49" t="s">
        <v>183</v>
      </c>
      <c r="C43" s="50">
        <v>14791000</v>
      </c>
    </row>
    <row r="44" spans="1:3" s="44" customFormat="1" ht="12" customHeight="1">
      <c r="A44" s="48" t="s">
        <v>184</v>
      </c>
      <c r="B44" s="49" t="s">
        <v>185</v>
      </c>
      <c r="C44" s="50">
        <v>40313475</v>
      </c>
    </row>
    <row r="45" spans="1:3" s="44" customFormat="1" ht="12" customHeight="1">
      <c r="A45" s="48" t="s">
        <v>186</v>
      </c>
      <c r="B45" s="49" t="s">
        <v>187</v>
      </c>
      <c r="C45" s="50">
        <v>12727121</v>
      </c>
    </row>
    <row r="46" spans="1:3" s="44" customFormat="1" ht="12" customHeight="1">
      <c r="A46" s="48" t="s">
        <v>188</v>
      </c>
      <c r="B46" s="49" t="s">
        <v>189</v>
      </c>
      <c r="C46" s="50"/>
    </row>
    <row r="47" spans="1:3" s="44" customFormat="1" ht="12" customHeight="1">
      <c r="A47" s="48" t="s">
        <v>190</v>
      </c>
      <c r="B47" s="49" t="s">
        <v>191</v>
      </c>
      <c r="C47" s="50"/>
    </row>
    <row r="48" spans="1:3" s="44" customFormat="1" ht="12" customHeight="1">
      <c r="A48" s="48" t="s">
        <v>192</v>
      </c>
      <c r="B48" s="49" t="s">
        <v>193</v>
      </c>
      <c r="C48" s="50"/>
    </row>
    <row r="49" spans="1:3" s="44" customFormat="1" ht="12" customHeight="1">
      <c r="A49" s="52" t="s">
        <v>194</v>
      </c>
      <c r="B49" s="62" t="s">
        <v>195</v>
      </c>
      <c r="C49" s="61"/>
    </row>
    <row r="50" spans="1:3" s="44" customFormat="1" ht="12" customHeight="1">
      <c r="A50" s="52" t="s">
        <v>196</v>
      </c>
      <c r="B50" s="53" t="s">
        <v>197</v>
      </c>
      <c r="C50" s="61">
        <v>1016000</v>
      </c>
    </row>
    <row r="51" spans="1:3" s="44" customFormat="1" ht="12" customHeight="1">
      <c r="A51" s="41" t="s">
        <v>198</v>
      </c>
      <c r="B51" s="42" t="s">
        <v>199</v>
      </c>
      <c r="C51" s="43">
        <f>SUM(C52:C56)</f>
        <v>0</v>
      </c>
    </row>
    <row r="52" spans="1:3" s="44" customFormat="1" ht="12" customHeight="1">
      <c r="A52" s="45" t="s">
        <v>200</v>
      </c>
      <c r="B52" s="46" t="s">
        <v>201</v>
      </c>
      <c r="C52" s="47"/>
    </row>
    <row r="53" spans="1:3" s="44" customFormat="1" ht="12" customHeight="1">
      <c r="A53" s="48" t="s">
        <v>202</v>
      </c>
      <c r="B53" s="49" t="s">
        <v>203</v>
      </c>
      <c r="C53" s="50"/>
    </row>
    <row r="54" spans="1:3" s="44" customFormat="1" ht="12" customHeight="1">
      <c r="A54" s="48" t="s">
        <v>204</v>
      </c>
      <c r="B54" s="49" t="s">
        <v>205</v>
      </c>
      <c r="C54" s="50"/>
    </row>
    <row r="55" spans="1:3" s="44" customFormat="1" ht="12" customHeight="1">
      <c r="A55" s="48" t="s">
        <v>206</v>
      </c>
      <c r="B55" s="49" t="s">
        <v>207</v>
      </c>
      <c r="C55" s="50"/>
    </row>
    <row r="56" spans="1:3" s="44" customFormat="1" ht="12" customHeight="1">
      <c r="A56" s="52" t="s">
        <v>208</v>
      </c>
      <c r="B56" s="53" t="s">
        <v>209</v>
      </c>
      <c r="C56" s="61"/>
    </row>
    <row r="57" spans="1:3" s="44" customFormat="1" ht="12" customHeight="1">
      <c r="A57" s="41" t="s">
        <v>210</v>
      </c>
      <c r="B57" s="42" t="s">
        <v>211</v>
      </c>
      <c r="C57" s="43">
        <f>SUM(C58:C60)</f>
        <v>0</v>
      </c>
    </row>
    <row r="58" spans="1:3" s="44" customFormat="1" ht="12" customHeight="1">
      <c r="A58" s="45" t="s">
        <v>212</v>
      </c>
      <c r="B58" s="46" t="s">
        <v>213</v>
      </c>
      <c r="C58" s="47"/>
    </row>
    <row r="59" spans="1:3" s="44" customFormat="1" ht="12" customHeight="1">
      <c r="A59" s="48" t="s">
        <v>214</v>
      </c>
      <c r="B59" s="49" t="s">
        <v>215</v>
      </c>
      <c r="C59" s="50"/>
    </row>
    <row r="60" spans="1:3" s="44" customFormat="1" ht="12" customHeight="1">
      <c r="A60" s="48" t="s">
        <v>216</v>
      </c>
      <c r="B60" s="49" t="s">
        <v>217</v>
      </c>
      <c r="C60" s="50"/>
    </row>
    <row r="61" spans="1:3" s="44" customFormat="1" ht="12" customHeight="1">
      <c r="A61" s="52" t="s">
        <v>218</v>
      </c>
      <c r="B61" s="53" t="s">
        <v>219</v>
      </c>
      <c r="C61" s="61"/>
    </row>
    <row r="62" spans="1:3" s="44" customFormat="1" ht="12" customHeight="1">
      <c r="A62" s="41" t="s">
        <v>220</v>
      </c>
      <c r="B62" s="54" t="s">
        <v>221</v>
      </c>
      <c r="C62" s="43">
        <f>SUM(C63:C65)</f>
        <v>13000000</v>
      </c>
    </row>
    <row r="63" spans="1:3" s="44" customFormat="1" ht="12" customHeight="1">
      <c r="A63" s="45" t="s">
        <v>222</v>
      </c>
      <c r="B63" s="46" t="s">
        <v>223</v>
      </c>
      <c r="C63" s="50"/>
    </row>
    <row r="64" spans="1:3" s="44" customFormat="1" ht="12" customHeight="1">
      <c r="A64" s="48" t="s">
        <v>224</v>
      </c>
      <c r="B64" s="49" t="s">
        <v>225</v>
      </c>
      <c r="C64" s="50"/>
    </row>
    <row r="65" spans="1:3" s="44" customFormat="1" ht="12" customHeight="1">
      <c r="A65" s="48" t="s">
        <v>226</v>
      </c>
      <c r="B65" s="49" t="s">
        <v>227</v>
      </c>
      <c r="C65" s="50">
        <v>13000000</v>
      </c>
    </row>
    <row r="66" spans="1:3" s="44" customFormat="1" ht="12" customHeight="1">
      <c r="A66" s="52" t="s">
        <v>228</v>
      </c>
      <c r="B66" s="53" t="s">
        <v>229</v>
      </c>
      <c r="C66" s="50"/>
    </row>
    <row r="67" spans="1:3" s="44" customFormat="1" ht="12" customHeight="1">
      <c r="A67" s="63" t="s">
        <v>230</v>
      </c>
      <c r="B67" s="42" t="s">
        <v>231</v>
      </c>
      <c r="C67" s="43">
        <f>+C10+C17+C24+C31+C39+C51+C57+C62</f>
        <v>619061781</v>
      </c>
    </row>
    <row r="68" spans="1:3" s="44" customFormat="1" ht="12" customHeight="1">
      <c r="A68" s="64" t="s">
        <v>232</v>
      </c>
      <c r="B68" s="54" t="s">
        <v>233</v>
      </c>
      <c r="C68" s="43">
        <f>SUM(C69:C71)</f>
        <v>0</v>
      </c>
    </row>
    <row r="69" spans="1:3" s="44" customFormat="1" ht="12" customHeight="1">
      <c r="A69" s="45" t="s">
        <v>234</v>
      </c>
      <c r="B69" s="46" t="s">
        <v>235</v>
      </c>
      <c r="C69" s="50"/>
    </row>
    <row r="70" spans="1:3" s="44" customFormat="1" ht="12" customHeight="1">
      <c r="A70" s="48" t="s">
        <v>236</v>
      </c>
      <c r="B70" s="49" t="s">
        <v>237</v>
      </c>
      <c r="C70" s="50"/>
    </row>
    <row r="71" spans="1:3" s="44" customFormat="1" ht="12" customHeight="1">
      <c r="A71" s="52" t="s">
        <v>238</v>
      </c>
      <c r="B71" s="65" t="s">
        <v>239</v>
      </c>
      <c r="C71" s="50"/>
    </row>
    <row r="72" spans="1:3" s="44" customFormat="1" ht="12" customHeight="1">
      <c r="A72" s="64" t="s">
        <v>240</v>
      </c>
      <c r="B72" s="54" t="s">
        <v>241</v>
      </c>
      <c r="C72" s="43">
        <f>SUM(C73:C76)</f>
        <v>0</v>
      </c>
    </row>
    <row r="73" spans="1:3" s="44" customFormat="1" ht="12" customHeight="1">
      <c r="A73" s="45" t="s">
        <v>242</v>
      </c>
      <c r="B73" s="46" t="s">
        <v>243</v>
      </c>
      <c r="C73" s="50"/>
    </row>
    <row r="74" spans="1:3" s="44" customFormat="1" ht="12" customHeight="1">
      <c r="A74" s="48" t="s">
        <v>244</v>
      </c>
      <c r="B74" s="49" t="s">
        <v>245</v>
      </c>
      <c r="C74" s="50"/>
    </row>
    <row r="75" spans="1:3" s="44" customFormat="1" ht="12" customHeight="1">
      <c r="A75" s="52" t="s">
        <v>246</v>
      </c>
      <c r="B75" s="62" t="s">
        <v>247</v>
      </c>
      <c r="C75" s="61"/>
    </row>
    <row r="76" spans="1:3" s="44" customFormat="1" ht="12" customHeight="1">
      <c r="A76" s="66" t="s">
        <v>248</v>
      </c>
      <c r="B76" s="67" t="s">
        <v>249</v>
      </c>
      <c r="C76" s="68"/>
    </row>
    <row r="77" spans="1:3" s="44" customFormat="1" ht="12" customHeight="1">
      <c r="A77" s="64" t="s">
        <v>250</v>
      </c>
      <c r="B77" s="54" t="s">
        <v>251</v>
      </c>
      <c r="C77" s="43">
        <f>SUM(C78:C79)</f>
        <v>253118762</v>
      </c>
    </row>
    <row r="78" spans="1:3" s="44" customFormat="1" ht="12" customHeight="1">
      <c r="A78" s="69" t="s">
        <v>252</v>
      </c>
      <c r="B78" s="70" t="s">
        <v>253</v>
      </c>
      <c r="C78" s="61">
        <v>253118762</v>
      </c>
    </row>
    <row r="79" spans="1:3" s="44" customFormat="1" ht="12" customHeight="1">
      <c r="A79" s="66" t="s">
        <v>254</v>
      </c>
      <c r="B79" s="67" t="s">
        <v>255</v>
      </c>
      <c r="C79" s="68"/>
    </row>
    <row r="80" spans="1:3" s="44" customFormat="1" ht="12" customHeight="1">
      <c r="A80" s="64" t="s">
        <v>256</v>
      </c>
      <c r="B80" s="54" t="s">
        <v>257</v>
      </c>
      <c r="C80" s="43">
        <f>SUM(C81:C83)</f>
        <v>0</v>
      </c>
    </row>
    <row r="81" spans="1:3" s="44" customFormat="1" ht="12" customHeight="1">
      <c r="A81" s="45" t="s">
        <v>258</v>
      </c>
      <c r="B81" s="46" t="s">
        <v>259</v>
      </c>
      <c r="C81" s="50"/>
    </row>
    <row r="82" spans="1:3" s="44" customFormat="1" ht="12" customHeight="1">
      <c r="A82" s="48" t="s">
        <v>260</v>
      </c>
      <c r="B82" s="49" t="s">
        <v>261</v>
      </c>
      <c r="C82" s="50"/>
    </row>
    <row r="83" spans="1:3" s="44" customFormat="1" ht="12" customHeight="1">
      <c r="A83" s="71" t="s">
        <v>262</v>
      </c>
      <c r="B83" s="72" t="s">
        <v>263</v>
      </c>
      <c r="C83" s="73"/>
    </row>
    <row r="84" spans="1:3" s="44" customFormat="1" ht="12" customHeight="1">
      <c r="A84" s="64" t="s">
        <v>264</v>
      </c>
      <c r="B84" s="54" t="s">
        <v>265</v>
      </c>
      <c r="C84" s="43">
        <f>SUM(C85:C88)</f>
        <v>0</v>
      </c>
    </row>
    <row r="85" spans="1:3" s="44" customFormat="1" ht="12" customHeight="1">
      <c r="A85" s="74" t="s">
        <v>266</v>
      </c>
      <c r="B85" s="46" t="s">
        <v>267</v>
      </c>
      <c r="C85" s="50"/>
    </row>
    <row r="86" spans="1:3" s="44" customFormat="1" ht="12" customHeight="1">
      <c r="A86" s="75" t="s">
        <v>268</v>
      </c>
      <c r="B86" s="49" t="s">
        <v>269</v>
      </c>
      <c r="C86" s="50"/>
    </row>
    <row r="87" spans="1:3" s="44" customFormat="1" ht="12" customHeight="1">
      <c r="A87" s="75" t="s">
        <v>270</v>
      </c>
      <c r="B87" s="49" t="s">
        <v>271</v>
      </c>
      <c r="C87" s="50"/>
    </row>
    <row r="88" spans="1:3" s="44" customFormat="1" ht="12" customHeight="1">
      <c r="A88" s="76" t="s">
        <v>272</v>
      </c>
      <c r="B88" s="53" t="s">
        <v>273</v>
      </c>
      <c r="C88" s="50"/>
    </row>
    <row r="89" spans="1:3" s="44" customFormat="1" ht="12" customHeight="1">
      <c r="A89" s="64" t="s">
        <v>274</v>
      </c>
      <c r="B89" s="54" t="s">
        <v>275</v>
      </c>
      <c r="C89" s="77"/>
    </row>
    <row r="90" spans="1:3" s="44" customFormat="1" ht="13.5" customHeight="1">
      <c r="A90" s="64" t="s">
        <v>276</v>
      </c>
      <c r="B90" s="54" t="s">
        <v>277</v>
      </c>
      <c r="C90" s="77"/>
    </row>
    <row r="91" spans="1:3" s="44" customFormat="1" ht="15.75" customHeight="1">
      <c r="A91" s="64" t="s">
        <v>278</v>
      </c>
      <c r="B91" s="78" t="s">
        <v>279</v>
      </c>
      <c r="C91" s="43">
        <f>+C68+C72+C77+C80+C84+C90+C89</f>
        <v>253118762</v>
      </c>
    </row>
    <row r="92" spans="1:3" s="44" customFormat="1" ht="16.5" customHeight="1">
      <c r="A92" s="79" t="s">
        <v>280</v>
      </c>
      <c r="B92" s="80" t="s">
        <v>281</v>
      </c>
      <c r="C92" s="43">
        <f>+C67+C91</f>
        <v>872180543</v>
      </c>
    </row>
    <row r="93" spans="1:3" s="44" customFormat="1" ht="10.5" customHeight="1">
      <c r="A93" s="81"/>
      <c r="B93" s="82"/>
      <c r="C93" s="83"/>
    </row>
    <row r="94" spans="1:3" ht="16.5" customHeight="1">
      <c r="A94" s="737" t="s">
        <v>282</v>
      </c>
      <c r="B94" s="737"/>
      <c r="C94" s="737"/>
    </row>
    <row r="95" spans="1:3" s="85" customFormat="1" ht="16.5" customHeight="1">
      <c r="A95" s="738" t="s">
        <v>283</v>
      </c>
      <c r="B95" s="738"/>
      <c r="C95" s="84" t="str">
        <f>C7</f>
        <v>Forintban!</v>
      </c>
    </row>
    <row r="96" spans="1:3" ht="37.5" customHeight="1">
      <c r="A96" s="86" t="s">
        <v>112</v>
      </c>
      <c r="B96" s="87" t="s">
        <v>284</v>
      </c>
      <c r="C96" s="88" t="str">
        <f>+C8</f>
        <v>2019. évi előirányzat</v>
      </c>
    </row>
    <row r="97" spans="1:3" s="40" customFormat="1" ht="12" customHeight="1">
      <c r="A97" s="86"/>
      <c r="B97" s="87" t="s">
        <v>114</v>
      </c>
      <c r="C97" s="88" t="s">
        <v>115</v>
      </c>
    </row>
    <row r="98" spans="1:3" ht="12" customHeight="1">
      <c r="A98" s="89" t="s">
        <v>116</v>
      </c>
      <c r="B98" s="90" t="s">
        <v>285</v>
      </c>
      <c r="C98" s="91">
        <f>C99+C100+C101+C102+C103+C116</f>
        <v>666212818</v>
      </c>
    </row>
    <row r="99" spans="1:3" ht="12" customHeight="1">
      <c r="A99" s="92" t="s">
        <v>118</v>
      </c>
      <c r="B99" s="93" t="s">
        <v>286</v>
      </c>
      <c r="C99" s="94">
        <v>316868319</v>
      </c>
    </row>
    <row r="100" spans="1:3" ht="12" customHeight="1">
      <c r="A100" s="48" t="s">
        <v>120</v>
      </c>
      <c r="B100" s="95" t="s">
        <v>287</v>
      </c>
      <c r="C100" s="50">
        <v>58142518</v>
      </c>
    </row>
    <row r="101" spans="1:3" ht="12" customHeight="1">
      <c r="A101" s="48" t="s">
        <v>122</v>
      </c>
      <c r="B101" s="95" t="s">
        <v>288</v>
      </c>
      <c r="C101" s="61">
        <v>233405483</v>
      </c>
    </row>
    <row r="102" spans="1:3" ht="12" customHeight="1">
      <c r="A102" s="48" t="s">
        <v>124</v>
      </c>
      <c r="B102" s="96" t="s">
        <v>289</v>
      </c>
      <c r="C102" s="61">
        <v>26630000</v>
      </c>
    </row>
    <row r="103" spans="1:3" ht="12" customHeight="1">
      <c r="A103" s="48" t="s">
        <v>290</v>
      </c>
      <c r="B103" s="97" t="s">
        <v>291</v>
      </c>
      <c r="C103" s="61">
        <v>11166498</v>
      </c>
    </row>
    <row r="104" spans="1:3" ht="12" customHeight="1">
      <c r="A104" s="48" t="s">
        <v>128</v>
      </c>
      <c r="B104" s="95" t="s">
        <v>292</v>
      </c>
      <c r="C104" s="61">
        <v>5000000</v>
      </c>
    </row>
    <row r="105" spans="1:3" ht="12" customHeight="1">
      <c r="A105" s="48" t="s">
        <v>293</v>
      </c>
      <c r="B105" s="98" t="s">
        <v>294</v>
      </c>
      <c r="C105" s="61"/>
    </row>
    <row r="106" spans="1:3" ht="12" customHeight="1">
      <c r="A106" s="48" t="s">
        <v>295</v>
      </c>
      <c r="B106" s="98" t="s">
        <v>296</v>
      </c>
      <c r="C106" s="61"/>
    </row>
    <row r="107" spans="1:3" ht="12" customHeight="1">
      <c r="A107" s="48" t="s">
        <v>297</v>
      </c>
      <c r="B107" s="99" t="s">
        <v>298</v>
      </c>
      <c r="C107" s="61"/>
    </row>
    <row r="108" spans="1:3" ht="12" customHeight="1">
      <c r="A108" s="48" t="s">
        <v>299</v>
      </c>
      <c r="B108" s="100" t="s">
        <v>300</v>
      </c>
      <c r="C108" s="61"/>
    </row>
    <row r="109" spans="1:3" ht="12" customHeight="1">
      <c r="A109" s="48" t="s">
        <v>301</v>
      </c>
      <c r="B109" s="100" t="s">
        <v>302</v>
      </c>
      <c r="C109" s="61"/>
    </row>
    <row r="110" spans="1:3" ht="12" customHeight="1">
      <c r="A110" s="48" t="s">
        <v>303</v>
      </c>
      <c r="B110" s="99" t="s">
        <v>304</v>
      </c>
      <c r="C110" s="61">
        <v>3170838</v>
      </c>
    </row>
    <row r="111" spans="1:3" ht="12" customHeight="1">
      <c r="A111" s="48" t="s">
        <v>305</v>
      </c>
      <c r="B111" s="99" t="s">
        <v>306</v>
      </c>
      <c r="C111" s="61"/>
    </row>
    <row r="112" spans="1:3" ht="12" customHeight="1">
      <c r="A112" s="48" t="s">
        <v>307</v>
      </c>
      <c r="B112" s="100" t="s">
        <v>308</v>
      </c>
      <c r="C112" s="61"/>
    </row>
    <row r="113" spans="1:3" ht="12" customHeight="1">
      <c r="A113" s="69" t="s">
        <v>309</v>
      </c>
      <c r="B113" s="98" t="s">
        <v>310</v>
      </c>
      <c r="C113" s="61"/>
    </row>
    <row r="114" spans="1:3" ht="12" customHeight="1">
      <c r="A114" s="48" t="s">
        <v>311</v>
      </c>
      <c r="B114" s="98" t="s">
        <v>312</v>
      </c>
      <c r="C114" s="61"/>
    </row>
    <row r="115" spans="1:3" ht="12" customHeight="1">
      <c r="A115" s="52" t="s">
        <v>313</v>
      </c>
      <c r="B115" s="98" t="s">
        <v>314</v>
      </c>
      <c r="C115" s="61">
        <v>2995660</v>
      </c>
    </row>
    <row r="116" spans="1:3" ht="12" customHeight="1">
      <c r="A116" s="48" t="s">
        <v>315</v>
      </c>
      <c r="B116" s="96" t="s">
        <v>316</v>
      </c>
      <c r="C116" s="50">
        <f>SUM(C117:C118)</f>
        <v>20000000</v>
      </c>
    </row>
    <row r="117" spans="1:3" ht="12" customHeight="1">
      <c r="A117" s="48" t="s">
        <v>317</v>
      </c>
      <c r="B117" s="95" t="s">
        <v>318</v>
      </c>
      <c r="C117" s="50">
        <v>17647000</v>
      </c>
    </row>
    <row r="118" spans="1:3" ht="12" customHeight="1">
      <c r="A118" s="71" t="s">
        <v>319</v>
      </c>
      <c r="B118" s="101" t="s">
        <v>320</v>
      </c>
      <c r="C118" s="73">
        <v>2353000</v>
      </c>
    </row>
    <row r="119" spans="1:3" ht="12" customHeight="1">
      <c r="A119" s="102" t="s">
        <v>130</v>
      </c>
      <c r="B119" s="103" t="s">
        <v>321</v>
      </c>
      <c r="C119" s="104">
        <f>+C120+C122+C124</f>
        <v>190577694</v>
      </c>
    </row>
    <row r="120" spans="1:3" ht="12" customHeight="1">
      <c r="A120" s="45" t="s">
        <v>132</v>
      </c>
      <c r="B120" s="95" t="s">
        <v>322</v>
      </c>
      <c r="C120" s="47">
        <v>28013862</v>
      </c>
    </row>
    <row r="121" spans="1:3" ht="12" customHeight="1">
      <c r="A121" s="45" t="s">
        <v>134</v>
      </c>
      <c r="B121" s="105" t="s">
        <v>323</v>
      </c>
      <c r="C121" s="106">
        <v>0</v>
      </c>
    </row>
    <row r="122" spans="1:3" ht="12" customHeight="1">
      <c r="A122" s="45" t="s">
        <v>136</v>
      </c>
      <c r="B122" s="105" t="s">
        <v>324</v>
      </c>
      <c r="C122" s="50">
        <v>155763832</v>
      </c>
    </row>
    <row r="123" spans="1:3" ht="12" customHeight="1">
      <c r="A123" s="45" t="s">
        <v>138</v>
      </c>
      <c r="B123" s="105" t="s">
        <v>325</v>
      </c>
      <c r="C123" s="107">
        <v>120091212</v>
      </c>
    </row>
    <row r="124" spans="1:3" ht="12" customHeight="1">
      <c r="A124" s="45" t="s">
        <v>140</v>
      </c>
      <c r="B124" s="53" t="s">
        <v>326</v>
      </c>
      <c r="C124" s="108">
        <v>6800000</v>
      </c>
    </row>
    <row r="125" spans="1:3" ht="12" customHeight="1">
      <c r="A125" s="45" t="s">
        <v>142</v>
      </c>
      <c r="B125" s="51" t="s">
        <v>327</v>
      </c>
      <c r="C125" s="108"/>
    </row>
    <row r="126" spans="1:3" ht="12" customHeight="1">
      <c r="A126" s="45" t="s">
        <v>328</v>
      </c>
      <c r="B126" s="109" t="s">
        <v>329</v>
      </c>
      <c r="C126" s="108"/>
    </row>
    <row r="127" spans="1:3" ht="15.75">
      <c r="A127" s="45" t="s">
        <v>330</v>
      </c>
      <c r="B127" s="100" t="s">
        <v>302</v>
      </c>
      <c r="C127" s="108"/>
    </row>
    <row r="128" spans="1:3" ht="12" customHeight="1">
      <c r="A128" s="45" t="s">
        <v>331</v>
      </c>
      <c r="B128" s="100" t="s">
        <v>332</v>
      </c>
      <c r="C128" s="108"/>
    </row>
    <row r="129" spans="1:3" ht="12" customHeight="1">
      <c r="A129" s="45" t="s">
        <v>333</v>
      </c>
      <c r="B129" s="100" t="s">
        <v>334</v>
      </c>
      <c r="C129" s="108"/>
    </row>
    <row r="130" spans="1:3" ht="12" customHeight="1">
      <c r="A130" s="45" t="s">
        <v>335</v>
      </c>
      <c r="B130" s="100" t="s">
        <v>308</v>
      </c>
      <c r="C130" s="108"/>
    </row>
    <row r="131" spans="1:3" ht="12" customHeight="1">
      <c r="A131" s="45" t="s">
        <v>336</v>
      </c>
      <c r="B131" s="100" t="s">
        <v>337</v>
      </c>
      <c r="C131" s="108">
        <v>3000000</v>
      </c>
    </row>
    <row r="132" spans="1:3" ht="15.75">
      <c r="A132" s="69" t="s">
        <v>338</v>
      </c>
      <c r="B132" s="100" t="s">
        <v>339</v>
      </c>
      <c r="C132" s="110">
        <v>3800000</v>
      </c>
    </row>
    <row r="133" spans="1:3" ht="12" customHeight="1">
      <c r="A133" s="41" t="s">
        <v>144</v>
      </c>
      <c r="B133" s="42" t="s">
        <v>340</v>
      </c>
      <c r="C133" s="43">
        <f>+C98+C119</f>
        <v>856790512</v>
      </c>
    </row>
    <row r="134" spans="1:3" ht="12" customHeight="1">
      <c r="A134" s="41" t="s">
        <v>341</v>
      </c>
      <c r="B134" s="42" t="s">
        <v>342</v>
      </c>
      <c r="C134" s="43">
        <f>+C135+C136+C137</f>
        <v>0</v>
      </c>
    </row>
    <row r="135" spans="1:3" ht="12" customHeight="1">
      <c r="A135" s="45" t="s">
        <v>160</v>
      </c>
      <c r="B135" s="105" t="s">
        <v>343</v>
      </c>
      <c r="C135" s="108"/>
    </row>
    <row r="136" spans="1:3" ht="12" customHeight="1">
      <c r="A136" s="45" t="s">
        <v>162</v>
      </c>
      <c r="B136" s="105" t="s">
        <v>344</v>
      </c>
      <c r="C136" s="108"/>
    </row>
    <row r="137" spans="1:3" ht="12" customHeight="1">
      <c r="A137" s="69" t="s">
        <v>164</v>
      </c>
      <c r="B137" s="105" t="s">
        <v>345</v>
      </c>
      <c r="C137" s="108"/>
    </row>
    <row r="138" spans="1:3" ht="12" customHeight="1">
      <c r="A138" s="41" t="s">
        <v>174</v>
      </c>
      <c r="B138" s="42" t="s">
        <v>346</v>
      </c>
      <c r="C138" s="43">
        <f>SUM(C139:C144)</f>
        <v>0</v>
      </c>
    </row>
    <row r="139" spans="1:3" ht="12" customHeight="1">
      <c r="A139" s="45" t="s">
        <v>176</v>
      </c>
      <c r="B139" s="111" t="s">
        <v>347</v>
      </c>
      <c r="C139" s="108"/>
    </row>
    <row r="140" spans="1:3" ht="12" customHeight="1">
      <c r="A140" s="45" t="s">
        <v>178</v>
      </c>
      <c r="B140" s="111" t="s">
        <v>348</v>
      </c>
      <c r="C140" s="108"/>
    </row>
    <row r="141" spans="1:3" ht="12" customHeight="1">
      <c r="A141" s="45" t="s">
        <v>180</v>
      </c>
      <c r="B141" s="111" t="s">
        <v>349</v>
      </c>
      <c r="C141" s="108"/>
    </row>
    <row r="142" spans="1:3" ht="12" customHeight="1">
      <c r="A142" s="45" t="s">
        <v>182</v>
      </c>
      <c r="B142" s="111" t="s">
        <v>350</v>
      </c>
      <c r="C142" s="108"/>
    </row>
    <row r="143" spans="1:3" ht="12" customHeight="1">
      <c r="A143" s="69" t="s">
        <v>184</v>
      </c>
      <c r="B143" s="112" t="s">
        <v>351</v>
      </c>
      <c r="C143" s="110"/>
    </row>
    <row r="144" spans="1:3" ht="12" customHeight="1">
      <c r="A144" s="66" t="s">
        <v>186</v>
      </c>
      <c r="B144" s="113" t="s">
        <v>352</v>
      </c>
      <c r="C144" s="114"/>
    </row>
    <row r="145" spans="1:3" ht="12" customHeight="1">
      <c r="A145" s="41" t="s">
        <v>198</v>
      </c>
      <c r="B145" s="42" t="s">
        <v>353</v>
      </c>
      <c r="C145" s="43">
        <f>+C146+C147+C148+C149</f>
        <v>15390031</v>
      </c>
    </row>
    <row r="146" spans="1:3" ht="12" customHeight="1">
      <c r="A146" s="45" t="s">
        <v>200</v>
      </c>
      <c r="B146" s="111" t="s">
        <v>354</v>
      </c>
      <c r="C146" s="108"/>
    </row>
    <row r="147" spans="1:3" ht="12" customHeight="1">
      <c r="A147" s="45" t="s">
        <v>202</v>
      </c>
      <c r="B147" s="111" t="s">
        <v>355</v>
      </c>
      <c r="C147" s="108">
        <v>15390031</v>
      </c>
    </row>
    <row r="148" spans="1:3" ht="12" customHeight="1">
      <c r="A148" s="69" t="s">
        <v>204</v>
      </c>
      <c r="B148" s="112" t="s">
        <v>356</v>
      </c>
      <c r="C148" s="110"/>
    </row>
    <row r="149" spans="1:3" ht="12" customHeight="1">
      <c r="A149" s="66" t="s">
        <v>206</v>
      </c>
      <c r="B149" s="113" t="s">
        <v>357</v>
      </c>
      <c r="C149" s="114"/>
    </row>
    <row r="150" spans="1:3" ht="12" customHeight="1">
      <c r="A150" s="41" t="s">
        <v>358</v>
      </c>
      <c r="B150" s="42" t="s">
        <v>359</v>
      </c>
      <c r="C150" s="115">
        <f>SUM(C151:C155)</f>
        <v>0</v>
      </c>
    </row>
    <row r="151" spans="1:3" ht="12" customHeight="1">
      <c r="A151" s="45" t="s">
        <v>212</v>
      </c>
      <c r="B151" s="111" t="s">
        <v>360</v>
      </c>
      <c r="C151" s="108"/>
    </row>
    <row r="152" spans="1:3" ht="12" customHeight="1">
      <c r="A152" s="45" t="s">
        <v>214</v>
      </c>
      <c r="B152" s="111" t="s">
        <v>361</v>
      </c>
      <c r="C152" s="108"/>
    </row>
    <row r="153" spans="1:3" ht="12" customHeight="1">
      <c r="A153" s="45" t="s">
        <v>216</v>
      </c>
      <c r="B153" s="111" t="s">
        <v>362</v>
      </c>
      <c r="C153" s="108"/>
    </row>
    <row r="154" spans="1:3" ht="12" customHeight="1">
      <c r="A154" s="45" t="s">
        <v>218</v>
      </c>
      <c r="B154" s="111" t="s">
        <v>363</v>
      </c>
      <c r="C154" s="108"/>
    </row>
    <row r="155" spans="1:3" ht="12" customHeight="1">
      <c r="A155" s="45" t="s">
        <v>364</v>
      </c>
      <c r="B155" s="111" t="s">
        <v>365</v>
      </c>
      <c r="C155" s="108"/>
    </row>
    <row r="156" spans="1:3" ht="12" customHeight="1">
      <c r="A156" s="41" t="s">
        <v>220</v>
      </c>
      <c r="B156" s="42" t="s">
        <v>366</v>
      </c>
      <c r="C156" s="116"/>
    </row>
    <row r="157" spans="1:3" ht="12" customHeight="1">
      <c r="A157" s="41" t="s">
        <v>367</v>
      </c>
      <c r="B157" s="42" t="s">
        <v>368</v>
      </c>
      <c r="C157" s="116"/>
    </row>
    <row r="158" spans="1:9" ht="15" customHeight="1">
      <c r="A158" s="41" t="s">
        <v>369</v>
      </c>
      <c r="B158" s="42" t="s">
        <v>370</v>
      </c>
      <c r="C158" s="115">
        <f>+C134+C138+C145+C150+C156+C157</f>
        <v>15390031</v>
      </c>
      <c r="F158" s="117"/>
      <c r="G158" s="118"/>
      <c r="H158" s="118"/>
      <c r="I158" s="118"/>
    </row>
    <row r="159" spans="1:3" s="44" customFormat="1" ht="17.25" customHeight="1">
      <c r="A159" s="119" t="s">
        <v>371</v>
      </c>
      <c r="B159" s="120" t="s">
        <v>372</v>
      </c>
      <c r="C159" s="115">
        <f>+C133+C158</f>
        <v>872180543</v>
      </c>
    </row>
    <row r="160" spans="1:3" ht="15.75" customHeight="1">
      <c r="A160" s="121"/>
      <c r="B160" s="121"/>
      <c r="C160" s="122">
        <f>C92-C159</f>
        <v>0</v>
      </c>
    </row>
    <row r="161" spans="1:3" ht="15.75">
      <c r="A161" s="739" t="s">
        <v>373</v>
      </c>
      <c r="B161" s="739"/>
      <c r="C161" s="739"/>
    </row>
    <row r="162" spans="1:3" ht="15" customHeight="1">
      <c r="A162" s="733" t="s">
        <v>374</v>
      </c>
      <c r="B162" s="733"/>
      <c r="C162" s="124" t="str">
        <f>C95</f>
        <v>Forintban!</v>
      </c>
    </row>
    <row r="163" spans="1:4" ht="13.5" customHeight="1">
      <c r="A163" s="41">
        <v>1</v>
      </c>
      <c r="B163" s="125" t="s">
        <v>375</v>
      </c>
      <c r="C163" s="43">
        <f>+C67-C133</f>
        <v>-237728731</v>
      </c>
      <c r="D163" s="126"/>
    </row>
    <row r="164" spans="1:3" ht="27.75" customHeight="1">
      <c r="A164" s="41" t="s">
        <v>130</v>
      </c>
      <c r="B164" s="125" t="s">
        <v>376</v>
      </c>
      <c r="C164" s="43">
        <f>+C91-C158</f>
        <v>237728731</v>
      </c>
    </row>
  </sheetData>
  <sheetProtection selectLockedCells="1" selectUnlockedCells="1"/>
  <mergeCells count="7">
    <mergeCell ref="A162:B162"/>
    <mergeCell ref="B1:C1"/>
    <mergeCell ref="A6:C6"/>
    <mergeCell ref="A7:B7"/>
    <mergeCell ref="A94:C94"/>
    <mergeCell ref="A95:B95"/>
    <mergeCell ref="A161:C161"/>
  </mergeCells>
  <printOptions horizontalCentered="1"/>
  <pageMargins left="0.25" right="0.25" top="0.75" bottom="0.75" header="0.5118055555555555" footer="0.5118055555555555"/>
  <pageSetup horizontalDpi="300" verticalDpi="300" orientation="portrait" paperSize="9" scale="74"/>
  <rowBreaks count="2" manualBreakCount="2">
    <brk id="67" max="255" man="1"/>
    <brk id="14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I164"/>
  <sheetViews>
    <sheetView zoomScale="120" zoomScaleNormal="120" zoomScaleSheetLayoutView="100" zoomScalePageLayoutView="0" workbookViewId="0" topLeftCell="A13">
      <selection activeCell="C30" sqref="C30"/>
    </sheetView>
  </sheetViews>
  <sheetFormatPr defaultColWidth="9.00390625" defaultRowHeight="12.75"/>
  <cols>
    <col min="1" max="1" width="9.50390625" style="24" customWidth="1"/>
    <col min="2" max="2" width="99.375" style="24" customWidth="1"/>
    <col min="3" max="3" width="21.625" style="25" customWidth="1"/>
    <col min="4" max="4" width="9.00390625" style="26" customWidth="1"/>
    <col min="5" max="16384" width="9.375" style="26" customWidth="1"/>
  </cols>
  <sheetData>
    <row r="1" spans="1:3" ht="18.75" customHeight="1">
      <c r="A1" s="27"/>
      <c r="B1" s="734" t="str">
        <f>CONCATENATE("1.2. melléklet ",ALAPADATOK!A7," ",ALAPADATOK!B7," ",ALAPADATOK!C7," ",ALAPADATOK!D7," ",ALAPADATOK!E7," ",ALAPADATOK!F7," ",ALAPADATOK!G7," ",ALAPADATOK!H7)</f>
        <v>1.2. melléklet a … / 2019 ( … ) önkormányzati rendelethez</v>
      </c>
      <c r="C1" s="734"/>
    </row>
    <row r="2" spans="1:3" ht="21.75" customHeight="1">
      <c r="A2" s="28"/>
      <c r="B2" s="29" t="str">
        <f>CONCATENATE(ALAPADATOK!A3)</f>
        <v>ELEK VÁROS ÖNKORMÁNYZATA</v>
      </c>
      <c r="C2" s="30"/>
    </row>
    <row r="3" spans="1:3" ht="21.75" customHeight="1">
      <c r="A3" s="30"/>
      <c r="B3" s="29" t="s">
        <v>107</v>
      </c>
      <c r="C3" s="30"/>
    </row>
    <row r="4" spans="1:3" ht="21.75" customHeight="1">
      <c r="A4" s="30"/>
      <c r="B4" s="29" t="s">
        <v>377</v>
      </c>
      <c r="C4" s="30"/>
    </row>
    <row r="5" spans="1:3" ht="21.75" customHeight="1">
      <c r="A5" s="27"/>
      <c r="B5" s="27"/>
      <c r="C5" s="31"/>
    </row>
    <row r="6" spans="1:3" ht="15" customHeight="1">
      <c r="A6" s="735" t="s">
        <v>109</v>
      </c>
      <c r="B6" s="735"/>
      <c r="C6" s="735"/>
    </row>
    <row r="7" spans="1:3" ht="15" customHeight="1">
      <c r="A7" s="736" t="s">
        <v>110</v>
      </c>
      <c r="B7" s="736"/>
      <c r="C7" s="33" t="str">
        <f>CONCATENATE('KV_1.1.sz.mell.'!C7)</f>
        <v>Forintban!</v>
      </c>
    </row>
    <row r="8" spans="1:3" ht="24" customHeight="1">
      <c r="A8" s="34" t="s">
        <v>112</v>
      </c>
      <c r="B8" s="35" t="s">
        <v>113</v>
      </c>
      <c r="C8" s="36" t="str">
        <f>+CONCATENATE(LEFT(KV_ÖSSZEFÜGGÉSEK!A5,4),". évi előirányzat")</f>
        <v>2019. évi előirányzat</v>
      </c>
    </row>
    <row r="9" spans="1:3" s="40" customFormat="1" ht="12" customHeight="1">
      <c r="A9" s="37"/>
      <c r="B9" s="38" t="s">
        <v>114</v>
      </c>
      <c r="C9" s="39" t="s">
        <v>115</v>
      </c>
    </row>
    <row r="10" spans="1:3" s="44" customFormat="1" ht="12" customHeight="1">
      <c r="A10" s="41" t="s">
        <v>116</v>
      </c>
      <c r="B10" s="42" t="s">
        <v>117</v>
      </c>
      <c r="C10" s="43">
        <f>+C11+C12+C13+C14+C15+C16</f>
        <v>413947518</v>
      </c>
    </row>
    <row r="11" spans="1:3" s="44" customFormat="1" ht="12" customHeight="1">
      <c r="A11" s="45" t="s">
        <v>118</v>
      </c>
      <c r="B11" s="46" t="s">
        <v>119</v>
      </c>
      <c r="C11" s="47">
        <v>180621648</v>
      </c>
    </row>
    <row r="12" spans="1:3" s="44" customFormat="1" ht="12" customHeight="1">
      <c r="A12" s="48" t="s">
        <v>120</v>
      </c>
      <c r="B12" s="49" t="s">
        <v>121</v>
      </c>
      <c r="C12" s="50">
        <v>91830668</v>
      </c>
    </row>
    <row r="13" spans="1:3" s="44" customFormat="1" ht="12" customHeight="1">
      <c r="A13" s="48" t="s">
        <v>122</v>
      </c>
      <c r="B13" s="49" t="s">
        <v>123</v>
      </c>
      <c r="C13" s="50">
        <v>135618232</v>
      </c>
    </row>
    <row r="14" spans="1:3" s="44" customFormat="1" ht="12" customHeight="1">
      <c r="A14" s="48" t="s">
        <v>124</v>
      </c>
      <c r="B14" s="49" t="s">
        <v>125</v>
      </c>
      <c r="C14" s="50">
        <v>5876970</v>
      </c>
    </row>
    <row r="15" spans="1:3" s="44" customFormat="1" ht="12" customHeight="1">
      <c r="A15" s="48" t="s">
        <v>126</v>
      </c>
      <c r="B15" s="51" t="s">
        <v>127</v>
      </c>
      <c r="C15" s="50"/>
    </row>
    <row r="16" spans="1:3" s="44" customFormat="1" ht="12" customHeight="1">
      <c r="A16" s="52" t="s">
        <v>128</v>
      </c>
      <c r="B16" s="53" t="s">
        <v>129</v>
      </c>
      <c r="C16" s="50"/>
    </row>
    <row r="17" spans="1:3" s="44" customFormat="1" ht="12" customHeight="1">
      <c r="A17" s="41" t="s">
        <v>130</v>
      </c>
      <c r="B17" s="54" t="s">
        <v>131</v>
      </c>
      <c r="C17" s="43">
        <f>+C18+C19+C20+C21+C22</f>
        <v>19042591</v>
      </c>
    </row>
    <row r="18" spans="1:3" s="44" customFormat="1" ht="12" customHeight="1">
      <c r="A18" s="45" t="s">
        <v>132</v>
      </c>
      <c r="B18" s="46" t="s">
        <v>133</v>
      </c>
      <c r="C18" s="47"/>
    </row>
    <row r="19" spans="1:3" s="44" customFormat="1" ht="12" customHeight="1">
      <c r="A19" s="48" t="s">
        <v>134</v>
      </c>
      <c r="B19" s="49" t="s">
        <v>135</v>
      </c>
      <c r="C19" s="50"/>
    </row>
    <row r="20" spans="1:3" s="44" customFormat="1" ht="12" customHeight="1">
      <c r="A20" s="48" t="s">
        <v>136</v>
      </c>
      <c r="B20" s="49" t="s">
        <v>137</v>
      </c>
      <c r="C20" s="50"/>
    </row>
    <row r="21" spans="1:3" s="44" customFormat="1" ht="12" customHeight="1">
      <c r="A21" s="48" t="s">
        <v>138</v>
      </c>
      <c r="B21" s="49" t="s">
        <v>139</v>
      </c>
      <c r="C21" s="50"/>
    </row>
    <row r="22" spans="1:3" s="44" customFormat="1" ht="12" customHeight="1">
      <c r="A22" s="48" t="s">
        <v>140</v>
      </c>
      <c r="B22" s="49" t="s">
        <v>141</v>
      </c>
      <c r="C22" s="50">
        <v>19042591</v>
      </c>
    </row>
    <row r="23" spans="1:3" s="44" customFormat="1" ht="12" customHeight="1">
      <c r="A23" s="52" t="s">
        <v>142</v>
      </c>
      <c r="B23" s="53" t="s">
        <v>143</v>
      </c>
      <c r="C23" s="61"/>
    </row>
    <row r="24" spans="1:3" s="44" customFormat="1" ht="12" customHeight="1">
      <c r="A24" s="41" t="s">
        <v>144</v>
      </c>
      <c r="B24" s="42" t="s">
        <v>145</v>
      </c>
      <c r="C24" s="43">
        <f>+C25+C26+C27+C28+C29</f>
        <v>8856290</v>
      </c>
    </row>
    <row r="25" spans="1:3" s="44" customFormat="1" ht="12" customHeight="1">
      <c r="A25" s="45" t="s">
        <v>146</v>
      </c>
      <c r="B25" s="46" t="s">
        <v>147</v>
      </c>
      <c r="C25" s="47">
        <v>8856290</v>
      </c>
    </row>
    <row r="26" spans="1:3" s="44" customFormat="1" ht="12" customHeight="1">
      <c r="A26" s="48" t="s">
        <v>148</v>
      </c>
      <c r="B26" s="49" t="s">
        <v>149</v>
      </c>
      <c r="C26" s="50"/>
    </row>
    <row r="27" spans="1:3" s="44" customFormat="1" ht="12" customHeight="1">
      <c r="A27" s="48" t="s">
        <v>150</v>
      </c>
      <c r="B27" s="49" t="s">
        <v>151</v>
      </c>
      <c r="C27" s="50"/>
    </row>
    <row r="28" spans="1:3" s="44" customFormat="1" ht="12" customHeight="1">
      <c r="A28" s="48" t="s">
        <v>152</v>
      </c>
      <c r="B28" s="49" t="s">
        <v>153</v>
      </c>
      <c r="C28" s="50"/>
    </row>
    <row r="29" spans="1:3" s="44" customFormat="1" ht="12" customHeight="1">
      <c r="A29" s="48" t="s">
        <v>154</v>
      </c>
      <c r="B29" s="49" t="s">
        <v>155</v>
      </c>
      <c r="C29" s="50"/>
    </row>
    <row r="30" spans="1:3" s="59" customFormat="1" ht="12" customHeight="1">
      <c r="A30" s="56" t="s">
        <v>156</v>
      </c>
      <c r="B30" s="57" t="s">
        <v>157</v>
      </c>
      <c r="C30" s="58"/>
    </row>
    <row r="31" spans="1:3" s="44" customFormat="1" ht="12" customHeight="1">
      <c r="A31" s="41" t="s">
        <v>158</v>
      </c>
      <c r="B31" s="42" t="s">
        <v>159</v>
      </c>
      <c r="C31" s="43">
        <f>SUM(C32:C38)</f>
        <v>60000000</v>
      </c>
    </row>
    <row r="32" spans="1:3" s="44" customFormat="1" ht="12" customHeight="1">
      <c r="A32" s="45" t="s">
        <v>160</v>
      </c>
      <c r="B32" s="46" t="s">
        <v>161</v>
      </c>
      <c r="C32" s="47">
        <v>4500000</v>
      </c>
    </row>
    <row r="33" spans="1:3" s="44" customFormat="1" ht="12" customHeight="1">
      <c r="A33" s="48" t="s">
        <v>162</v>
      </c>
      <c r="B33" s="49" t="s">
        <v>163</v>
      </c>
      <c r="C33" s="50"/>
    </row>
    <row r="34" spans="1:3" s="44" customFormat="1" ht="12" customHeight="1">
      <c r="A34" s="48" t="s">
        <v>164</v>
      </c>
      <c r="B34" s="49" t="s">
        <v>165</v>
      </c>
      <c r="C34" s="50">
        <v>48000000</v>
      </c>
    </row>
    <row r="35" spans="1:3" s="44" customFormat="1" ht="12" customHeight="1">
      <c r="A35" s="48" t="s">
        <v>166</v>
      </c>
      <c r="B35" s="49" t="s">
        <v>167</v>
      </c>
      <c r="C35" s="50"/>
    </row>
    <row r="36" spans="1:3" s="44" customFormat="1" ht="12" customHeight="1">
      <c r="A36" s="48" t="s">
        <v>168</v>
      </c>
      <c r="B36" s="49" t="s">
        <v>169</v>
      </c>
      <c r="C36" s="50">
        <v>7500000</v>
      </c>
    </row>
    <row r="37" spans="1:3" s="44" customFormat="1" ht="12" customHeight="1">
      <c r="A37" s="48" t="s">
        <v>170</v>
      </c>
      <c r="B37" s="49" t="s">
        <v>171</v>
      </c>
      <c r="C37" s="50"/>
    </row>
    <row r="38" spans="1:3" s="44" customFormat="1" ht="12" customHeight="1">
      <c r="A38" s="52" t="s">
        <v>172</v>
      </c>
      <c r="B38" s="60" t="s">
        <v>173</v>
      </c>
      <c r="C38" s="61"/>
    </row>
    <row r="39" spans="1:3" s="44" customFormat="1" ht="12" customHeight="1">
      <c r="A39" s="41" t="s">
        <v>174</v>
      </c>
      <c r="B39" s="42" t="s">
        <v>175</v>
      </c>
      <c r="C39" s="43">
        <f>SUM(C40:C50)</f>
        <v>82863224</v>
      </c>
    </row>
    <row r="40" spans="1:3" s="44" customFormat="1" ht="12" customHeight="1">
      <c r="A40" s="45" t="s">
        <v>176</v>
      </c>
      <c r="B40" s="46" t="s">
        <v>177</v>
      </c>
      <c r="C40" s="47">
        <v>2000000</v>
      </c>
    </row>
    <row r="41" spans="1:3" s="44" customFormat="1" ht="12" customHeight="1">
      <c r="A41" s="48" t="s">
        <v>178</v>
      </c>
      <c r="B41" s="49" t="s">
        <v>179</v>
      </c>
      <c r="C41" s="50">
        <v>7196000</v>
      </c>
    </row>
    <row r="42" spans="1:3" s="44" customFormat="1" ht="12" customHeight="1">
      <c r="A42" s="48" t="s">
        <v>180</v>
      </c>
      <c r="B42" s="49" t="s">
        <v>181</v>
      </c>
      <c r="C42" s="50">
        <v>8620000</v>
      </c>
    </row>
    <row r="43" spans="1:3" s="44" customFormat="1" ht="12" customHeight="1">
      <c r="A43" s="48" t="s">
        <v>182</v>
      </c>
      <c r="B43" s="49" t="s">
        <v>183</v>
      </c>
      <c r="C43" s="50">
        <v>13991000</v>
      </c>
    </row>
    <row r="44" spans="1:3" s="44" customFormat="1" ht="12" customHeight="1">
      <c r="A44" s="48" t="s">
        <v>184</v>
      </c>
      <c r="B44" s="49" t="s">
        <v>185</v>
      </c>
      <c r="C44" s="50">
        <v>40313475</v>
      </c>
    </row>
    <row r="45" spans="1:3" s="44" customFormat="1" ht="12" customHeight="1">
      <c r="A45" s="48" t="s">
        <v>186</v>
      </c>
      <c r="B45" s="49" t="s">
        <v>187</v>
      </c>
      <c r="C45" s="50">
        <v>9726749</v>
      </c>
    </row>
    <row r="46" spans="1:3" s="44" customFormat="1" ht="12" customHeight="1">
      <c r="A46" s="48" t="s">
        <v>188</v>
      </c>
      <c r="B46" s="49" t="s">
        <v>189</v>
      </c>
      <c r="C46" s="50"/>
    </row>
    <row r="47" spans="1:3" s="44" customFormat="1" ht="12" customHeight="1">
      <c r="A47" s="48" t="s">
        <v>190</v>
      </c>
      <c r="B47" s="49" t="s">
        <v>191</v>
      </c>
      <c r="C47" s="50"/>
    </row>
    <row r="48" spans="1:3" s="44" customFormat="1" ht="12" customHeight="1">
      <c r="A48" s="48" t="s">
        <v>192</v>
      </c>
      <c r="B48" s="49" t="s">
        <v>193</v>
      </c>
      <c r="C48" s="50"/>
    </row>
    <row r="49" spans="1:3" s="44" customFormat="1" ht="12" customHeight="1">
      <c r="A49" s="52" t="s">
        <v>194</v>
      </c>
      <c r="B49" s="62" t="s">
        <v>195</v>
      </c>
      <c r="C49" s="61"/>
    </row>
    <row r="50" spans="1:3" s="44" customFormat="1" ht="12" customHeight="1">
      <c r="A50" s="52" t="s">
        <v>196</v>
      </c>
      <c r="B50" s="53" t="s">
        <v>197</v>
      </c>
      <c r="C50" s="61">
        <v>1016000</v>
      </c>
    </row>
    <row r="51" spans="1:3" s="44" customFormat="1" ht="12" customHeight="1">
      <c r="A51" s="41" t="s">
        <v>198</v>
      </c>
      <c r="B51" s="42" t="s">
        <v>199</v>
      </c>
      <c r="C51" s="43">
        <f>SUM(C52:C56)</f>
        <v>0</v>
      </c>
    </row>
    <row r="52" spans="1:3" s="44" customFormat="1" ht="12" customHeight="1">
      <c r="A52" s="45" t="s">
        <v>200</v>
      </c>
      <c r="B52" s="46" t="s">
        <v>201</v>
      </c>
      <c r="C52" s="47"/>
    </row>
    <row r="53" spans="1:3" s="44" customFormat="1" ht="12" customHeight="1">
      <c r="A53" s="48" t="s">
        <v>202</v>
      </c>
      <c r="B53" s="49" t="s">
        <v>203</v>
      </c>
      <c r="C53" s="50"/>
    </row>
    <row r="54" spans="1:3" s="44" customFormat="1" ht="12" customHeight="1">
      <c r="A54" s="48" t="s">
        <v>204</v>
      </c>
      <c r="B54" s="49" t="s">
        <v>205</v>
      </c>
      <c r="C54" s="50"/>
    </row>
    <row r="55" spans="1:3" s="44" customFormat="1" ht="12" customHeight="1">
      <c r="A55" s="48" t="s">
        <v>206</v>
      </c>
      <c r="B55" s="49" t="s">
        <v>207</v>
      </c>
      <c r="C55" s="50"/>
    </row>
    <row r="56" spans="1:3" s="44" customFormat="1" ht="12" customHeight="1">
      <c r="A56" s="52" t="s">
        <v>208</v>
      </c>
      <c r="B56" s="53" t="s">
        <v>209</v>
      </c>
      <c r="C56" s="61"/>
    </row>
    <row r="57" spans="1:3" s="44" customFormat="1" ht="12" customHeight="1">
      <c r="A57" s="41" t="s">
        <v>210</v>
      </c>
      <c r="B57" s="42" t="s">
        <v>211</v>
      </c>
      <c r="C57" s="43">
        <f>SUM(C58:C60)</f>
        <v>0</v>
      </c>
    </row>
    <row r="58" spans="1:3" s="44" customFormat="1" ht="12" customHeight="1">
      <c r="A58" s="45" t="s">
        <v>212</v>
      </c>
      <c r="B58" s="46" t="s">
        <v>213</v>
      </c>
      <c r="C58" s="47"/>
    </row>
    <row r="59" spans="1:3" s="44" customFormat="1" ht="12" customHeight="1">
      <c r="A59" s="48" t="s">
        <v>214</v>
      </c>
      <c r="B59" s="49" t="s">
        <v>215</v>
      </c>
      <c r="C59" s="50"/>
    </row>
    <row r="60" spans="1:3" s="44" customFormat="1" ht="12" customHeight="1">
      <c r="A60" s="48" t="s">
        <v>216</v>
      </c>
      <c r="B60" s="49" t="s">
        <v>217</v>
      </c>
      <c r="C60" s="50"/>
    </row>
    <row r="61" spans="1:3" s="44" customFormat="1" ht="12" customHeight="1">
      <c r="A61" s="52" t="s">
        <v>218</v>
      </c>
      <c r="B61" s="53" t="s">
        <v>219</v>
      </c>
      <c r="C61" s="61"/>
    </row>
    <row r="62" spans="1:3" s="44" customFormat="1" ht="12" customHeight="1">
      <c r="A62" s="41" t="s">
        <v>220</v>
      </c>
      <c r="B62" s="54" t="s">
        <v>221</v>
      </c>
      <c r="C62" s="43">
        <f>SUM(C63:C65)</f>
        <v>13000000</v>
      </c>
    </row>
    <row r="63" spans="1:3" s="44" customFormat="1" ht="12" customHeight="1">
      <c r="A63" s="45" t="s">
        <v>222</v>
      </c>
      <c r="B63" s="46" t="s">
        <v>223</v>
      </c>
      <c r="C63" s="50"/>
    </row>
    <row r="64" spans="1:3" s="44" customFormat="1" ht="12" customHeight="1">
      <c r="A64" s="48" t="s">
        <v>224</v>
      </c>
      <c r="B64" s="49" t="s">
        <v>225</v>
      </c>
      <c r="C64" s="50"/>
    </row>
    <row r="65" spans="1:3" s="44" customFormat="1" ht="12" customHeight="1">
      <c r="A65" s="48" t="s">
        <v>226</v>
      </c>
      <c r="B65" s="49" t="s">
        <v>227</v>
      </c>
      <c r="C65" s="50">
        <v>13000000</v>
      </c>
    </row>
    <row r="66" spans="1:3" s="44" customFormat="1" ht="12" customHeight="1">
      <c r="A66" s="52" t="s">
        <v>228</v>
      </c>
      <c r="B66" s="53" t="s">
        <v>229</v>
      </c>
      <c r="C66" s="50"/>
    </row>
    <row r="67" spans="1:3" s="44" customFormat="1" ht="12" customHeight="1">
      <c r="A67" s="63" t="s">
        <v>230</v>
      </c>
      <c r="B67" s="42" t="s">
        <v>231</v>
      </c>
      <c r="C67" s="43">
        <f>+C10+C17+C24+C31+C39+C51+C57+C62</f>
        <v>597709623</v>
      </c>
    </row>
    <row r="68" spans="1:3" s="44" customFormat="1" ht="12" customHeight="1">
      <c r="A68" s="64" t="s">
        <v>232</v>
      </c>
      <c r="B68" s="54" t="s">
        <v>233</v>
      </c>
      <c r="C68" s="43">
        <f>SUM(C69:C71)</f>
        <v>0</v>
      </c>
    </row>
    <row r="69" spans="1:3" s="44" customFormat="1" ht="12" customHeight="1">
      <c r="A69" s="45" t="s">
        <v>234</v>
      </c>
      <c r="B69" s="46" t="s">
        <v>235</v>
      </c>
      <c r="C69" s="50"/>
    </row>
    <row r="70" spans="1:3" s="44" customFormat="1" ht="12" customHeight="1">
      <c r="A70" s="48" t="s">
        <v>236</v>
      </c>
      <c r="B70" s="49" t="s">
        <v>237</v>
      </c>
      <c r="C70" s="50"/>
    </row>
    <row r="71" spans="1:3" s="44" customFormat="1" ht="12" customHeight="1">
      <c r="A71" s="52" t="s">
        <v>238</v>
      </c>
      <c r="B71" s="65" t="s">
        <v>239</v>
      </c>
      <c r="C71" s="50"/>
    </row>
    <row r="72" spans="1:3" s="44" customFormat="1" ht="12" customHeight="1">
      <c r="A72" s="64" t="s">
        <v>240</v>
      </c>
      <c r="B72" s="54" t="s">
        <v>241</v>
      </c>
      <c r="C72" s="43">
        <f>SUM(C73:C76)</f>
        <v>0</v>
      </c>
    </row>
    <row r="73" spans="1:3" s="44" customFormat="1" ht="12" customHeight="1">
      <c r="A73" s="45" t="s">
        <v>242</v>
      </c>
      <c r="B73" s="46" t="s">
        <v>243</v>
      </c>
      <c r="C73" s="50"/>
    </row>
    <row r="74" spans="1:3" s="44" customFormat="1" ht="12" customHeight="1">
      <c r="A74" s="48" t="s">
        <v>244</v>
      </c>
      <c r="B74" s="49" t="s">
        <v>245</v>
      </c>
      <c r="C74" s="50"/>
    </row>
    <row r="75" spans="1:3" s="44" customFormat="1" ht="12" customHeight="1">
      <c r="A75" s="52" t="s">
        <v>246</v>
      </c>
      <c r="B75" s="62" t="s">
        <v>247</v>
      </c>
      <c r="C75" s="61"/>
    </row>
    <row r="76" spans="1:3" s="44" customFormat="1" ht="12" customHeight="1">
      <c r="A76" s="66" t="s">
        <v>248</v>
      </c>
      <c r="B76" s="67" t="s">
        <v>249</v>
      </c>
      <c r="C76" s="68"/>
    </row>
    <row r="77" spans="1:3" s="44" customFormat="1" ht="12" customHeight="1">
      <c r="A77" s="64" t="s">
        <v>250</v>
      </c>
      <c r="B77" s="54" t="s">
        <v>251</v>
      </c>
      <c r="C77" s="43">
        <f>SUM(C78:C79)</f>
        <v>222877368</v>
      </c>
    </row>
    <row r="78" spans="1:3" s="44" customFormat="1" ht="12" customHeight="1">
      <c r="A78" s="69" t="s">
        <v>252</v>
      </c>
      <c r="B78" s="70" t="s">
        <v>253</v>
      </c>
      <c r="C78" s="61">
        <v>222877368</v>
      </c>
    </row>
    <row r="79" spans="1:3" s="44" customFormat="1" ht="12" customHeight="1">
      <c r="A79" s="66" t="s">
        <v>254</v>
      </c>
      <c r="B79" s="67" t="s">
        <v>255</v>
      </c>
      <c r="C79" s="68"/>
    </row>
    <row r="80" spans="1:3" s="44" customFormat="1" ht="12" customHeight="1">
      <c r="A80" s="64" t="s">
        <v>256</v>
      </c>
      <c r="B80" s="54" t="s">
        <v>257</v>
      </c>
      <c r="C80" s="43">
        <f>SUM(C81:C83)</f>
        <v>0</v>
      </c>
    </row>
    <row r="81" spans="1:3" s="44" customFormat="1" ht="12" customHeight="1">
      <c r="A81" s="45" t="s">
        <v>258</v>
      </c>
      <c r="B81" s="46" t="s">
        <v>259</v>
      </c>
      <c r="C81" s="50"/>
    </row>
    <row r="82" spans="1:3" s="44" customFormat="1" ht="12" customHeight="1">
      <c r="A82" s="48" t="s">
        <v>260</v>
      </c>
      <c r="B82" s="49" t="s">
        <v>261</v>
      </c>
      <c r="C82" s="50"/>
    </row>
    <row r="83" spans="1:3" s="44" customFormat="1" ht="12" customHeight="1">
      <c r="A83" s="71" t="s">
        <v>262</v>
      </c>
      <c r="B83" s="72" t="s">
        <v>263</v>
      </c>
      <c r="C83" s="73"/>
    </row>
    <row r="84" spans="1:3" s="44" customFormat="1" ht="12" customHeight="1">
      <c r="A84" s="64" t="s">
        <v>264</v>
      </c>
      <c r="B84" s="54" t="s">
        <v>265</v>
      </c>
      <c r="C84" s="43">
        <f>SUM(C85:C88)</f>
        <v>0</v>
      </c>
    </row>
    <row r="85" spans="1:3" s="44" customFormat="1" ht="12" customHeight="1">
      <c r="A85" s="74" t="s">
        <v>266</v>
      </c>
      <c r="B85" s="46" t="s">
        <v>267</v>
      </c>
      <c r="C85" s="50"/>
    </row>
    <row r="86" spans="1:3" s="44" customFormat="1" ht="12" customHeight="1">
      <c r="A86" s="75" t="s">
        <v>268</v>
      </c>
      <c r="B86" s="49" t="s">
        <v>269</v>
      </c>
      <c r="C86" s="50"/>
    </row>
    <row r="87" spans="1:3" s="44" customFormat="1" ht="12" customHeight="1">
      <c r="A87" s="75" t="s">
        <v>270</v>
      </c>
      <c r="B87" s="49" t="s">
        <v>271</v>
      </c>
      <c r="C87" s="50"/>
    </row>
    <row r="88" spans="1:3" s="44" customFormat="1" ht="12" customHeight="1">
      <c r="A88" s="76" t="s">
        <v>272</v>
      </c>
      <c r="B88" s="53" t="s">
        <v>273</v>
      </c>
      <c r="C88" s="50"/>
    </row>
    <row r="89" spans="1:3" s="44" customFormat="1" ht="12" customHeight="1">
      <c r="A89" s="64" t="s">
        <v>274</v>
      </c>
      <c r="B89" s="54" t="s">
        <v>275</v>
      </c>
      <c r="C89" s="77"/>
    </row>
    <row r="90" spans="1:3" s="44" customFormat="1" ht="13.5" customHeight="1">
      <c r="A90" s="64" t="s">
        <v>276</v>
      </c>
      <c r="B90" s="54" t="s">
        <v>277</v>
      </c>
      <c r="C90" s="77"/>
    </row>
    <row r="91" spans="1:3" s="44" customFormat="1" ht="15.75" customHeight="1">
      <c r="A91" s="64" t="s">
        <v>278</v>
      </c>
      <c r="B91" s="78" t="s">
        <v>279</v>
      </c>
      <c r="C91" s="43">
        <f>+C68+C72+C77+C80+C84+C90+C89</f>
        <v>222877368</v>
      </c>
    </row>
    <row r="92" spans="1:3" s="44" customFormat="1" ht="16.5" customHeight="1">
      <c r="A92" s="79" t="s">
        <v>280</v>
      </c>
      <c r="B92" s="80" t="s">
        <v>281</v>
      </c>
      <c r="C92" s="43">
        <f>+C67+C91</f>
        <v>820586991</v>
      </c>
    </row>
    <row r="93" spans="1:3" s="44" customFormat="1" ht="10.5" customHeight="1">
      <c r="A93" s="81"/>
      <c r="B93" s="82"/>
      <c r="C93" s="83"/>
    </row>
    <row r="94" spans="1:3" ht="16.5" customHeight="1">
      <c r="A94" s="737" t="s">
        <v>282</v>
      </c>
      <c r="B94" s="737"/>
      <c r="C94" s="737"/>
    </row>
    <row r="95" spans="1:3" s="85" customFormat="1" ht="16.5" customHeight="1">
      <c r="A95" s="738" t="s">
        <v>283</v>
      </c>
      <c r="B95" s="738"/>
      <c r="C95" s="84" t="str">
        <f>C7</f>
        <v>Forintban!</v>
      </c>
    </row>
    <row r="96" spans="1:3" ht="37.5" customHeight="1">
      <c r="A96" s="86" t="s">
        <v>112</v>
      </c>
      <c r="B96" s="87" t="s">
        <v>284</v>
      </c>
      <c r="C96" s="88" t="str">
        <f>+C8</f>
        <v>2019. évi előirányzat</v>
      </c>
    </row>
    <row r="97" spans="1:3" s="40" customFormat="1" ht="12" customHeight="1">
      <c r="A97" s="86"/>
      <c r="B97" s="87" t="s">
        <v>114</v>
      </c>
      <c r="C97" s="88" t="s">
        <v>115</v>
      </c>
    </row>
    <row r="98" spans="1:3" ht="12" customHeight="1">
      <c r="A98" s="89" t="s">
        <v>116</v>
      </c>
      <c r="B98" s="90" t="s">
        <v>285</v>
      </c>
      <c r="C98" s="91">
        <f>C99+C100+C101+C102+C103+C116</f>
        <v>617619266</v>
      </c>
    </row>
    <row r="99" spans="1:3" ht="12" customHeight="1">
      <c r="A99" s="92" t="s">
        <v>118</v>
      </c>
      <c r="B99" s="93" t="s">
        <v>286</v>
      </c>
      <c r="C99" s="94">
        <v>304353884</v>
      </c>
    </row>
    <row r="100" spans="1:3" ht="12" customHeight="1">
      <c r="A100" s="48" t="s">
        <v>120</v>
      </c>
      <c r="B100" s="95" t="s">
        <v>287</v>
      </c>
      <c r="C100" s="50">
        <v>55769637</v>
      </c>
    </row>
    <row r="101" spans="1:3" ht="12" customHeight="1">
      <c r="A101" s="48" t="s">
        <v>122</v>
      </c>
      <c r="B101" s="95" t="s">
        <v>288</v>
      </c>
      <c r="C101" s="61">
        <v>201699247</v>
      </c>
    </row>
    <row r="102" spans="1:3" ht="12" customHeight="1">
      <c r="A102" s="48" t="s">
        <v>124</v>
      </c>
      <c r="B102" s="96" t="s">
        <v>289</v>
      </c>
      <c r="C102" s="61">
        <v>26630000</v>
      </c>
    </row>
    <row r="103" spans="1:3" ht="12" customHeight="1">
      <c r="A103" s="48" t="s">
        <v>290</v>
      </c>
      <c r="B103" s="97" t="s">
        <v>291</v>
      </c>
      <c r="C103" s="61">
        <v>9166498</v>
      </c>
    </row>
    <row r="104" spans="1:3" ht="12" customHeight="1">
      <c r="A104" s="48" t="s">
        <v>128</v>
      </c>
      <c r="B104" s="95" t="s">
        <v>292</v>
      </c>
      <c r="C104" s="61">
        <v>5000000</v>
      </c>
    </row>
    <row r="105" spans="1:3" ht="12" customHeight="1">
      <c r="A105" s="48" t="s">
        <v>293</v>
      </c>
      <c r="B105" s="98" t="s">
        <v>294</v>
      </c>
      <c r="C105" s="61"/>
    </row>
    <row r="106" spans="1:3" ht="12" customHeight="1">
      <c r="A106" s="48" t="s">
        <v>295</v>
      </c>
      <c r="B106" s="98" t="s">
        <v>296</v>
      </c>
      <c r="C106" s="61"/>
    </row>
    <row r="107" spans="1:3" ht="12" customHeight="1">
      <c r="A107" s="48" t="s">
        <v>297</v>
      </c>
      <c r="B107" s="99" t="s">
        <v>298</v>
      </c>
      <c r="C107" s="61"/>
    </row>
    <row r="108" spans="1:3" ht="12" customHeight="1">
      <c r="A108" s="48" t="s">
        <v>299</v>
      </c>
      <c r="B108" s="100" t="s">
        <v>300</v>
      </c>
      <c r="C108" s="61"/>
    </row>
    <row r="109" spans="1:3" ht="12" customHeight="1">
      <c r="A109" s="48" t="s">
        <v>301</v>
      </c>
      <c r="B109" s="100" t="s">
        <v>302</v>
      </c>
      <c r="C109" s="61">
        <v>8170838</v>
      </c>
    </row>
    <row r="110" spans="1:3" ht="12" customHeight="1">
      <c r="A110" s="48" t="s">
        <v>303</v>
      </c>
      <c r="B110" s="99" t="s">
        <v>304</v>
      </c>
      <c r="C110" s="61"/>
    </row>
    <row r="111" spans="1:3" ht="12" customHeight="1">
      <c r="A111" s="48" t="s">
        <v>305</v>
      </c>
      <c r="B111" s="99" t="s">
        <v>306</v>
      </c>
      <c r="C111" s="61"/>
    </row>
    <row r="112" spans="1:3" ht="12" customHeight="1">
      <c r="A112" s="48" t="s">
        <v>307</v>
      </c>
      <c r="B112" s="100" t="s">
        <v>308</v>
      </c>
      <c r="C112" s="61"/>
    </row>
    <row r="113" spans="1:3" ht="12" customHeight="1">
      <c r="A113" s="69" t="s">
        <v>309</v>
      </c>
      <c r="B113" s="98" t="s">
        <v>310</v>
      </c>
      <c r="C113" s="61"/>
    </row>
    <row r="114" spans="1:3" ht="12" customHeight="1">
      <c r="A114" s="48" t="s">
        <v>311</v>
      </c>
      <c r="B114" s="98" t="s">
        <v>312</v>
      </c>
      <c r="C114" s="61"/>
    </row>
    <row r="115" spans="1:3" ht="12" customHeight="1">
      <c r="A115" s="52" t="s">
        <v>313</v>
      </c>
      <c r="B115" s="98" t="s">
        <v>314</v>
      </c>
      <c r="C115" s="61">
        <v>995660</v>
      </c>
    </row>
    <row r="116" spans="1:3" ht="12" customHeight="1">
      <c r="A116" s="48" t="s">
        <v>315</v>
      </c>
      <c r="B116" s="96" t="s">
        <v>316</v>
      </c>
      <c r="C116" s="50">
        <f>SUM(C117:C118)</f>
        <v>20000000</v>
      </c>
    </row>
    <row r="117" spans="1:3" ht="12" customHeight="1">
      <c r="A117" s="48" t="s">
        <v>317</v>
      </c>
      <c r="B117" s="95" t="s">
        <v>318</v>
      </c>
      <c r="C117" s="50">
        <v>17647000</v>
      </c>
    </row>
    <row r="118" spans="1:3" ht="12" customHeight="1">
      <c r="A118" s="71" t="s">
        <v>319</v>
      </c>
      <c r="B118" s="101" t="s">
        <v>320</v>
      </c>
      <c r="C118" s="73">
        <v>2353000</v>
      </c>
    </row>
    <row r="119" spans="1:3" ht="12" customHeight="1">
      <c r="A119" s="102" t="s">
        <v>130</v>
      </c>
      <c r="B119" s="103" t="s">
        <v>321</v>
      </c>
      <c r="C119" s="104">
        <f>+C120+C122+C124</f>
        <v>187577694</v>
      </c>
    </row>
    <row r="120" spans="1:3" ht="12" customHeight="1">
      <c r="A120" s="45" t="s">
        <v>132</v>
      </c>
      <c r="B120" s="95" t="s">
        <v>322</v>
      </c>
      <c r="C120" s="47">
        <v>28013862</v>
      </c>
    </row>
    <row r="121" spans="1:3" ht="12" customHeight="1">
      <c r="A121" s="45" t="s">
        <v>134</v>
      </c>
      <c r="B121" s="105" t="s">
        <v>323</v>
      </c>
      <c r="C121" s="47"/>
    </row>
    <row r="122" spans="1:3" ht="12" customHeight="1">
      <c r="A122" s="45" t="s">
        <v>136</v>
      </c>
      <c r="B122" s="105" t="s">
        <v>324</v>
      </c>
      <c r="C122" s="50">
        <v>155763832</v>
      </c>
    </row>
    <row r="123" spans="1:3" ht="12" customHeight="1">
      <c r="A123" s="45" t="s">
        <v>138</v>
      </c>
      <c r="B123" s="105" t="s">
        <v>325</v>
      </c>
      <c r="C123" s="108">
        <v>120091212</v>
      </c>
    </row>
    <row r="124" spans="1:3" ht="12" customHeight="1">
      <c r="A124" s="45" t="s">
        <v>140</v>
      </c>
      <c r="B124" s="53" t="s">
        <v>326</v>
      </c>
      <c r="C124" s="108">
        <v>3800000</v>
      </c>
    </row>
    <row r="125" spans="1:3" ht="12" customHeight="1">
      <c r="A125" s="45" t="s">
        <v>142</v>
      </c>
      <c r="B125" s="51" t="s">
        <v>327</v>
      </c>
      <c r="C125" s="108"/>
    </row>
    <row r="126" spans="1:3" ht="12" customHeight="1">
      <c r="A126" s="45" t="s">
        <v>328</v>
      </c>
      <c r="B126" s="109" t="s">
        <v>329</v>
      </c>
      <c r="C126" s="108"/>
    </row>
    <row r="127" spans="1:3" ht="15.75">
      <c r="A127" s="45" t="s">
        <v>330</v>
      </c>
      <c r="B127" s="100" t="s">
        <v>302</v>
      </c>
      <c r="C127" s="108"/>
    </row>
    <row r="128" spans="1:3" ht="12" customHeight="1">
      <c r="A128" s="45" t="s">
        <v>331</v>
      </c>
      <c r="B128" s="100" t="s">
        <v>332</v>
      </c>
      <c r="C128" s="108"/>
    </row>
    <row r="129" spans="1:3" ht="12" customHeight="1">
      <c r="A129" s="45" t="s">
        <v>333</v>
      </c>
      <c r="B129" s="100" t="s">
        <v>334</v>
      </c>
      <c r="C129" s="108"/>
    </row>
    <row r="130" spans="1:3" ht="12" customHeight="1">
      <c r="A130" s="45" t="s">
        <v>335</v>
      </c>
      <c r="B130" s="100" t="s">
        <v>308</v>
      </c>
      <c r="C130" s="108"/>
    </row>
    <row r="131" spans="1:3" ht="12" customHeight="1">
      <c r="A131" s="45" t="s">
        <v>336</v>
      </c>
      <c r="B131" s="100" t="s">
        <v>337</v>
      </c>
      <c r="C131" s="108"/>
    </row>
    <row r="132" spans="1:3" ht="15.75">
      <c r="A132" s="69" t="s">
        <v>338</v>
      </c>
      <c r="B132" s="100" t="s">
        <v>339</v>
      </c>
      <c r="C132" s="110">
        <v>3800000</v>
      </c>
    </row>
    <row r="133" spans="1:3" ht="12" customHeight="1">
      <c r="A133" s="41" t="s">
        <v>144</v>
      </c>
      <c r="B133" s="42" t="s">
        <v>340</v>
      </c>
      <c r="C133" s="43">
        <f>+C98+C119</f>
        <v>805196960</v>
      </c>
    </row>
    <row r="134" spans="1:3" ht="12" customHeight="1">
      <c r="A134" s="41" t="s">
        <v>341</v>
      </c>
      <c r="B134" s="42" t="s">
        <v>342</v>
      </c>
      <c r="C134" s="43">
        <f>+C135+C136+C137</f>
        <v>0</v>
      </c>
    </row>
    <row r="135" spans="1:3" ht="12" customHeight="1">
      <c r="A135" s="45" t="s">
        <v>160</v>
      </c>
      <c r="B135" s="105" t="s">
        <v>343</v>
      </c>
      <c r="C135" s="108"/>
    </row>
    <row r="136" spans="1:3" ht="12" customHeight="1">
      <c r="A136" s="45" t="s">
        <v>162</v>
      </c>
      <c r="B136" s="105" t="s">
        <v>344</v>
      </c>
      <c r="C136" s="108"/>
    </row>
    <row r="137" spans="1:3" ht="12" customHeight="1">
      <c r="A137" s="69" t="s">
        <v>164</v>
      </c>
      <c r="B137" s="105" t="s">
        <v>345</v>
      </c>
      <c r="C137" s="108"/>
    </row>
    <row r="138" spans="1:3" ht="12" customHeight="1">
      <c r="A138" s="41" t="s">
        <v>174</v>
      </c>
      <c r="B138" s="42" t="s">
        <v>346</v>
      </c>
      <c r="C138" s="43">
        <f>SUM(C139:C144)</f>
        <v>0</v>
      </c>
    </row>
    <row r="139" spans="1:3" ht="12" customHeight="1">
      <c r="A139" s="45" t="s">
        <v>176</v>
      </c>
      <c r="B139" s="111" t="s">
        <v>347</v>
      </c>
      <c r="C139" s="108"/>
    </row>
    <row r="140" spans="1:3" ht="12" customHeight="1">
      <c r="A140" s="45" t="s">
        <v>178</v>
      </c>
      <c r="B140" s="111" t="s">
        <v>348</v>
      </c>
      <c r="C140" s="108"/>
    </row>
    <row r="141" spans="1:3" ht="12" customHeight="1">
      <c r="A141" s="45" t="s">
        <v>180</v>
      </c>
      <c r="B141" s="111" t="s">
        <v>349</v>
      </c>
      <c r="C141" s="108"/>
    </row>
    <row r="142" spans="1:3" ht="12" customHeight="1">
      <c r="A142" s="45" t="s">
        <v>182</v>
      </c>
      <c r="B142" s="111" t="s">
        <v>350</v>
      </c>
      <c r="C142" s="108"/>
    </row>
    <row r="143" spans="1:3" ht="12" customHeight="1">
      <c r="A143" s="69" t="s">
        <v>184</v>
      </c>
      <c r="B143" s="112" t="s">
        <v>351</v>
      </c>
      <c r="C143" s="110"/>
    </row>
    <row r="144" spans="1:3" ht="12" customHeight="1">
      <c r="A144" s="66" t="s">
        <v>186</v>
      </c>
      <c r="B144" s="113" t="s">
        <v>352</v>
      </c>
      <c r="C144" s="114"/>
    </row>
    <row r="145" spans="1:3" ht="12" customHeight="1">
      <c r="A145" s="41" t="s">
        <v>198</v>
      </c>
      <c r="B145" s="42" t="s">
        <v>353</v>
      </c>
      <c r="C145" s="43">
        <f>+C146+C147+C148+C149</f>
        <v>15390031</v>
      </c>
    </row>
    <row r="146" spans="1:3" ht="12" customHeight="1">
      <c r="A146" s="45" t="s">
        <v>200</v>
      </c>
      <c r="B146" s="111" t="s">
        <v>354</v>
      </c>
      <c r="C146" s="108"/>
    </row>
    <row r="147" spans="1:3" ht="12" customHeight="1">
      <c r="A147" s="45" t="s">
        <v>202</v>
      </c>
      <c r="B147" s="111" t="s">
        <v>355</v>
      </c>
      <c r="C147" s="108">
        <v>15390031</v>
      </c>
    </row>
    <row r="148" spans="1:3" ht="12" customHeight="1">
      <c r="A148" s="69" t="s">
        <v>204</v>
      </c>
      <c r="B148" s="112" t="s">
        <v>356</v>
      </c>
      <c r="C148" s="110"/>
    </row>
    <row r="149" spans="1:3" ht="12" customHeight="1">
      <c r="A149" s="66" t="s">
        <v>206</v>
      </c>
      <c r="B149" s="113" t="s">
        <v>357</v>
      </c>
      <c r="C149" s="114"/>
    </row>
    <row r="150" spans="1:3" ht="12" customHeight="1">
      <c r="A150" s="41" t="s">
        <v>358</v>
      </c>
      <c r="B150" s="42" t="s">
        <v>359</v>
      </c>
      <c r="C150" s="115">
        <f>SUM(C151:C155)</f>
        <v>0</v>
      </c>
    </row>
    <row r="151" spans="1:3" ht="12" customHeight="1">
      <c r="A151" s="45" t="s">
        <v>212</v>
      </c>
      <c r="B151" s="111" t="s">
        <v>360</v>
      </c>
      <c r="C151" s="108"/>
    </row>
    <row r="152" spans="1:3" ht="12" customHeight="1">
      <c r="A152" s="45" t="s">
        <v>214</v>
      </c>
      <c r="B152" s="111" t="s">
        <v>361</v>
      </c>
      <c r="C152" s="108"/>
    </row>
    <row r="153" spans="1:3" ht="12" customHeight="1">
      <c r="A153" s="45" t="s">
        <v>216</v>
      </c>
      <c r="B153" s="111" t="s">
        <v>362</v>
      </c>
      <c r="C153" s="108"/>
    </row>
    <row r="154" spans="1:3" ht="12" customHeight="1">
      <c r="A154" s="45" t="s">
        <v>218</v>
      </c>
      <c r="B154" s="111" t="s">
        <v>363</v>
      </c>
      <c r="C154" s="108"/>
    </row>
    <row r="155" spans="1:3" ht="12" customHeight="1">
      <c r="A155" s="45" t="s">
        <v>364</v>
      </c>
      <c r="B155" s="111" t="s">
        <v>365</v>
      </c>
      <c r="C155" s="108"/>
    </row>
    <row r="156" spans="1:3" ht="12" customHeight="1">
      <c r="A156" s="41" t="s">
        <v>220</v>
      </c>
      <c r="B156" s="42" t="s">
        <v>366</v>
      </c>
      <c r="C156" s="116"/>
    </row>
    <row r="157" spans="1:3" ht="12" customHeight="1">
      <c r="A157" s="41" t="s">
        <v>367</v>
      </c>
      <c r="B157" s="42" t="s">
        <v>368</v>
      </c>
      <c r="C157" s="116"/>
    </row>
    <row r="158" spans="1:9" ht="15" customHeight="1">
      <c r="A158" s="41" t="s">
        <v>369</v>
      </c>
      <c r="B158" s="42" t="s">
        <v>370</v>
      </c>
      <c r="C158" s="115">
        <f>+C134+C138+C145+C150+C156+C157</f>
        <v>15390031</v>
      </c>
      <c r="F158" s="117"/>
      <c r="G158" s="118"/>
      <c r="H158" s="118"/>
      <c r="I158" s="118"/>
    </row>
    <row r="159" spans="1:3" s="44" customFormat="1" ht="17.25" customHeight="1">
      <c r="A159" s="119" t="s">
        <v>371</v>
      </c>
      <c r="B159" s="120" t="s">
        <v>372</v>
      </c>
      <c r="C159" s="115">
        <f>+C133+C158</f>
        <v>820586991</v>
      </c>
    </row>
    <row r="160" spans="1:3" ht="15.75" customHeight="1">
      <c r="A160" s="40"/>
      <c r="B160" s="40"/>
      <c r="C160" s="122">
        <f>C92-C159</f>
        <v>0</v>
      </c>
    </row>
    <row r="161" spans="1:3" ht="15.75">
      <c r="A161" s="739" t="s">
        <v>373</v>
      </c>
      <c r="B161" s="739"/>
      <c r="C161" s="739"/>
    </row>
    <row r="162" spans="1:3" ht="15" customHeight="1">
      <c r="A162" s="733" t="s">
        <v>374</v>
      </c>
      <c r="B162" s="733"/>
      <c r="C162" s="124" t="str">
        <f>C95</f>
        <v>Forintban!</v>
      </c>
    </row>
    <row r="163" spans="1:4" ht="13.5" customHeight="1">
      <c r="A163" s="41">
        <v>1</v>
      </c>
      <c r="B163" s="125" t="s">
        <v>375</v>
      </c>
      <c r="C163" s="43">
        <f>+C67-C133</f>
        <v>-207487337</v>
      </c>
      <c r="D163" s="126"/>
    </row>
    <row r="164" spans="1:3" ht="27.75" customHeight="1">
      <c r="A164" s="41" t="s">
        <v>130</v>
      </c>
      <c r="B164" s="125" t="s">
        <v>376</v>
      </c>
      <c r="C164" s="43">
        <f>+C91-C158</f>
        <v>207487337</v>
      </c>
    </row>
  </sheetData>
  <sheetProtection selectLockedCells="1" selectUnlockedCells="1"/>
  <mergeCells count="7">
    <mergeCell ref="A162:B162"/>
    <mergeCell ref="B1:C1"/>
    <mergeCell ref="A6:C6"/>
    <mergeCell ref="A7:B7"/>
    <mergeCell ref="A94:C94"/>
    <mergeCell ref="A95:B95"/>
    <mergeCell ref="A161:C161"/>
  </mergeCells>
  <printOptions horizontalCentered="1"/>
  <pageMargins left="0.25" right="0.25" top="0.75" bottom="0.75" header="0.5118055555555555" footer="0.5118055555555555"/>
  <pageSetup horizontalDpi="300" verticalDpi="300" orientation="portrait" paperSize="9" scale="74"/>
  <rowBreaks count="2" manualBreakCount="2">
    <brk id="67" max="255" man="1"/>
    <brk id="14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I164"/>
  <sheetViews>
    <sheetView zoomScale="120" zoomScaleNormal="120" zoomScaleSheetLayoutView="100" zoomScalePageLayoutView="0" workbookViewId="0" topLeftCell="A128">
      <selection activeCell="F121" sqref="F121"/>
    </sheetView>
  </sheetViews>
  <sheetFormatPr defaultColWidth="9.00390625" defaultRowHeight="12.75"/>
  <cols>
    <col min="1" max="1" width="9.50390625" style="24" customWidth="1"/>
    <col min="2" max="2" width="99.375" style="24" customWidth="1"/>
    <col min="3" max="3" width="21.625" style="25" customWidth="1"/>
    <col min="4" max="4" width="9.00390625" style="26" customWidth="1"/>
    <col min="5" max="16384" width="9.375" style="26" customWidth="1"/>
  </cols>
  <sheetData>
    <row r="1" spans="1:3" ht="18.75" customHeight="1">
      <c r="A1" s="27"/>
      <c r="B1" s="734" t="str">
        <f>CONCATENATE("1.3. melléklet ",ALAPADATOK!A7," ",ALAPADATOK!B7," ",ALAPADATOK!C7," ",ALAPADATOK!D7," ",ALAPADATOK!E7," ",ALAPADATOK!F7," ",ALAPADATOK!G7," ",ALAPADATOK!H7)</f>
        <v>1.3. melléklet a … / 2019 ( … ) önkormányzati rendelethez</v>
      </c>
      <c r="C1" s="734"/>
    </row>
    <row r="2" spans="1:3" ht="21.75" customHeight="1">
      <c r="A2" s="28"/>
      <c r="B2" s="29" t="str">
        <f>CONCATENATE(ALAPADATOK!A3)</f>
        <v>ELEK VÁROS ÖNKORMÁNYZATA</v>
      </c>
      <c r="C2" s="30"/>
    </row>
    <row r="3" spans="1:3" ht="21.75" customHeight="1">
      <c r="A3" s="30"/>
      <c r="B3" s="29" t="s">
        <v>107</v>
      </c>
      <c r="C3" s="30"/>
    </row>
    <row r="4" spans="1:3" ht="21.75" customHeight="1">
      <c r="A4" s="30"/>
      <c r="B4" s="29" t="s">
        <v>378</v>
      </c>
      <c r="C4" s="30"/>
    </row>
    <row r="5" spans="1:3" ht="21.75" customHeight="1">
      <c r="A5" s="27"/>
      <c r="B5" s="27"/>
      <c r="C5" s="31"/>
    </row>
    <row r="6" spans="1:3" ht="15" customHeight="1">
      <c r="A6" s="735" t="s">
        <v>109</v>
      </c>
      <c r="B6" s="735"/>
      <c r="C6" s="735"/>
    </row>
    <row r="7" spans="1:3" ht="15" customHeight="1">
      <c r="A7" s="736" t="s">
        <v>110</v>
      </c>
      <c r="B7" s="736"/>
      <c r="C7" s="33" t="str">
        <f>CONCATENATE('KV_1.1.sz.mell.'!C7)</f>
        <v>Forintban!</v>
      </c>
    </row>
    <row r="8" spans="1:3" ht="24" customHeight="1">
      <c r="A8" s="34" t="s">
        <v>112</v>
      </c>
      <c r="B8" s="35" t="s">
        <v>113</v>
      </c>
      <c r="C8" s="36" t="str">
        <f>+CONCATENATE(LEFT(KV_ÖSSZEFÜGGÉSEK!A5,4),". évi előirányzat")</f>
        <v>2019. évi előirányzat</v>
      </c>
    </row>
    <row r="9" spans="1:3" s="40" customFormat="1" ht="12" customHeight="1">
      <c r="A9" s="37"/>
      <c r="B9" s="38" t="s">
        <v>114</v>
      </c>
      <c r="C9" s="39" t="s">
        <v>115</v>
      </c>
    </row>
    <row r="10" spans="1:3" s="44" customFormat="1" ht="12" customHeight="1">
      <c r="A10" s="41" t="s">
        <v>116</v>
      </c>
      <c r="B10" s="42" t="s">
        <v>117</v>
      </c>
      <c r="C10" s="43">
        <f>+C11+C12+C13+C14+C15+C16</f>
        <v>0</v>
      </c>
    </row>
    <row r="11" spans="1:3" s="44" customFormat="1" ht="12" customHeight="1">
      <c r="A11" s="45" t="s">
        <v>118</v>
      </c>
      <c r="B11" s="46" t="s">
        <v>119</v>
      </c>
      <c r="C11" s="47"/>
    </row>
    <row r="12" spans="1:3" s="44" customFormat="1" ht="12" customHeight="1">
      <c r="A12" s="48" t="s">
        <v>120</v>
      </c>
      <c r="B12" s="49" t="s">
        <v>121</v>
      </c>
      <c r="C12" s="50"/>
    </row>
    <row r="13" spans="1:3" s="44" customFormat="1" ht="12" customHeight="1">
      <c r="A13" s="48" t="s">
        <v>122</v>
      </c>
      <c r="B13" s="49" t="s">
        <v>123</v>
      </c>
      <c r="C13" s="50"/>
    </row>
    <row r="14" spans="1:3" s="44" customFormat="1" ht="12" customHeight="1">
      <c r="A14" s="48" t="s">
        <v>124</v>
      </c>
      <c r="B14" s="49" t="s">
        <v>125</v>
      </c>
      <c r="C14" s="50"/>
    </row>
    <row r="15" spans="1:3" s="44" customFormat="1" ht="12" customHeight="1">
      <c r="A15" s="48" t="s">
        <v>126</v>
      </c>
      <c r="B15" s="51" t="s">
        <v>127</v>
      </c>
      <c r="C15" s="50"/>
    </row>
    <row r="16" spans="1:3" s="44" customFormat="1" ht="12" customHeight="1">
      <c r="A16" s="52" t="s">
        <v>128</v>
      </c>
      <c r="B16" s="53" t="s">
        <v>129</v>
      </c>
      <c r="C16" s="50"/>
    </row>
    <row r="17" spans="1:3" s="44" customFormat="1" ht="12" customHeight="1">
      <c r="A17" s="41" t="s">
        <v>130</v>
      </c>
      <c r="B17" s="54" t="s">
        <v>131</v>
      </c>
      <c r="C17" s="43">
        <f>+C18+C19+C20+C21+C22</f>
        <v>3739296</v>
      </c>
    </row>
    <row r="18" spans="1:3" s="44" customFormat="1" ht="12" customHeight="1">
      <c r="A18" s="45" t="s">
        <v>132</v>
      </c>
      <c r="B18" s="46" t="s">
        <v>133</v>
      </c>
      <c r="C18" s="47"/>
    </row>
    <row r="19" spans="1:3" s="44" customFormat="1" ht="12" customHeight="1">
      <c r="A19" s="48" t="s">
        <v>134</v>
      </c>
      <c r="B19" s="49" t="s">
        <v>135</v>
      </c>
      <c r="C19" s="50"/>
    </row>
    <row r="20" spans="1:3" s="44" customFormat="1" ht="12" customHeight="1">
      <c r="A20" s="48" t="s">
        <v>136</v>
      </c>
      <c r="B20" s="49" t="s">
        <v>137</v>
      </c>
      <c r="C20" s="50"/>
    </row>
    <row r="21" spans="1:3" s="44" customFormat="1" ht="12" customHeight="1">
      <c r="A21" s="48" t="s">
        <v>138</v>
      </c>
      <c r="B21" s="49" t="s">
        <v>139</v>
      </c>
      <c r="C21" s="50"/>
    </row>
    <row r="22" spans="1:3" s="44" customFormat="1" ht="12" customHeight="1">
      <c r="A22" s="48" t="s">
        <v>140</v>
      </c>
      <c r="B22" s="49" t="s">
        <v>141</v>
      </c>
      <c r="C22" s="50">
        <v>3739296</v>
      </c>
    </row>
    <row r="23" spans="1:3" s="44" customFormat="1" ht="12" customHeight="1">
      <c r="A23" s="52" t="s">
        <v>142</v>
      </c>
      <c r="B23" s="53" t="s">
        <v>143</v>
      </c>
      <c r="C23" s="61"/>
    </row>
    <row r="24" spans="1:3" s="44" customFormat="1" ht="12" customHeight="1">
      <c r="A24" s="41" t="s">
        <v>144</v>
      </c>
      <c r="B24" s="42" t="s">
        <v>145</v>
      </c>
      <c r="C24" s="43">
        <f>+C25+C26+C27+C28+C29</f>
        <v>0</v>
      </c>
    </row>
    <row r="25" spans="1:3" s="44" customFormat="1" ht="12" customHeight="1">
      <c r="A25" s="45" t="s">
        <v>146</v>
      </c>
      <c r="B25" s="46" t="s">
        <v>147</v>
      </c>
      <c r="C25" s="47"/>
    </row>
    <row r="26" spans="1:3" s="44" customFormat="1" ht="12" customHeight="1">
      <c r="A26" s="48" t="s">
        <v>148</v>
      </c>
      <c r="B26" s="49" t="s">
        <v>149</v>
      </c>
      <c r="C26" s="50"/>
    </row>
    <row r="27" spans="1:3" s="44" customFormat="1" ht="12" customHeight="1">
      <c r="A27" s="48" t="s">
        <v>150</v>
      </c>
      <c r="B27" s="49" t="s">
        <v>151</v>
      </c>
      <c r="C27" s="50"/>
    </row>
    <row r="28" spans="1:3" s="44" customFormat="1" ht="12" customHeight="1">
      <c r="A28" s="48" t="s">
        <v>152</v>
      </c>
      <c r="B28" s="49" t="s">
        <v>153</v>
      </c>
      <c r="C28" s="50"/>
    </row>
    <row r="29" spans="1:3" s="44" customFormat="1" ht="12" customHeight="1">
      <c r="A29" s="48" t="s">
        <v>154</v>
      </c>
      <c r="B29" s="49" t="s">
        <v>155</v>
      </c>
      <c r="C29" s="50"/>
    </row>
    <row r="30" spans="1:3" s="59" customFormat="1" ht="12" customHeight="1">
      <c r="A30" s="56" t="s">
        <v>156</v>
      </c>
      <c r="B30" s="57" t="s">
        <v>157</v>
      </c>
      <c r="C30" s="58"/>
    </row>
    <row r="31" spans="1:3" s="44" customFormat="1" ht="12" customHeight="1">
      <c r="A31" s="41" t="s">
        <v>158</v>
      </c>
      <c r="B31" s="42" t="s">
        <v>159</v>
      </c>
      <c r="C31" s="43">
        <f>SUM(C32:C38)</f>
        <v>0</v>
      </c>
    </row>
    <row r="32" spans="1:3" s="44" customFormat="1" ht="12" customHeight="1">
      <c r="A32" s="45" t="s">
        <v>160</v>
      </c>
      <c r="B32" s="46" t="s">
        <v>161</v>
      </c>
      <c r="C32" s="47"/>
    </row>
    <row r="33" spans="1:3" s="44" customFormat="1" ht="12" customHeight="1">
      <c r="A33" s="48" t="s">
        <v>162</v>
      </c>
      <c r="B33" s="49" t="s">
        <v>163</v>
      </c>
      <c r="C33" s="50"/>
    </row>
    <row r="34" spans="1:3" s="44" customFormat="1" ht="12" customHeight="1">
      <c r="A34" s="48" t="s">
        <v>164</v>
      </c>
      <c r="B34" s="49" t="s">
        <v>165</v>
      </c>
      <c r="C34" s="50"/>
    </row>
    <row r="35" spans="1:3" s="44" customFormat="1" ht="12" customHeight="1">
      <c r="A35" s="48" t="s">
        <v>166</v>
      </c>
      <c r="B35" s="49" t="s">
        <v>167</v>
      </c>
      <c r="C35" s="50"/>
    </row>
    <row r="36" spans="1:3" s="44" customFormat="1" ht="12" customHeight="1">
      <c r="A36" s="48" t="s">
        <v>168</v>
      </c>
      <c r="B36" s="49" t="s">
        <v>169</v>
      </c>
      <c r="C36" s="50"/>
    </row>
    <row r="37" spans="1:3" s="44" customFormat="1" ht="12" customHeight="1">
      <c r="A37" s="48" t="s">
        <v>170</v>
      </c>
      <c r="B37" s="49" t="s">
        <v>171</v>
      </c>
      <c r="C37" s="50"/>
    </row>
    <row r="38" spans="1:3" s="44" customFormat="1" ht="12" customHeight="1">
      <c r="A38" s="52" t="s">
        <v>172</v>
      </c>
      <c r="B38" s="60" t="s">
        <v>173</v>
      </c>
      <c r="C38" s="61"/>
    </row>
    <row r="39" spans="1:3" s="44" customFormat="1" ht="12" customHeight="1">
      <c r="A39" s="41" t="s">
        <v>174</v>
      </c>
      <c r="B39" s="42" t="s">
        <v>175</v>
      </c>
      <c r="C39" s="43">
        <f>SUM(C40:C50)</f>
        <v>17612862</v>
      </c>
    </row>
    <row r="40" spans="1:3" s="44" customFormat="1" ht="12" customHeight="1">
      <c r="A40" s="45" t="s">
        <v>176</v>
      </c>
      <c r="B40" s="46" t="s">
        <v>177</v>
      </c>
      <c r="C40" s="47">
        <v>13812490</v>
      </c>
    </row>
    <row r="41" spans="1:3" s="44" customFormat="1" ht="12" customHeight="1">
      <c r="A41" s="48" t="s">
        <v>178</v>
      </c>
      <c r="B41" s="49" t="s">
        <v>179</v>
      </c>
      <c r="C41" s="50"/>
    </row>
    <row r="42" spans="1:3" s="44" customFormat="1" ht="12" customHeight="1">
      <c r="A42" s="48" t="s">
        <v>180</v>
      </c>
      <c r="B42" s="49" t="s">
        <v>181</v>
      </c>
      <c r="C42" s="50"/>
    </row>
    <row r="43" spans="1:3" s="44" customFormat="1" ht="12" customHeight="1">
      <c r="A43" s="48" t="s">
        <v>182</v>
      </c>
      <c r="B43" s="49" t="s">
        <v>183</v>
      </c>
      <c r="C43" s="50">
        <v>800000</v>
      </c>
    </row>
    <row r="44" spans="1:3" s="44" customFormat="1" ht="12" customHeight="1">
      <c r="A44" s="48" t="s">
        <v>184</v>
      </c>
      <c r="B44" s="49" t="s">
        <v>185</v>
      </c>
      <c r="C44" s="50"/>
    </row>
    <row r="45" spans="1:3" s="44" customFormat="1" ht="12" customHeight="1">
      <c r="A45" s="48" t="s">
        <v>186</v>
      </c>
      <c r="B45" s="49" t="s">
        <v>187</v>
      </c>
      <c r="C45" s="50">
        <v>3000372</v>
      </c>
    </row>
    <row r="46" spans="1:3" s="44" customFormat="1" ht="12" customHeight="1">
      <c r="A46" s="48" t="s">
        <v>188</v>
      </c>
      <c r="B46" s="49" t="s">
        <v>189</v>
      </c>
      <c r="C46" s="50"/>
    </row>
    <row r="47" spans="1:3" s="44" customFormat="1" ht="12" customHeight="1">
      <c r="A47" s="48" t="s">
        <v>190</v>
      </c>
      <c r="B47" s="49" t="s">
        <v>191</v>
      </c>
      <c r="C47" s="50"/>
    </row>
    <row r="48" spans="1:3" s="44" customFormat="1" ht="12" customHeight="1">
      <c r="A48" s="48" t="s">
        <v>192</v>
      </c>
      <c r="B48" s="49" t="s">
        <v>193</v>
      </c>
      <c r="C48" s="50"/>
    </row>
    <row r="49" spans="1:3" s="44" customFormat="1" ht="12" customHeight="1">
      <c r="A49" s="52" t="s">
        <v>194</v>
      </c>
      <c r="B49" s="62" t="s">
        <v>195</v>
      </c>
      <c r="C49" s="61"/>
    </row>
    <row r="50" spans="1:3" s="44" customFormat="1" ht="12" customHeight="1">
      <c r="A50" s="52" t="s">
        <v>196</v>
      </c>
      <c r="B50" s="53" t="s">
        <v>197</v>
      </c>
      <c r="C50" s="61"/>
    </row>
    <row r="51" spans="1:3" s="44" customFormat="1" ht="12" customHeight="1">
      <c r="A51" s="41" t="s">
        <v>198</v>
      </c>
      <c r="B51" s="42" t="s">
        <v>199</v>
      </c>
      <c r="C51" s="43">
        <f>SUM(C52:C56)</f>
        <v>0</v>
      </c>
    </row>
    <row r="52" spans="1:3" s="44" customFormat="1" ht="12" customHeight="1">
      <c r="A52" s="45" t="s">
        <v>200</v>
      </c>
      <c r="B52" s="46" t="s">
        <v>201</v>
      </c>
      <c r="C52" s="47"/>
    </row>
    <row r="53" spans="1:3" s="44" customFormat="1" ht="12" customHeight="1">
      <c r="A53" s="48" t="s">
        <v>202</v>
      </c>
      <c r="B53" s="49" t="s">
        <v>203</v>
      </c>
      <c r="C53" s="50"/>
    </row>
    <row r="54" spans="1:3" s="44" customFormat="1" ht="12" customHeight="1">
      <c r="A54" s="48" t="s">
        <v>204</v>
      </c>
      <c r="B54" s="49" t="s">
        <v>205</v>
      </c>
      <c r="C54" s="50"/>
    </row>
    <row r="55" spans="1:3" s="44" customFormat="1" ht="12" customHeight="1">
      <c r="A55" s="48" t="s">
        <v>206</v>
      </c>
      <c r="B55" s="49" t="s">
        <v>207</v>
      </c>
      <c r="C55" s="50"/>
    </row>
    <row r="56" spans="1:3" s="44" customFormat="1" ht="12" customHeight="1">
      <c r="A56" s="52" t="s">
        <v>208</v>
      </c>
      <c r="B56" s="53" t="s">
        <v>209</v>
      </c>
      <c r="C56" s="61"/>
    </row>
    <row r="57" spans="1:3" s="44" customFormat="1" ht="12" customHeight="1">
      <c r="A57" s="41" t="s">
        <v>210</v>
      </c>
      <c r="B57" s="42" t="s">
        <v>211</v>
      </c>
      <c r="C57" s="43">
        <f>SUM(C58:C60)</f>
        <v>0</v>
      </c>
    </row>
    <row r="58" spans="1:3" s="44" customFormat="1" ht="12" customHeight="1">
      <c r="A58" s="45" t="s">
        <v>212</v>
      </c>
      <c r="B58" s="46" t="s">
        <v>213</v>
      </c>
      <c r="C58" s="47"/>
    </row>
    <row r="59" spans="1:3" s="44" customFormat="1" ht="12" customHeight="1">
      <c r="A59" s="48" t="s">
        <v>214</v>
      </c>
      <c r="B59" s="49" t="s">
        <v>215</v>
      </c>
      <c r="C59" s="50"/>
    </row>
    <row r="60" spans="1:3" s="44" customFormat="1" ht="12" customHeight="1">
      <c r="A60" s="48" t="s">
        <v>216</v>
      </c>
      <c r="B60" s="49" t="s">
        <v>217</v>
      </c>
      <c r="C60" s="50"/>
    </row>
    <row r="61" spans="1:3" s="44" customFormat="1" ht="12" customHeight="1">
      <c r="A61" s="52" t="s">
        <v>218</v>
      </c>
      <c r="B61" s="53" t="s">
        <v>219</v>
      </c>
      <c r="C61" s="61"/>
    </row>
    <row r="62" spans="1:3" s="44" customFormat="1" ht="12" customHeight="1">
      <c r="A62" s="41" t="s">
        <v>220</v>
      </c>
      <c r="B62" s="54" t="s">
        <v>221</v>
      </c>
      <c r="C62" s="43">
        <f>SUM(C63:C65)</f>
        <v>0</v>
      </c>
    </row>
    <row r="63" spans="1:3" s="44" customFormat="1" ht="12" customHeight="1">
      <c r="A63" s="45" t="s">
        <v>222</v>
      </c>
      <c r="B63" s="46" t="s">
        <v>223</v>
      </c>
      <c r="C63" s="50"/>
    </row>
    <row r="64" spans="1:3" s="44" customFormat="1" ht="12" customHeight="1">
      <c r="A64" s="48" t="s">
        <v>224</v>
      </c>
      <c r="B64" s="49" t="s">
        <v>225</v>
      </c>
      <c r="C64" s="50"/>
    </row>
    <row r="65" spans="1:3" s="44" customFormat="1" ht="12" customHeight="1">
      <c r="A65" s="48" t="s">
        <v>226</v>
      </c>
      <c r="B65" s="49" t="s">
        <v>227</v>
      </c>
      <c r="C65" s="50"/>
    </row>
    <row r="66" spans="1:3" s="44" customFormat="1" ht="12" customHeight="1">
      <c r="A66" s="52" t="s">
        <v>228</v>
      </c>
      <c r="B66" s="53" t="s">
        <v>229</v>
      </c>
      <c r="C66" s="50"/>
    </row>
    <row r="67" spans="1:3" s="44" customFormat="1" ht="12" customHeight="1">
      <c r="A67" s="63" t="s">
        <v>230</v>
      </c>
      <c r="B67" s="42" t="s">
        <v>231</v>
      </c>
      <c r="C67" s="43">
        <f>+C10+C17+C24+C31+C39+C51+C57+C62</f>
        <v>21352158</v>
      </c>
    </row>
    <row r="68" spans="1:3" s="44" customFormat="1" ht="12" customHeight="1">
      <c r="A68" s="64" t="s">
        <v>232</v>
      </c>
      <c r="B68" s="54" t="s">
        <v>233</v>
      </c>
      <c r="C68" s="43">
        <f>SUM(C69:C71)</f>
        <v>0</v>
      </c>
    </row>
    <row r="69" spans="1:3" s="44" customFormat="1" ht="12" customHeight="1">
      <c r="A69" s="45" t="s">
        <v>234</v>
      </c>
      <c r="B69" s="46" t="s">
        <v>235</v>
      </c>
      <c r="C69" s="50"/>
    </row>
    <row r="70" spans="1:3" s="44" customFormat="1" ht="12" customHeight="1">
      <c r="A70" s="48" t="s">
        <v>236</v>
      </c>
      <c r="B70" s="49" t="s">
        <v>237</v>
      </c>
      <c r="C70" s="50"/>
    </row>
    <row r="71" spans="1:3" s="44" customFormat="1" ht="12" customHeight="1">
      <c r="A71" s="52" t="s">
        <v>238</v>
      </c>
      <c r="B71" s="65" t="s">
        <v>239</v>
      </c>
      <c r="C71" s="50"/>
    </row>
    <row r="72" spans="1:3" s="44" customFormat="1" ht="12" customHeight="1">
      <c r="A72" s="64" t="s">
        <v>240</v>
      </c>
      <c r="B72" s="54" t="s">
        <v>241</v>
      </c>
      <c r="C72" s="43">
        <f>SUM(C73:C76)</f>
        <v>0</v>
      </c>
    </row>
    <row r="73" spans="1:3" s="44" customFormat="1" ht="12" customHeight="1">
      <c r="A73" s="45" t="s">
        <v>242</v>
      </c>
      <c r="B73" s="46" t="s">
        <v>243</v>
      </c>
      <c r="C73" s="50"/>
    </row>
    <row r="74" spans="1:3" s="44" customFormat="1" ht="12" customHeight="1">
      <c r="A74" s="48" t="s">
        <v>244</v>
      </c>
      <c r="B74" s="49" t="s">
        <v>245</v>
      </c>
      <c r="C74" s="50"/>
    </row>
    <row r="75" spans="1:3" s="44" customFormat="1" ht="12" customHeight="1">
      <c r="A75" s="52" t="s">
        <v>246</v>
      </c>
      <c r="B75" s="62" t="s">
        <v>247</v>
      </c>
      <c r="C75" s="61"/>
    </row>
    <row r="76" spans="1:3" s="44" customFormat="1" ht="12" customHeight="1">
      <c r="A76" s="66" t="s">
        <v>248</v>
      </c>
      <c r="B76" s="67" t="s">
        <v>249</v>
      </c>
      <c r="C76" s="68"/>
    </row>
    <row r="77" spans="1:3" s="44" customFormat="1" ht="12" customHeight="1">
      <c r="A77" s="64" t="s">
        <v>250</v>
      </c>
      <c r="B77" s="54" t="s">
        <v>251</v>
      </c>
      <c r="C77" s="43">
        <f>SUM(C78:C79)</f>
        <v>30241394</v>
      </c>
    </row>
    <row r="78" spans="1:3" s="44" customFormat="1" ht="12" customHeight="1">
      <c r="A78" s="69" t="s">
        <v>252</v>
      </c>
      <c r="B78" s="70" t="s">
        <v>253</v>
      </c>
      <c r="C78" s="61">
        <v>30241394</v>
      </c>
    </row>
    <row r="79" spans="1:3" s="44" customFormat="1" ht="12" customHeight="1">
      <c r="A79" s="66" t="s">
        <v>254</v>
      </c>
      <c r="B79" s="67" t="s">
        <v>255</v>
      </c>
      <c r="C79" s="68"/>
    </row>
    <row r="80" spans="1:3" s="44" customFormat="1" ht="12" customHeight="1">
      <c r="A80" s="64" t="s">
        <v>256</v>
      </c>
      <c r="B80" s="54" t="s">
        <v>257</v>
      </c>
      <c r="C80" s="43">
        <f>SUM(C81:C83)</f>
        <v>0</v>
      </c>
    </row>
    <row r="81" spans="1:3" s="44" customFormat="1" ht="12" customHeight="1">
      <c r="A81" s="45" t="s">
        <v>258</v>
      </c>
      <c r="B81" s="46" t="s">
        <v>259</v>
      </c>
      <c r="C81" s="50"/>
    </row>
    <row r="82" spans="1:3" s="44" customFormat="1" ht="12" customHeight="1">
      <c r="A82" s="48" t="s">
        <v>260</v>
      </c>
      <c r="B82" s="49" t="s">
        <v>261</v>
      </c>
      <c r="C82" s="50"/>
    </row>
    <row r="83" spans="1:3" s="44" customFormat="1" ht="12" customHeight="1">
      <c r="A83" s="71" t="s">
        <v>262</v>
      </c>
      <c r="B83" s="72" t="s">
        <v>263</v>
      </c>
      <c r="C83" s="73"/>
    </row>
    <row r="84" spans="1:3" s="44" customFormat="1" ht="12" customHeight="1">
      <c r="A84" s="64" t="s">
        <v>264</v>
      </c>
      <c r="B84" s="54" t="s">
        <v>265</v>
      </c>
      <c r="C84" s="43">
        <f>SUM(C85:C88)</f>
        <v>0</v>
      </c>
    </row>
    <row r="85" spans="1:3" s="44" customFormat="1" ht="12" customHeight="1">
      <c r="A85" s="74" t="s">
        <v>266</v>
      </c>
      <c r="B85" s="46" t="s">
        <v>267</v>
      </c>
      <c r="C85" s="50"/>
    </row>
    <row r="86" spans="1:3" s="44" customFormat="1" ht="12" customHeight="1">
      <c r="A86" s="75" t="s">
        <v>268</v>
      </c>
      <c r="B86" s="49" t="s">
        <v>269</v>
      </c>
      <c r="C86" s="50"/>
    </row>
    <row r="87" spans="1:3" s="44" customFormat="1" ht="12" customHeight="1">
      <c r="A87" s="75" t="s">
        <v>270</v>
      </c>
      <c r="B87" s="49" t="s">
        <v>271</v>
      </c>
      <c r="C87" s="50"/>
    </row>
    <row r="88" spans="1:3" s="44" customFormat="1" ht="12" customHeight="1">
      <c r="A88" s="76" t="s">
        <v>272</v>
      </c>
      <c r="B88" s="53" t="s">
        <v>273</v>
      </c>
      <c r="C88" s="50"/>
    </row>
    <row r="89" spans="1:3" s="44" customFormat="1" ht="12" customHeight="1">
      <c r="A89" s="64" t="s">
        <v>274</v>
      </c>
      <c r="B89" s="54" t="s">
        <v>275</v>
      </c>
      <c r="C89" s="77"/>
    </row>
    <row r="90" spans="1:3" s="44" customFormat="1" ht="13.5" customHeight="1">
      <c r="A90" s="64" t="s">
        <v>276</v>
      </c>
      <c r="B90" s="54" t="s">
        <v>277</v>
      </c>
      <c r="C90" s="77"/>
    </row>
    <row r="91" spans="1:3" s="44" customFormat="1" ht="15.75" customHeight="1">
      <c r="A91" s="64" t="s">
        <v>278</v>
      </c>
      <c r="B91" s="78" t="s">
        <v>279</v>
      </c>
      <c r="C91" s="43">
        <f>+C68+C72+C77+C80+C84+C90+C89</f>
        <v>30241394</v>
      </c>
    </row>
    <row r="92" spans="1:3" s="44" customFormat="1" ht="16.5" customHeight="1">
      <c r="A92" s="79" t="s">
        <v>280</v>
      </c>
      <c r="B92" s="80" t="s">
        <v>281</v>
      </c>
      <c r="C92" s="43">
        <f>+C67+C91</f>
        <v>51593552</v>
      </c>
    </row>
    <row r="93" spans="1:3" s="44" customFormat="1" ht="10.5" customHeight="1">
      <c r="A93" s="81"/>
      <c r="B93" s="82"/>
      <c r="C93" s="83"/>
    </row>
    <row r="94" spans="1:3" ht="16.5" customHeight="1">
      <c r="A94" s="737" t="s">
        <v>282</v>
      </c>
      <c r="B94" s="737"/>
      <c r="C94" s="737"/>
    </row>
    <row r="95" spans="1:3" s="85" customFormat="1" ht="16.5" customHeight="1">
      <c r="A95" s="738" t="s">
        <v>283</v>
      </c>
      <c r="B95" s="738"/>
      <c r="C95" s="84" t="str">
        <f>C7</f>
        <v>Forintban!</v>
      </c>
    </row>
    <row r="96" spans="1:3" ht="37.5" customHeight="1">
      <c r="A96" s="86" t="s">
        <v>112</v>
      </c>
      <c r="B96" s="87" t="s">
        <v>284</v>
      </c>
      <c r="C96" s="88" t="str">
        <f>+C8</f>
        <v>2019. évi előirányzat</v>
      </c>
    </row>
    <row r="97" spans="1:3" s="40" customFormat="1" ht="12" customHeight="1">
      <c r="A97" s="86"/>
      <c r="B97" s="87" t="s">
        <v>114</v>
      </c>
      <c r="C97" s="88" t="s">
        <v>115</v>
      </c>
    </row>
    <row r="98" spans="1:3" ht="12" customHeight="1">
      <c r="A98" s="89" t="s">
        <v>116</v>
      </c>
      <c r="B98" s="90" t="s">
        <v>285</v>
      </c>
      <c r="C98" s="91">
        <f>C99+C100+C101+C102+C103+C116</f>
        <v>48593552</v>
      </c>
    </row>
    <row r="99" spans="1:3" ht="12" customHeight="1">
      <c r="A99" s="92" t="s">
        <v>118</v>
      </c>
      <c r="B99" s="93" t="s">
        <v>286</v>
      </c>
      <c r="C99" s="94">
        <v>12514435</v>
      </c>
    </row>
    <row r="100" spans="1:3" ht="12" customHeight="1">
      <c r="A100" s="48" t="s">
        <v>120</v>
      </c>
      <c r="B100" s="95" t="s">
        <v>287</v>
      </c>
      <c r="C100" s="50">
        <v>2372881</v>
      </c>
    </row>
    <row r="101" spans="1:3" ht="12" customHeight="1">
      <c r="A101" s="48" t="s">
        <v>122</v>
      </c>
      <c r="B101" s="95" t="s">
        <v>288</v>
      </c>
      <c r="C101" s="61">
        <v>31706236</v>
      </c>
    </row>
    <row r="102" spans="1:3" ht="12" customHeight="1">
      <c r="A102" s="48" t="s">
        <v>124</v>
      </c>
      <c r="B102" s="96" t="s">
        <v>289</v>
      </c>
      <c r="C102" s="61"/>
    </row>
    <row r="103" spans="1:3" ht="12" customHeight="1">
      <c r="A103" s="48" t="s">
        <v>290</v>
      </c>
      <c r="B103" s="97" t="s">
        <v>291</v>
      </c>
      <c r="C103" s="61">
        <v>2000000</v>
      </c>
    </row>
    <row r="104" spans="1:3" ht="12" customHeight="1">
      <c r="A104" s="48" t="s">
        <v>128</v>
      </c>
      <c r="B104" s="95" t="s">
        <v>292</v>
      </c>
      <c r="C104" s="61"/>
    </row>
    <row r="105" spans="1:3" ht="12" customHeight="1">
      <c r="A105" s="48" t="s">
        <v>293</v>
      </c>
      <c r="B105" s="98" t="s">
        <v>294</v>
      </c>
      <c r="C105" s="61"/>
    </row>
    <row r="106" spans="1:3" ht="12" customHeight="1">
      <c r="A106" s="48" t="s">
        <v>295</v>
      </c>
      <c r="B106" s="98" t="s">
        <v>296</v>
      </c>
      <c r="C106" s="61"/>
    </row>
    <row r="107" spans="1:3" ht="12" customHeight="1">
      <c r="A107" s="48" t="s">
        <v>297</v>
      </c>
      <c r="B107" s="99" t="s">
        <v>298</v>
      </c>
      <c r="C107" s="61"/>
    </row>
    <row r="108" spans="1:3" ht="12" customHeight="1">
      <c r="A108" s="48" t="s">
        <v>299</v>
      </c>
      <c r="B108" s="100" t="s">
        <v>300</v>
      </c>
      <c r="C108" s="61"/>
    </row>
    <row r="109" spans="1:3" ht="12" customHeight="1">
      <c r="A109" s="48" t="s">
        <v>301</v>
      </c>
      <c r="B109" s="100" t="s">
        <v>302</v>
      </c>
      <c r="C109" s="61"/>
    </row>
    <row r="110" spans="1:3" ht="12" customHeight="1">
      <c r="A110" s="48" t="s">
        <v>303</v>
      </c>
      <c r="B110" s="99" t="s">
        <v>304</v>
      </c>
      <c r="C110" s="61"/>
    </row>
    <row r="111" spans="1:3" ht="12" customHeight="1">
      <c r="A111" s="48" t="s">
        <v>305</v>
      </c>
      <c r="B111" s="99" t="s">
        <v>306</v>
      </c>
      <c r="C111" s="61"/>
    </row>
    <row r="112" spans="1:3" ht="12" customHeight="1">
      <c r="A112" s="48" t="s">
        <v>307</v>
      </c>
      <c r="B112" s="100" t="s">
        <v>308</v>
      </c>
      <c r="C112" s="61"/>
    </row>
    <row r="113" spans="1:3" ht="12" customHeight="1">
      <c r="A113" s="69" t="s">
        <v>309</v>
      </c>
      <c r="B113" s="98" t="s">
        <v>310</v>
      </c>
      <c r="C113" s="61"/>
    </row>
    <row r="114" spans="1:3" ht="12" customHeight="1">
      <c r="A114" s="48" t="s">
        <v>311</v>
      </c>
      <c r="B114" s="98" t="s">
        <v>312</v>
      </c>
      <c r="C114" s="61"/>
    </row>
    <row r="115" spans="1:3" ht="12" customHeight="1">
      <c r="A115" s="52" t="s">
        <v>313</v>
      </c>
      <c r="B115" s="98" t="s">
        <v>314</v>
      </c>
      <c r="C115" s="61">
        <v>2000000</v>
      </c>
    </row>
    <row r="116" spans="1:3" ht="12" customHeight="1">
      <c r="A116" s="48" t="s">
        <v>315</v>
      </c>
      <c r="B116" s="96" t="s">
        <v>316</v>
      </c>
      <c r="C116" s="50"/>
    </row>
    <row r="117" spans="1:3" ht="12" customHeight="1">
      <c r="A117" s="48" t="s">
        <v>317</v>
      </c>
      <c r="B117" s="95" t="s">
        <v>318</v>
      </c>
      <c r="C117" s="50"/>
    </row>
    <row r="118" spans="1:3" ht="12" customHeight="1">
      <c r="A118" s="71" t="s">
        <v>319</v>
      </c>
      <c r="B118" s="101" t="s">
        <v>320</v>
      </c>
      <c r="C118" s="73"/>
    </row>
    <row r="119" spans="1:3" ht="12" customHeight="1">
      <c r="A119" s="102" t="s">
        <v>130</v>
      </c>
      <c r="B119" s="103" t="s">
        <v>321</v>
      </c>
      <c r="C119" s="104">
        <f>+C120+C122+C124</f>
        <v>3000000</v>
      </c>
    </row>
    <row r="120" spans="1:3" ht="12" customHeight="1">
      <c r="A120" s="45" t="s">
        <v>132</v>
      </c>
      <c r="B120" s="95" t="s">
        <v>322</v>
      </c>
      <c r="C120" s="47"/>
    </row>
    <row r="121" spans="1:3" ht="12" customHeight="1">
      <c r="A121" s="45" t="s">
        <v>134</v>
      </c>
      <c r="B121" s="105" t="s">
        <v>323</v>
      </c>
      <c r="C121" s="47"/>
    </row>
    <row r="122" spans="1:3" ht="12" customHeight="1">
      <c r="A122" s="45" t="s">
        <v>136</v>
      </c>
      <c r="B122" s="105" t="s">
        <v>324</v>
      </c>
      <c r="C122" s="50"/>
    </row>
    <row r="123" spans="1:3" ht="12" customHeight="1">
      <c r="A123" s="45" t="s">
        <v>138</v>
      </c>
      <c r="B123" s="105" t="s">
        <v>325</v>
      </c>
      <c r="C123" s="108"/>
    </row>
    <row r="124" spans="1:3" ht="12" customHeight="1">
      <c r="A124" s="45" t="s">
        <v>140</v>
      </c>
      <c r="B124" s="53" t="s">
        <v>326</v>
      </c>
      <c r="C124" s="108">
        <v>3000000</v>
      </c>
    </row>
    <row r="125" spans="1:3" ht="12" customHeight="1">
      <c r="A125" s="45" t="s">
        <v>142</v>
      </c>
      <c r="B125" s="51" t="s">
        <v>327</v>
      </c>
      <c r="C125" s="108"/>
    </row>
    <row r="126" spans="1:3" ht="12" customHeight="1">
      <c r="A126" s="45" t="s">
        <v>328</v>
      </c>
      <c r="B126" s="109" t="s">
        <v>329</v>
      </c>
      <c r="C126" s="108"/>
    </row>
    <row r="127" spans="1:3" ht="15.75">
      <c r="A127" s="45" t="s">
        <v>330</v>
      </c>
      <c r="B127" s="100" t="s">
        <v>302</v>
      </c>
      <c r="C127" s="108"/>
    </row>
    <row r="128" spans="1:3" ht="12" customHeight="1">
      <c r="A128" s="45" t="s">
        <v>331</v>
      </c>
      <c r="B128" s="100" t="s">
        <v>332</v>
      </c>
      <c r="C128" s="108"/>
    </row>
    <row r="129" spans="1:3" ht="12" customHeight="1">
      <c r="A129" s="45" t="s">
        <v>333</v>
      </c>
      <c r="B129" s="100" t="s">
        <v>334</v>
      </c>
      <c r="C129" s="108"/>
    </row>
    <row r="130" spans="1:3" ht="12" customHeight="1">
      <c r="A130" s="45" t="s">
        <v>335</v>
      </c>
      <c r="B130" s="100" t="s">
        <v>308</v>
      </c>
      <c r="C130" s="108"/>
    </row>
    <row r="131" spans="1:3" ht="12" customHeight="1">
      <c r="A131" s="45" t="s">
        <v>336</v>
      </c>
      <c r="B131" s="100" t="s">
        <v>337</v>
      </c>
      <c r="C131" s="108">
        <v>3000000</v>
      </c>
    </row>
    <row r="132" spans="1:3" ht="15.75">
      <c r="A132" s="69" t="s">
        <v>338</v>
      </c>
      <c r="B132" s="100" t="s">
        <v>339</v>
      </c>
      <c r="C132" s="110"/>
    </row>
    <row r="133" spans="1:3" ht="12" customHeight="1">
      <c r="A133" s="41" t="s">
        <v>144</v>
      </c>
      <c r="B133" s="42" t="s">
        <v>340</v>
      </c>
      <c r="C133" s="43">
        <f>+C98+C119</f>
        <v>51593552</v>
      </c>
    </row>
    <row r="134" spans="1:3" ht="12" customHeight="1">
      <c r="A134" s="41" t="s">
        <v>341</v>
      </c>
      <c r="B134" s="42" t="s">
        <v>342</v>
      </c>
      <c r="C134" s="43">
        <f>+C135+C136+C137</f>
        <v>0</v>
      </c>
    </row>
    <row r="135" spans="1:3" ht="12" customHeight="1">
      <c r="A135" s="45" t="s">
        <v>160</v>
      </c>
      <c r="B135" s="105" t="s">
        <v>343</v>
      </c>
      <c r="C135" s="108"/>
    </row>
    <row r="136" spans="1:3" ht="12" customHeight="1">
      <c r="A136" s="45" t="s">
        <v>162</v>
      </c>
      <c r="B136" s="105" t="s">
        <v>344</v>
      </c>
      <c r="C136" s="108"/>
    </row>
    <row r="137" spans="1:3" ht="12" customHeight="1">
      <c r="A137" s="69" t="s">
        <v>164</v>
      </c>
      <c r="B137" s="105" t="s">
        <v>345</v>
      </c>
      <c r="C137" s="108"/>
    </row>
    <row r="138" spans="1:3" ht="12" customHeight="1">
      <c r="A138" s="41" t="s">
        <v>174</v>
      </c>
      <c r="B138" s="42" t="s">
        <v>346</v>
      </c>
      <c r="C138" s="43">
        <f>SUM(C139:C144)</f>
        <v>0</v>
      </c>
    </row>
    <row r="139" spans="1:3" ht="12" customHeight="1">
      <c r="A139" s="45" t="s">
        <v>176</v>
      </c>
      <c r="B139" s="111" t="s">
        <v>347</v>
      </c>
      <c r="C139" s="108"/>
    </row>
    <row r="140" spans="1:3" ht="12" customHeight="1">
      <c r="A140" s="45" t="s">
        <v>178</v>
      </c>
      <c r="B140" s="111" t="s">
        <v>348</v>
      </c>
      <c r="C140" s="108"/>
    </row>
    <row r="141" spans="1:3" ht="12" customHeight="1">
      <c r="A141" s="45" t="s">
        <v>180</v>
      </c>
      <c r="B141" s="111" t="s">
        <v>349</v>
      </c>
      <c r="C141" s="108"/>
    </row>
    <row r="142" spans="1:3" ht="12" customHeight="1">
      <c r="A142" s="45" t="s">
        <v>182</v>
      </c>
      <c r="B142" s="111" t="s">
        <v>350</v>
      </c>
      <c r="C142" s="108"/>
    </row>
    <row r="143" spans="1:3" ht="12" customHeight="1">
      <c r="A143" s="69" t="s">
        <v>184</v>
      </c>
      <c r="B143" s="112" t="s">
        <v>351</v>
      </c>
      <c r="C143" s="110"/>
    </row>
    <row r="144" spans="1:3" ht="12" customHeight="1">
      <c r="A144" s="66" t="s">
        <v>186</v>
      </c>
      <c r="B144" s="113" t="s">
        <v>352</v>
      </c>
      <c r="C144" s="114"/>
    </row>
    <row r="145" spans="1:3" ht="12" customHeight="1">
      <c r="A145" s="41" t="s">
        <v>198</v>
      </c>
      <c r="B145" s="42" t="s">
        <v>353</v>
      </c>
      <c r="C145" s="43">
        <f>+C146+C147+C148+C149</f>
        <v>0</v>
      </c>
    </row>
    <row r="146" spans="1:3" ht="12" customHeight="1">
      <c r="A146" s="45" t="s">
        <v>200</v>
      </c>
      <c r="B146" s="111" t="s">
        <v>354</v>
      </c>
      <c r="C146" s="108"/>
    </row>
    <row r="147" spans="1:3" ht="12" customHeight="1">
      <c r="A147" s="45" t="s">
        <v>202</v>
      </c>
      <c r="B147" s="111" t="s">
        <v>355</v>
      </c>
      <c r="C147" s="108"/>
    </row>
    <row r="148" spans="1:3" ht="12" customHeight="1">
      <c r="A148" s="69" t="s">
        <v>204</v>
      </c>
      <c r="B148" s="112" t="s">
        <v>356</v>
      </c>
      <c r="C148" s="110"/>
    </row>
    <row r="149" spans="1:3" ht="12" customHeight="1">
      <c r="A149" s="66" t="s">
        <v>206</v>
      </c>
      <c r="B149" s="113" t="s">
        <v>357</v>
      </c>
      <c r="C149" s="114"/>
    </row>
    <row r="150" spans="1:3" ht="12" customHeight="1">
      <c r="A150" s="41" t="s">
        <v>358</v>
      </c>
      <c r="B150" s="42" t="s">
        <v>359</v>
      </c>
      <c r="C150" s="115">
        <f>SUM(C151:C155)</f>
        <v>0</v>
      </c>
    </row>
    <row r="151" spans="1:3" ht="12" customHeight="1">
      <c r="A151" s="45" t="s">
        <v>212</v>
      </c>
      <c r="B151" s="111" t="s">
        <v>360</v>
      </c>
      <c r="C151" s="108"/>
    </row>
    <row r="152" spans="1:3" ht="12" customHeight="1">
      <c r="A152" s="45" t="s">
        <v>214</v>
      </c>
      <c r="B152" s="111" t="s">
        <v>361</v>
      </c>
      <c r="C152" s="108"/>
    </row>
    <row r="153" spans="1:3" ht="12" customHeight="1">
      <c r="A153" s="45" t="s">
        <v>216</v>
      </c>
      <c r="B153" s="111" t="s">
        <v>362</v>
      </c>
      <c r="C153" s="108"/>
    </row>
    <row r="154" spans="1:3" ht="12" customHeight="1">
      <c r="A154" s="45" t="s">
        <v>218</v>
      </c>
      <c r="B154" s="111" t="s">
        <v>363</v>
      </c>
      <c r="C154" s="108"/>
    </row>
    <row r="155" spans="1:3" ht="12" customHeight="1">
      <c r="A155" s="45" t="s">
        <v>364</v>
      </c>
      <c r="B155" s="111" t="s">
        <v>365</v>
      </c>
      <c r="C155" s="108"/>
    </row>
    <row r="156" spans="1:3" ht="12" customHeight="1">
      <c r="A156" s="41" t="s">
        <v>220</v>
      </c>
      <c r="B156" s="42" t="s">
        <v>366</v>
      </c>
      <c r="C156" s="116"/>
    </row>
    <row r="157" spans="1:3" ht="12" customHeight="1">
      <c r="A157" s="41" t="s">
        <v>367</v>
      </c>
      <c r="B157" s="42" t="s">
        <v>368</v>
      </c>
      <c r="C157" s="116"/>
    </row>
    <row r="158" spans="1:9" ht="15" customHeight="1">
      <c r="A158" s="41" t="s">
        <v>369</v>
      </c>
      <c r="B158" s="42" t="s">
        <v>370</v>
      </c>
      <c r="C158" s="115">
        <f>+C134+C138+C145+C150+C156+C157</f>
        <v>0</v>
      </c>
      <c r="F158" s="117"/>
      <c r="G158" s="118"/>
      <c r="H158" s="118"/>
      <c r="I158" s="118"/>
    </row>
    <row r="159" spans="1:3" s="44" customFormat="1" ht="17.25" customHeight="1">
      <c r="A159" s="119" t="s">
        <v>371</v>
      </c>
      <c r="B159" s="120" t="s">
        <v>372</v>
      </c>
      <c r="C159" s="115">
        <f>+C133+C158</f>
        <v>51593552</v>
      </c>
    </row>
    <row r="160" spans="1:3" ht="15.75" customHeight="1">
      <c r="A160" s="40"/>
      <c r="B160" s="40"/>
      <c r="C160" s="122">
        <f>C92-C159</f>
        <v>0</v>
      </c>
    </row>
    <row r="161" spans="1:3" ht="15.75">
      <c r="A161" s="739" t="s">
        <v>373</v>
      </c>
      <c r="B161" s="739"/>
      <c r="C161" s="739"/>
    </row>
    <row r="162" spans="1:3" ht="15" customHeight="1">
      <c r="A162" s="733" t="s">
        <v>374</v>
      </c>
      <c r="B162" s="733"/>
      <c r="C162" s="124" t="str">
        <f>C95</f>
        <v>Forintban!</v>
      </c>
    </row>
    <row r="163" spans="1:4" ht="13.5" customHeight="1">
      <c r="A163" s="41">
        <v>1</v>
      </c>
      <c r="B163" s="125" t="s">
        <v>375</v>
      </c>
      <c r="C163" s="43">
        <f>+C67-C133</f>
        <v>-30241394</v>
      </c>
      <c r="D163" s="126"/>
    </row>
    <row r="164" spans="1:3" ht="27.75" customHeight="1">
      <c r="A164" s="41" t="s">
        <v>130</v>
      </c>
      <c r="B164" s="125" t="s">
        <v>376</v>
      </c>
      <c r="C164" s="43">
        <f>+C91-C158</f>
        <v>30241394</v>
      </c>
    </row>
  </sheetData>
  <sheetProtection selectLockedCells="1" selectUnlockedCells="1"/>
  <mergeCells count="7">
    <mergeCell ref="A162:B162"/>
    <mergeCell ref="B1:C1"/>
    <mergeCell ref="A6:C6"/>
    <mergeCell ref="A7:B7"/>
    <mergeCell ref="A94:C94"/>
    <mergeCell ref="A95:B95"/>
    <mergeCell ref="A161:C161"/>
  </mergeCells>
  <printOptions horizontalCentered="1"/>
  <pageMargins left="0.25" right="0.25" top="0.75" bottom="0.75" header="0.5118055555555555" footer="0.5118055555555555"/>
  <pageSetup horizontalDpi="300" verticalDpi="300" orientation="portrait" paperSize="9" scale="74"/>
  <rowBreaks count="2" manualBreakCount="2">
    <brk id="67" max="255" man="1"/>
    <brk id="14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1:I164"/>
  <sheetViews>
    <sheetView zoomScale="120" zoomScaleNormal="120" zoomScaleSheetLayoutView="100" zoomScalePageLayoutView="0" workbookViewId="0" topLeftCell="A1">
      <selection activeCell="E8" sqref="E8"/>
    </sheetView>
  </sheetViews>
  <sheetFormatPr defaultColWidth="9.00390625" defaultRowHeight="12.75"/>
  <cols>
    <col min="1" max="1" width="9.50390625" style="24" customWidth="1"/>
    <col min="2" max="2" width="99.375" style="24" customWidth="1"/>
    <col min="3" max="3" width="21.625" style="25" customWidth="1"/>
    <col min="4" max="4" width="9.00390625" style="26" customWidth="1"/>
    <col min="5" max="16384" width="9.375" style="26" customWidth="1"/>
  </cols>
  <sheetData>
    <row r="1" spans="1:3" ht="18.75" customHeight="1">
      <c r="A1" s="27"/>
      <c r="B1" s="734" t="str">
        <f>CONCATENATE("1.4. melléklet ",ALAPADATOK!A7," ",ALAPADATOK!B7," ",ALAPADATOK!C7," ",ALAPADATOK!D7," ",ALAPADATOK!E7," ",ALAPADATOK!F7," ",ALAPADATOK!G7," ",ALAPADATOK!H7)</f>
        <v>1.4. melléklet a … / 2019 ( … ) önkormányzati rendelethez</v>
      </c>
      <c r="C1" s="734"/>
    </row>
    <row r="2" spans="1:3" ht="21.75" customHeight="1">
      <c r="A2" s="28"/>
      <c r="B2" s="29" t="str">
        <f>CONCATENATE(ALAPADATOK!A3)</f>
        <v>ELEK VÁROS ÖNKORMÁNYZATA</v>
      </c>
      <c r="C2" s="30"/>
    </row>
    <row r="3" spans="1:3" ht="21.75" customHeight="1">
      <c r="A3" s="30"/>
      <c r="B3" s="29" t="s">
        <v>107</v>
      </c>
      <c r="C3" s="30"/>
    </row>
    <row r="4" spans="1:3" ht="21.75" customHeight="1">
      <c r="A4" s="30"/>
      <c r="B4" s="29" t="s">
        <v>379</v>
      </c>
      <c r="C4" s="30"/>
    </row>
    <row r="5" spans="1:3" ht="21.75" customHeight="1">
      <c r="A5" s="27"/>
      <c r="B5" s="27"/>
      <c r="C5" s="31"/>
    </row>
    <row r="6" spans="1:3" ht="15" customHeight="1">
      <c r="A6" s="735" t="s">
        <v>109</v>
      </c>
      <c r="B6" s="735"/>
      <c r="C6" s="735"/>
    </row>
    <row r="7" spans="1:3" ht="15" customHeight="1">
      <c r="A7" s="736" t="s">
        <v>110</v>
      </c>
      <c r="B7" s="736"/>
      <c r="C7" s="33" t="str">
        <f>CONCATENATE('KV_1.1.sz.mell.'!C7)</f>
        <v>Forintban!</v>
      </c>
    </row>
    <row r="8" spans="1:3" ht="24" customHeight="1">
      <c r="A8" s="34" t="s">
        <v>112</v>
      </c>
      <c r="B8" s="35" t="s">
        <v>113</v>
      </c>
      <c r="C8" s="36" t="str">
        <f>+CONCATENATE(LEFT(KV_ÖSSZEFÜGGÉSEK!A5,4),". évi előirányzat")</f>
        <v>2019. évi előirányzat</v>
      </c>
    </row>
    <row r="9" spans="1:3" s="40" customFormat="1" ht="12" customHeight="1">
      <c r="A9" s="37"/>
      <c r="B9" s="38" t="s">
        <v>114</v>
      </c>
      <c r="C9" s="39" t="s">
        <v>115</v>
      </c>
    </row>
    <row r="10" spans="1:3" s="44" customFormat="1" ht="12" customHeight="1">
      <c r="A10" s="41" t="s">
        <v>116</v>
      </c>
      <c r="B10" s="42" t="s">
        <v>117</v>
      </c>
      <c r="C10" s="43">
        <f>+C11+C12+C13+C14+C15+C16</f>
        <v>0</v>
      </c>
    </row>
    <row r="11" spans="1:3" s="44" customFormat="1" ht="12" customHeight="1">
      <c r="A11" s="45" t="s">
        <v>118</v>
      </c>
      <c r="B11" s="46" t="s">
        <v>119</v>
      </c>
      <c r="C11" s="47"/>
    </row>
    <row r="12" spans="1:3" s="44" customFormat="1" ht="12" customHeight="1">
      <c r="A12" s="48" t="s">
        <v>120</v>
      </c>
      <c r="B12" s="49" t="s">
        <v>121</v>
      </c>
      <c r="C12" s="50"/>
    </row>
    <row r="13" spans="1:3" s="44" customFormat="1" ht="12" customHeight="1">
      <c r="A13" s="48" t="s">
        <v>122</v>
      </c>
      <c r="B13" s="49" t="s">
        <v>123</v>
      </c>
      <c r="C13" s="50"/>
    </row>
    <row r="14" spans="1:3" s="44" customFormat="1" ht="12" customHeight="1">
      <c r="A14" s="48" t="s">
        <v>124</v>
      </c>
      <c r="B14" s="49" t="s">
        <v>125</v>
      </c>
      <c r="C14" s="50"/>
    </row>
    <row r="15" spans="1:3" s="44" customFormat="1" ht="12" customHeight="1">
      <c r="A15" s="48" t="s">
        <v>126</v>
      </c>
      <c r="B15" s="51" t="s">
        <v>127</v>
      </c>
      <c r="C15" s="50"/>
    </row>
    <row r="16" spans="1:3" s="44" customFormat="1" ht="12" customHeight="1">
      <c r="A16" s="52" t="s">
        <v>128</v>
      </c>
      <c r="B16" s="53" t="s">
        <v>129</v>
      </c>
      <c r="C16" s="50"/>
    </row>
    <row r="17" spans="1:3" s="44" customFormat="1" ht="12" customHeight="1">
      <c r="A17" s="41" t="s">
        <v>130</v>
      </c>
      <c r="B17" s="54" t="s">
        <v>131</v>
      </c>
      <c r="C17" s="43">
        <f>+C18+C19+C20+C21+C22</f>
        <v>0</v>
      </c>
    </row>
    <row r="18" spans="1:3" s="44" customFormat="1" ht="12" customHeight="1">
      <c r="A18" s="45" t="s">
        <v>132</v>
      </c>
      <c r="B18" s="46" t="s">
        <v>133</v>
      </c>
      <c r="C18" s="47"/>
    </row>
    <row r="19" spans="1:3" s="44" customFormat="1" ht="12" customHeight="1">
      <c r="A19" s="48" t="s">
        <v>134</v>
      </c>
      <c r="B19" s="49" t="s">
        <v>135</v>
      </c>
      <c r="C19" s="50"/>
    </row>
    <row r="20" spans="1:3" s="44" customFormat="1" ht="12" customHeight="1">
      <c r="A20" s="48" t="s">
        <v>136</v>
      </c>
      <c r="B20" s="49" t="s">
        <v>137</v>
      </c>
      <c r="C20" s="50"/>
    </row>
    <row r="21" spans="1:3" s="44" customFormat="1" ht="12" customHeight="1">
      <c r="A21" s="48" t="s">
        <v>138</v>
      </c>
      <c r="B21" s="49" t="s">
        <v>139</v>
      </c>
      <c r="C21" s="50"/>
    </row>
    <row r="22" spans="1:3" s="44" customFormat="1" ht="12" customHeight="1">
      <c r="A22" s="48" t="s">
        <v>140</v>
      </c>
      <c r="B22" s="49" t="s">
        <v>141</v>
      </c>
      <c r="C22" s="50"/>
    </row>
    <row r="23" spans="1:3" s="44" customFormat="1" ht="12" customHeight="1">
      <c r="A23" s="52" t="s">
        <v>142</v>
      </c>
      <c r="B23" s="53" t="s">
        <v>143</v>
      </c>
      <c r="C23" s="61"/>
    </row>
    <row r="24" spans="1:3" s="44" customFormat="1" ht="12" customHeight="1">
      <c r="A24" s="41" t="s">
        <v>144</v>
      </c>
      <c r="B24" s="42" t="s">
        <v>145</v>
      </c>
      <c r="C24" s="43">
        <f>+C25+C26+C27+C28+C29</f>
        <v>0</v>
      </c>
    </row>
    <row r="25" spans="1:3" s="44" customFormat="1" ht="12" customHeight="1">
      <c r="A25" s="45" t="s">
        <v>146</v>
      </c>
      <c r="B25" s="46" t="s">
        <v>147</v>
      </c>
      <c r="C25" s="47"/>
    </row>
    <row r="26" spans="1:3" s="44" customFormat="1" ht="12" customHeight="1">
      <c r="A26" s="48" t="s">
        <v>148</v>
      </c>
      <c r="B26" s="49" t="s">
        <v>149</v>
      </c>
      <c r="C26" s="50"/>
    </row>
    <row r="27" spans="1:3" s="44" customFormat="1" ht="12" customHeight="1">
      <c r="A27" s="48" t="s">
        <v>150</v>
      </c>
      <c r="B27" s="49" t="s">
        <v>151</v>
      </c>
      <c r="C27" s="50"/>
    </row>
    <row r="28" spans="1:3" s="44" customFormat="1" ht="12" customHeight="1">
      <c r="A28" s="48" t="s">
        <v>152</v>
      </c>
      <c r="B28" s="49" t="s">
        <v>153</v>
      </c>
      <c r="C28" s="50"/>
    </row>
    <row r="29" spans="1:3" s="44" customFormat="1" ht="12" customHeight="1">
      <c r="A29" s="48" t="s">
        <v>154</v>
      </c>
      <c r="B29" s="49" t="s">
        <v>155</v>
      </c>
      <c r="C29" s="50"/>
    </row>
    <row r="30" spans="1:3" s="59" customFormat="1" ht="12" customHeight="1">
      <c r="A30" s="56" t="s">
        <v>156</v>
      </c>
      <c r="B30" s="57" t="s">
        <v>157</v>
      </c>
      <c r="C30" s="58"/>
    </row>
    <row r="31" spans="1:3" s="44" customFormat="1" ht="12" customHeight="1">
      <c r="A31" s="41" t="s">
        <v>158</v>
      </c>
      <c r="B31" s="42" t="s">
        <v>159</v>
      </c>
      <c r="C31" s="43">
        <f>SUM(C32:C38)</f>
        <v>0</v>
      </c>
    </row>
    <row r="32" spans="1:3" s="44" customFormat="1" ht="12" customHeight="1">
      <c r="A32" s="45" t="s">
        <v>160</v>
      </c>
      <c r="B32" s="46" t="s">
        <v>380</v>
      </c>
      <c r="C32" s="47"/>
    </row>
    <row r="33" spans="1:3" s="44" customFormat="1" ht="12" customHeight="1">
      <c r="A33" s="48" t="s">
        <v>162</v>
      </c>
      <c r="B33" s="49" t="s">
        <v>163</v>
      </c>
      <c r="C33" s="50"/>
    </row>
    <row r="34" spans="1:3" s="44" customFormat="1" ht="12" customHeight="1">
      <c r="A34" s="48" t="s">
        <v>164</v>
      </c>
      <c r="B34" s="49" t="s">
        <v>165</v>
      </c>
      <c r="C34" s="50"/>
    </row>
    <row r="35" spans="1:3" s="44" customFormat="1" ht="12" customHeight="1">
      <c r="A35" s="48" t="s">
        <v>166</v>
      </c>
      <c r="B35" s="49" t="s">
        <v>167</v>
      </c>
      <c r="C35" s="50"/>
    </row>
    <row r="36" spans="1:3" s="44" customFormat="1" ht="12" customHeight="1">
      <c r="A36" s="48" t="s">
        <v>168</v>
      </c>
      <c r="B36" s="49" t="s">
        <v>169</v>
      </c>
      <c r="C36" s="50"/>
    </row>
    <row r="37" spans="1:3" s="44" customFormat="1" ht="12" customHeight="1">
      <c r="A37" s="48" t="s">
        <v>170</v>
      </c>
      <c r="B37" s="49" t="s">
        <v>171</v>
      </c>
      <c r="C37" s="50"/>
    </row>
    <row r="38" spans="1:3" s="44" customFormat="1" ht="12" customHeight="1">
      <c r="A38" s="52" t="s">
        <v>172</v>
      </c>
      <c r="B38" s="60" t="s">
        <v>173</v>
      </c>
      <c r="C38" s="61"/>
    </row>
    <row r="39" spans="1:3" s="44" customFormat="1" ht="12" customHeight="1">
      <c r="A39" s="41" t="s">
        <v>174</v>
      </c>
      <c r="B39" s="42" t="s">
        <v>175</v>
      </c>
      <c r="C39" s="43">
        <f>SUM(C40:C50)</f>
        <v>0</v>
      </c>
    </row>
    <row r="40" spans="1:3" s="44" customFormat="1" ht="12" customHeight="1">
      <c r="A40" s="45" t="s">
        <v>176</v>
      </c>
      <c r="B40" s="46" t="s">
        <v>177</v>
      </c>
      <c r="C40" s="47"/>
    </row>
    <row r="41" spans="1:3" s="44" customFormat="1" ht="12" customHeight="1">
      <c r="A41" s="48" t="s">
        <v>178</v>
      </c>
      <c r="B41" s="49" t="s">
        <v>179</v>
      </c>
      <c r="C41" s="50"/>
    </row>
    <row r="42" spans="1:3" s="44" customFormat="1" ht="12" customHeight="1">
      <c r="A42" s="48" t="s">
        <v>180</v>
      </c>
      <c r="B42" s="49" t="s">
        <v>181</v>
      </c>
      <c r="C42" s="50"/>
    </row>
    <row r="43" spans="1:3" s="44" customFormat="1" ht="12" customHeight="1">
      <c r="A43" s="48" t="s">
        <v>182</v>
      </c>
      <c r="B43" s="49" t="s">
        <v>183</v>
      </c>
      <c r="C43" s="50"/>
    </row>
    <row r="44" spans="1:3" s="44" customFormat="1" ht="12" customHeight="1">
      <c r="A44" s="48" t="s">
        <v>184</v>
      </c>
      <c r="B44" s="49" t="s">
        <v>185</v>
      </c>
      <c r="C44" s="50"/>
    </row>
    <row r="45" spans="1:3" s="44" customFormat="1" ht="12" customHeight="1">
      <c r="A45" s="48" t="s">
        <v>186</v>
      </c>
      <c r="B45" s="49" t="s">
        <v>187</v>
      </c>
      <c r="C45" s="50"/>
    </row>
    <row r="46" spans="1:3" s="44" customFormat="1" ht="12" customHeight="1">
      <c r="A46" s="48" t="s">
        <v>188</v>
      </c>
      <c r="B46" s="49" t="s">
        <v>189</v>
      </c>
      <c r="C46" s="50"/>
    </row>
    <row r="47" spans="1:3" s="44" customFormat="1" ht="12" customHeight="1">
      <c r="A47" s="48" t="s">
        <v>190</v>
      </c>
      <c r="B47" s="49" t="s">
        <v>191</v>
      </c>
      <c r="C47" s="50"/>
    </row>
    <row r="48" spans="1:3" s="44" customFormat="1" ht="12" customHeight="1">
      <c r="A48" s="48" t="s">
        <v>192</v>
      </c>
      <c r="B48" s="49" t="s">
        <v>193</v>
      </c>
      <c r="C48" s="50"/>
    </row>
    <row r="49" spans="1:3" s="44" customFormat="1" ht="12" customHeight="1">
      <c r="A49" s="52" t="s">
        <v>194</v>
      </c>
      <c r="B49" s="62" t="s">
        <v>195</v>
      </c>
      <c r="C49" s="61"/>
    </row>
    <row r="50" spans="1:3" s="44" customFormat="1" ht="12" customHeight="1">
      <c r="A50" s="52" t="s">
        <v>196</v>
      </c>
      <c r="B50" s="53" t="s">
        <v>197</v>
      </c>
      <c r="C50" s="61"/>
    </row>
    <row r="51" spans="1:3" s="44" customFormat="1" ht="12" customHeight="1">
      <c r="A51" s="41" t="s">
        <v>198</v>
      </c>
      <c r="B51" s="42" t="s">
        <v>199</v>
      </c>
      <c r="C51" s="43">
        <f>SUM(C52:C56)</f>
        <v>0</v>
      </c>
    </row>
    <row r="52" spans="1:3" s="44" customFormat="1" ht="12" customHeight="1">
      <c r="A52" s="45" t="s">
        <v>200</v>
      </c>
      <c r="B52" s="46" t="s">
        <v>201</v>
      </c>
      <c r="C52" s="47"/>
    </row>
    <row r="53" spans="1:3" s="44" customFormat="1" ht="12" customHeight="1">
      <c r="A53" s="48" t="s">
        <v>202</v>
      </c>
      <c r="B53" s="49" t="s">
        <v>203</v>
      </c>
      <c r="C53" s="50"/>
    </row>
    <row r="54" spans="1:3" s="44" customFormat="1" ht="12" customHeight="1">
      <c r="A54" s="48" t="s">
        <v>204</v>
      </c>
      <c r="B54" s="49" t="s">
        <v>205</v>
      </c>
      <c r="C54" s="50"/>
    </row>
    <row r="55" spans="1:3" s="44" customFormat="1" ht="12" customHeight="1">
      <c r="A55" s="48" t="s">
        <v>206</v>
      </c>
      <c r="B55" s="49" t="s">
        <v>207</v>
      </c>
      <c r="C55" s="50"/>
    </row>
    <row r="56" spans="1:3" s="44" customFormat="1" ht="12" customHeight="1">
      <c r="A56" s="52" t="s">
        <v>208</v>
      </c>
      <c r="B56" s="53" t="s">
        <v>209</v>
      </c>
      <c r="C56" s="61"/>
    </row>
    <row r="57" spans="1:3" s="44" customFormat="1" ht="12" customHeight="1">
      <c r="A57" s="41" t="s">
        <v>210</v>
      </c>
      <c r="B57" s="42" t="s">
        <v>211</v>
      </c>
      <c r="C57" s="43">
        <f>SUM(C58:C60)</f>
        <v>0</v>
      </c>
    </row>
    <row r="58" spans="1:3" s="44" customFormat="1" ht="12" customHeight="1">
      <c r="A58" s="45" t="s">
        <v>212</v>
      </c>
      <c r="B58" s="46" t="s">
        <v>213</v>
      </c>
      <c r="C58" s="47"/>
    </row>
    <row r="59" spans="1:3" s="44" customFormat="1" ht="12" customHeight="1">
      <c r="A59" s="48" t="s">
        <v>214</v>
      </c>
      <c r="B59" s="49" t="s">
        <v>215</v>
      </c>
      <c r="C59" s="50"/>
    </row>
    <row r="60" spans="1:3" s="44" customFormat="1" ht="12" customHeight="1">
      <c r="A60" s="48" t="s">
        <v>216</v>
      </c>
      <c r="B60" s="49" t="s">
        <v>217</v>
      </c>
      <c r="C60" s="50"/>
    </row>
    <row r="61" spans="1:3" s="44" customFormat="1" ht="12" customHeight="1">
      <c r="A61" s="52" t="s">
        <v>218</v>
      </c>
      <c r="B61" s="53" t="s">
        <v>219</v>
      </c>
      <c r="C61" s="61"/>
    </row>
    <row r="62" spans="1:3" s="44" customFormat="1" ht="12" customHeight="1">
      <c r="A62" s="41" t="s">
        <v>220</v>
      </c>
      <c r="B62" s="54" t="s">
        <v>221</v>
      </c>
      <c r="C62" s="43">
        <f>SUM(C63:C65)</f>
        <v>0</v>
      </c>
    </row>
    <row r="63" spans="1:3" s="44" customFormat="1" ht="12" customHeight="1">
      <c r="A63" s="45" t="s">
        <v>222</v>
      </c>
      <c r="B63" s="46" t="s">
        <v>223</v>
      </c>
      <c r="C63" s="50"/>
    </row>
    <row r="64" spans="1:3" s="44" customFormat="1" ht="12" customHeight="1">
      <c r="A64" s="48" t="s">
        <v>224</v>
      </c>
      <c r="B64" s="49" t="s">
        <v>225</v>
      </c>
      <c r="C64" s="50"/>
    </row>
    <row r="65" spans="1:3" s="44" customFormat="1" ht="12" customHeight="1">
      <c r="A65" s="48" t="s">
        <v>226</v>
      </c>
      <c r="B65" s="49" t="s">
        <v>227</v>
      </c>
      <c r="C65" s="50"/>
    </row>
    <row r="66" spans="1:3" s="44" customFormat="1" ht="12" customHeight="1">
      <c r="A66" s="52" t="s">
        <v>228</v>
      </c>
      <c r="B66" s="53" t="s">
        <v>229</v>
      </c>
      <c r="C66" s="50"/>
    </row>
    <row r="67" spans="1:3" s="44" customFormat="1" ht="12" customHeight="1">
      <c r="A67" s="63" t="s">
        <v>230</v>
      </c>
      <c r="B67" s="42" t="s">
        <v>231</v>
      </c>
      <c r="C67" s="43">
        <f>+C10+C17+C24+C31+C39+C51+C57+C62</f>
        <v>0</v>
      </c>
    </row>
    <row r="68" spans="1:3" s="44" customFormat="1" ht="12" customHeight="1">
      <c r="A68" s="64" t="s">
        <v>232</v>
      </c>
      <c r="B68" s="54" t="s">
        <v>233</v>
      </c>
      <c r="C68" s="43">
        <f>SUM(C69:C71)</f>
        <v>0</v>
      </c>
    </row>
    <row r="69" spans="1:3" s="44" customFormat="1" ht="12" customHeight="1">
      <c r="A69" s="45" t="s">
        <v>234</v>
      </c>
      <c r="B69" s="46" t="s">
        <v>235</v>
      </c>
      <c r="C69" s="50"/>
    </row>
    <row r="70" spans="1:3" s="44" customFormat="1" ht="12" customHeight="1">
      <c r="A70" s="48" t="s">
        <v>236</v>
      </c>
      <c r="B70" s="49" t="s">
        <v>237</v>
      </c>
      <c r="C70" s="50"/>
    </row>
    <row r="71" spans="1:3" s="44" customFormat="1" ht="12" customHeight="1">
      <c r="A71" s="52" t="s">
        <v>238</v>
      </c>
      <c r="B71" s="65" t="s">
        <v>239</v>
      </c>
      <c r="C71" s="50"/>
    </row>
    <row r="72" spans="1:3" s="44" customFormat="1" ht="12" customHeight="1">
      <c r="A72" s="64" t="s">
        <v>240</v>
      </c>
      <c r="B72" s="54" t="s">
        <v>241</v>
      </c>
      <c r="C72" s="43">
        <f>SUM(C73:C76)</f>
        <v>0</v>
      </c>
    </row>
    <row r="73" spans="1:3" s="44" customFormat="1" ht="12" customHeight="1">
      <c r="A73" s="45" t="s">
        <v>242</v>
      </c>
      <c r="B73" s="46" t="s">
        <v>243</v>
      </c>
      <c r="C73" s="50"/>
    </row>
    <row r="74" spans="1:3" s="44" customFormat="1" ht="12" customHeight="1">
      <c r="A74" s="48" t="s">
        <v>244</v>
      </c>
      <c r="B74" s="49" t="s">
        <v>245</v>
      </c>
      <c r="C74" s="50"/>
    </row>
    <row r="75" spans="1:3" s="44" customFormat="1" ht="12" customHeight="1">
      <c r="A75" s="52" t="s">
        <v>246</v>
      </c>
      <c r="B75" s="62" t="s">
        <v>247</v>
      </c>
      <c r="C75" s="61"/>
    </row>
    <row r="76" spans="1:3" s="44" customFormat="1" ht="12" customHeight="1">
      <c r="A76" s="66" t="s">
        <v>248</v>
      </c>
      <c r="B76" s="67" t="s">
        <v>249</v>
      </c>
      <c r="C76" s="68"/>
    </row>
    <row r="77" spans="1:3" s="44" customFormat="1" ht="12" customHeight="1">
      <c r="A77" s="64" t="s">
        <v>250</v>
      </c>
      <c r="B77" s="54" t="s">
        <v>251</v>
      </c>
      <c r="C77" s="43">
        <f>SUM(C78:C79)</f>
        <v>0</v>
      </c>
    </row>
    <row r="78" spans="1:3" s="44" customFormat="1" ht="12" customHeight="1">
      <c r="A78" s="69" t="s">
        <v>252</v>
      </c>
      <c r="B78" s="70" t="s">
        <v>253</v>
      </c>
      <c r="C78" s="61"/>
    </row>
    <row r="79" spans="1:3" s="44" customFormat="1" ht="12" customHeight="1">
      <c r="A79" s="66" t="s">
        <v>254</v>
      </c>
      <c r="B79" s="67" t="s">
        <v>255</v>
      </c>
      <c r="C79" s="68"/>
    </row>
    <row r="80" spans="1:3" s="44" customFormat="1" ht="12" customHeight="1">
      <c r="A80" s="64" t="s">
        <v>256</v>
      </c>
      <c r="B80" s="54" t="s">
        <v>257</v>
      </c>
      <c r="C80" s="43">
        <f>SUM(C81:C83)</f>
        <v>0</v>
      </c>
    </row>
    <row r="81" spans="1:3" s="44" customFormat="1" ht="12" customHeight="1">
      <c r="A81" s="45" t="s">
        <v>258</v>
      </c>
      <c r="B81" s="46" t="s">
        <v>259</v>
      </c>
      <c r="C81" s="50"/>
    </row>
    <row r="82" spans="1:3" s="44" customFormat="1" ht="12" customHeight="1">
      <c r="A82" s="48" t="s">
        <v>260</v>
      </c>
      <c r="B82" s="49" t="s">
        <v>261</v>
      </c>
      <c r="C82" s="50"/>
    </row>
    <row r="83" spans="1:3" s="44" customFormat="1" ht="12" customHeight="1">
      <c r="A83" s="71" t="s">
        <v>262</v>
      </c>
      <c r="B83" s="72" t="s">
        <v>263</v>
      </c>
      <c r="C83" s="73"/>
    </row>
    <row r="84" spans="1:3" s="44" customFormat="1" ht="12" customHeight="1">
      <c r="A84" s="64" t="s">
        <v>264</v>
      </c>
      <c r="B84" s="54" t="s">
        <v>265</v>
      </c>
      <c r="C84" s="43">
        <f>SUM(C85:C88)</f>
        <v>0</v>
      </c>
    </row>
    <row r="85" spans="1:3" s="44" customFormat="1" ht="12" customHeight="1">
      <c r="A85" s="74" t="s">
        <v>266</v>
      </c>
      <c r="B85" s="46" t="s">
        <v>267</v>
      </c>
      <c r="C85" s="50"/>
    </row>
    <row r="86" spans="1:3" s="44" customFormat="1" ht="12" customHeight="1">
      <c r="A86" s="75" t="s">
        <v>268</v>
      </c>
      <c r="B86" s="49" t="s">
        <v>269</v>
      </c>
      <c r="C86" s="50"/>
    </row>
    <row r="87" spans="1:3" s="44" customFormat="1" ht="12" customHeight="1">
      <c r="A87" s="75" t="s">
        <v>270</v>
      </c>
      <c r="B87" s="49" t="s">
        <v>271</v>
      </c>
      <c r="C87" s="50"/>
    </row>
    <row r="88" spans="1:3" s="44" customFormat="1" ht="12" customHeight="1">
      <c r="A88" s="76" t="s">
        <v>272</v>
      </c>
      <c r="B88" s="53" t="s">
        <v>273</v>
      </c>
      <c r="C88" s="50"/>
    </row>
    <row r="89" spans="1:3" s="44" customFormat="1" ht="12" customHeight="1">
      <c r="A89" s="64" t="s">
        <v>274</v>
      </c>
      <c r="B89" s="54" t="s">
        <v>275</v>
      </c>
      <c r="C89" s="77"/>
    </row>
    <row r="90" spans="1:3" s="44" customFormat="1" ht="13.5" customHeight="1">
      <c r="A90" s="64" t="s">
        <v>276</v>
      </c>
      <c r="B90" s="54" t="s">
        <v>277</v>
      </c>
      <c r="C90" s="77"/>
    </row>
    <row r="91" spans="1:3" s="44" customFormat="1" ht="15.75" customHeight="1">
      <c r="A91" s="64" t="s">
        <v>278</v>
      </c>
      <c r="B91" s="78" t="s">
        <v>279</v>
      </c>
      <c r="C91" s="43">
        <f>+C68+C72+C77+C80+C84+C90+C89</f>
        <v>0</v>
      </c>
    </row>
    <row r="92" spans="1:3" s="44" customFormat="1" ht="16.5" customHeight="1">
      <c r="A92" s="79" t="s">
        <v>280</v>
      </c>
      <c r="B92" s="80" t="s">
        <v>281</v>
      </c>
      <c r="C92" s="43">
        <f>+C67+C91</f>
        <v>0</v>
      </c>
    </row>
    <row r="93" spans="1:3" s="44" customFormat="1" ht="10.5" customHeight="1">
      <c r="A93" s="81"/>
      <c r="B93" s="82"/>
      <c r="C93" s="83"/>
    </row>
    <row r="94" spans="1:3" ht="16.5" customHeight="1">
      <c r="A94" s="737" t="s">
        <v>282</v>
      </c>
      <c r="B94" s="737"/>
      <c r="C94" s="737"/>
    </row>
    <row r="95" spans="1:3" s="85" customFormat="1" ht="16.5" customHeight="1">
      <c r="A95" s="738" t="s">
        <v>283</v>
      </c>
      <c r="B95" s="738"/>
      <c r="C95" s="84" t="str">
        <f>C7</f>
        <v>Forintban!</v>
      </c>
    </row>
    <row r="96" spans="1:3" ht="37.5" customHeight="1">
      <c r="A96" s="86" t="s">
        <v>112</v>
      </c>
      <c r="B96" s="87" t="s">
        <v>284</v>
      </c>
      <c r="C96" s="88" t="str">
        <f>+C8</f>
        <v>2019. évi előirányzat</v>
      </c>
    </row>
    <row r="97" spans="1:3" s="40" customFormat="1" ht="12" customHeight="1">
      <c r="A97" s="86"/>
      <c r="B97" s="87" t="s">
        <v>114</v>
      </c>
      <c r="C97" s="88" t="s">
        <v>115</v>
      </c>
    </row>
    <row r="98" spans="1:3" ht="12" customHeight="1">
      <c r="A98" s="89" t="s">
        <v>116</v>
      </c>
      <c r="B98" s="90" t="s">
        <v>285</v>
      </c>
      <c r="C98" s="91">
        <f>C99+C100+C101+C102+C103+C116</f>
        <v>0</v>
      </c>
    </row>
    <row r="99" spans="1:3" ht="12" customHeight="1">
      <c r="A99" s="92" t="s">
        <v>118</v>
      </c>
      <c r="B99" s="93" t="s">
        <v>286</v>
      </c>
      <c r="C99" s="94"/>
    </row>
    <row r="100" spans="1:3" ht="12" customHeight="1">
      <c r="A100" s="48" t="s">
        <v>120</v>
      </c>
      <c r="B100" s="95" t="s">
        <v>287</v>
      </c>
      <c r="C100" s="50"/>
    </row>
    <row r="101" spans="1:3" ht="12" customHeight="1">
      <c r="A101" s="48" t="s">
        <v>122</v>
      </c>
      <c r="B101" s="95" t="s">
        <v>288</v>
      </c>
      <c r="C101" s="61"/>
    </row>
    <row r="102" spans="1:3" ht="12" customHeight="1">
      <c r="A102" s="48" t="s">
        <v>124</v>
      </c>
      <c r="B102" s="96" t="s">
        <v>289</v>
      </c>
      <c r="C102" s="61"/>
    </row>
    <row r="103" spans="1:3" ht="12" customHeight="1">
      <c r="A103" s="48" t="s">
        <v>290</v>
      </c>
      <c r="B103" s="97" t="s">
        <v>291</v>
      </c>
      <c r="C103" s="61"/>
    </row>
    <row r="104" spans="1:3" ht="12" customHeight="1">
      <c r="A104" s="48" t="s">
        <v>128</v>
      </c>
      <c r="B104" s="95" t="s">
        <v>292</v>
      </c>
      <c r="C104" s="61"/>
    </row>
    <row r="105" spans="1:3" ht="12" customHeight="1">
      <c r="A105" s="48" t="s">
        <v>293</v>
      </c>
      <c r="B105" s="98" t="s">
        <v>294</v>
      </c>
      <c r="C105" s="61"/>
    </row>
    <row r="106" spans="1:3" ht="12" customHeight="1">
      <c r="A106" s="48" t="s">
        <v>295</v>
      </c>
      <c r="B106" s="98" t="s">
        <v>296</v>
      </c>
      <c r="C106" s="61"/>
    </row>
    <row r="107" spans="1:3" ht="12" customHeight="1">
      <c r="A107" s="48" t="s">
        <v>297</v>
      </c>
      <c r="B107" s="99" t="s">
        <v>298</v>
      </c>
      <c r="C107" s="61"/>
    </row>
    <row r="108" spans="1:3" ht="12" customHeight="1">
      <c r="A108" s="48" t="s">
        <v>299</v>
      </c>
      <c r="B108" s="100" t="s">
        <v>300</v>
      </c>
      <c r="C108" s="61"/>
    </row>
    <row r="109" spans="1:3" ht="12" customHeight="1">
      <c r="A109" s="48" t="s">
        <v>301</v>
      </c>
      <c r="B109" s="100" t="s">
        <v>302</v>
      </c>
      <c r="C109" s="61"/>
    </row>
    <row r="110" spans="1:3" ht="12" customHeight="1">
      <c r="A110" s="48" t="s">
        <v>303</v>
      </c>
      <c r="B110" s="99" t="s">
        <v>304</v>
      </c>
      <c r="C110" s="61"/>
    </row>
    <row r="111" spans="1:3" ht="12" customHeight="1">
      <c r="A111" s="48" t="s">
        <v>305</v>
      </c>
      <c r="B111" s="99" t="s">
        <v>306</v>
      </c>
      <c r="C111" s="61"/>
    </row>
    <row r="112" spans="1:3" ht="12" customHeight="1">
      <c r="A112" s="48" t="s">
        <v>307</v>
      </c>
      <c r="B112" s="100" t="s">
        <v>308</v>
      </c>
      <c r="C112" s="61"/>
    </row>
    <row r="113" spans="1:3" ht="12" customHeight="1">
      <c r="A113" s="69" t="s">
        <v>309</v>
      </c>
      <c r="B113" s="98" t="s">
        <v>310</v>
      </c>
      <c r="C113" s="61"/>
    </row>
    <row r="114" spans="1:3" ht="12" customHeight="1">
      <c r="A114" s="48" t="s">
        <v>311</v>
      </c>
      <c r="B114" s="98" t="s">
        <v>312</v>
      </c>
      <c r="C114" s="61"/>
    </row>
    <row r="115" spans="1:3" ht="12" customHeight="1">
      <c r="A115" s="52" t="s">
        <v>313</v>
      </c>
      <c r="B115" s="98" t="s">
        <v>314</v>
      </c>
      <c r="C115" s="61"/>
    </row>
    <row r="116" spans="1:3" ht="12" customHeight="1">
      <c r="A116" s="48" t="s">
        <v>315</v>
      </c>
      <c r="B116" s="96" t="s">
        <v>316</v>
      </c>
      <c r="C116" s="50"/>
    </row>
    <row r="117" spans="1:3" ht="12" customHeight="1">
      <c r="A117" s="48" t="s">
        <v>317</v>
      </c>
      <c r="B117" s="95" t="s">
        <v>318</v>
      </c>
      <c r="C117" s="50"/>
    </row>
    <row r="118" spans="1:3" ht="12" customHeight="1">
      <c r="A118" s="71" t="s">
        <v>319</v>
      </c>
      <c r="B118" s="101" t="s">
        <v>320</v>
      </c>
      <c r="C118" s="73"/>
    </row>
    <row r="119" spans="1:3" ht="12" customHeight="1">
      <c r="A119" s="102" t="s">
        <v>130</v>
      </c>
      <c r="B119" s="103" t="s">
        <v>321</v>
      </c>
      <c r="C119" s="104">
        <f>+C120+C122+C124</f>
        <v>0</v>
      </c>
    </row>
    <row r="120" spans="1:3" ht="12" customHeight="1">
      <c r="A120" s="45" t="s">
        <v>132</v>
      </c>
      <c r="B120" s="95" t="s">
        <v>322</v>
      </c>
      <c r="C120" s="47"/>
    </row>
    <row r="121" spans="1:3" ht="12" customHeight="1">
      <c r="A121" s="45" t="s">
        <v>134</v>
      </c>
      <c r="B121" s="105" t="s">
        <v>323</v>
      </c>
      <c r="C121" s="47"/>
    </row>
    <row r="122" spans="1:3" ht="12" customHeight="1">
      <c r="A122" s="45" t="s">
        <v>136</v>
      </c>
      <c r="B122" s="105" t="s">
        <v>324</v>
      </c>
      <c r="C122" s="50"/>
    </row>
    <row r="123" spans="1:3" ht="12" customHeight="1">
      <c r="A123" s="45" t="s">
        <v>138</v>
      </c>
      <c r="B123" s="105" t="s">
        <v>325</v>
      </c>
      <c r="C123" s="108"/>
    </row>
    <row r="124" spans="1:3" ht="12" customHeight="1">
      <c r="A124" s="45" t="s">
        <v>140</v>
      </c>
      <c r="B124" s="53" t="s">
        <v>326</v>
      </c>
      <c r="C124" s="108"/>
    </row>
    <row r="125" spans="1:3" ht="12" customHeight="1">
      <c r="A125" s="45" t="s">
        <v>142</v>
      </c>
      <c r="B125" s="51" t="s">
        <v>327</v>
      </c>
      <c r="C125" s="108"/>
    </row>
    <row r="126" spans="1:3" ht="12" customHeight="1">
      <c r="A126" s="45" t="s">
        <v>328</v>
      </c>
      <c r="B126" s="109" t="s">
        <v>329</v>
      </c>
      <c r="C126" s="108"/>
    </row>
    <row r="127" spans="1:3" ht="15.75">
      <c r="A127" s="45" t="s">
        <v>330</v>
      </c>
      <c r="B127" s="100" t="s">
        <v>302</v>
      </c>
      <c r="C127" s="108"/>
    </row>
    <row r="128" spans="1:3" ht="12" customHeight="1">
      <c r="A128" s="45" t="s">
        <v>331</v>
      </c>
      <c r="B128" s="100" t="s">
        <v>332</v>
      </c>
      <c r="C128" s="108"/>
    </row>
    <row r="129" spans="1:3" ht="12" customHeight="1">
      <c r="A129" s="45" t="s">
        <v>333</v>
      </c>
      <c r="B129" s="100" t="s">
        <v>334</v>
      </c>
      <c r="C129" s="108"/>
    </row>
    <row r="130" spans="1:3" ht="12" customHeight="1">
      <c r="A130" s="45" t="s">
        <v>335</v>
      </c>
      <c r="B130" s="100" t="s">
        <v>308</v>
      </c>
      <c r="C130" s="108"/>
    </row>
    <row r="131" spans="1:3" ht="12" customHeight="1">
      <c r="A131" s="45" t="s">
        <v>336</v>
      </c>
      <c r="B131" s="100" t="s">
        <v>337</v>
      </c>
      <c r="C131" s="108"/>
    </row>
    <row r="132" spans="1:3" ht="15.75">
      <c r="A132" s="69" t="s">
        <v>338</v>
      </c>
      <c r="B132" s="100" t="s">
        <v>339</v>
      </c>
      <c r="C132" s="110"/>
    </row>
    <row r="133" spans="1:3" ht="12" customHeight="1">
      <c r="A133" s="41" t="s">
        <v>144</v>
      </c>
      <c r="B133" s="42" t="s">
        <v>340</v>
      </c>
      <c r="C133" s="43">
        <f>+C98+C119</f>
        <v>0</v>
      </c>
    </row>
    <row r="134" spans="1:3" ht="12" customHeight="1">
      <c r="A134" s="41" t="s">
        <v>341</v>
      </c>
      <c r="B134" s="42" t="s">
        <v>342</v>
      </c>
      <c r="C134" s="43">
        <f>+C135+C136+C137</f>
        <v>0</v>
      </c>
    </row>
    <row r="135" spans="1:3" ht="12" customHeight="1">
      <c r="A135" s="45" t="s">
        <v>160</v>
      </c>
      <c r="B135" s="105" t="s">
        <v>343</v>
      </c>
      <c r="C135" s="108"/>
    </row>
    <row r="136" spans="1:3" ht="12" customHeight="1">
      <c r="A136" s="45" t="s">
        <v>162</v>
      </c>
      <c r="B136" s="105" t="s">
        <v>344</v>
      </c>
      <c r="C136" s="108"/>
    </row>
    <row r="137" spans="1:3" ht="12" customHeight="1">
      <c r="A137" s="69" t="s">
        <v>164</v>
      </c>
      <c r="B137" s="105" t="s">
        <v>345</v>
      </c>
      <c r="C137" s="108"/>
    </row>
    <row r="138" spans="1:3" ht="12" customHeight="1">
      <c r="A138" s="41" t="s">
        <v>174</v>
      </c>
      <c r="B138" s="42" t="s">
        <v>346</v>
      </c>
      <c r="C138" s="43">
        <f>SUM(C139:C144)</f>
        <v>0</v>
      </c>
    </row>
    <row r="139" spans="1:3" ht="12" customHeight="1">
      <c r="A139" s="45" t="s">
        <v>176</v>
      </c>
      <c r="B139" s="111" t="s">
        <v>347</v>
      </c>
      <c r="C139" s="108"/>
    </row>
    <row r="140" spans="1:3" ht="12" customHeight="1">
      <c r="A140" s="45" t="s">
        <v>178</v>
      </c>
      <c r="B140" s="111" t="s">
        <v>348</v>
      </c>
      <c r="C140" s="108"/>
    </row>
    <row r="141" spans="1:3" ht="12" customHeight="1">
      <c r="A141" s="45" t="s">
        <v>180</v>
      </c>
      <c r="B141" s="111" t="s">
        <v>349</v>
      </c>
      <c r="C141" s="108"/>
    </row>
    <row r="142" spans="1:3" ht="12" customHeight="1">
      <c r="A142" s="45" t="s">
        <v>182</v>
      </c>
      <c r="B142" s="111" t="s">
        <v>350</v>
      </c>
      <c r="C142" s="108"/>
    </row>
    <row r="143" spans="1:3" ht="12" customHeight="1">
      <c r="A143" s="69" t="s">
        <v>184</v>
      </c>
      <c r="B143" s="112" t="s">
        <v>351</v>
      </c>
      <c r="C143" s="110"/>
    </row>
    <row r="144" spans="1:3" ht="12" customHeight="1">
      <c r="A144" s="66" t="s">
        <v>186</v>
      </c>
      <c r="B144" s="113" t="s">
        <v>352</v>
      </c>
      <c r="C144" s="114"/>
    </row>
    <row r="145" spans="1:3" ht="12" customHeight="1">
      <c r="A145" s="41" t="s">
        <v>198</v>
      </c>
      <c r="B145" s="42" t="s">
        <v>353</v>
      </c>
      <c r="C145" s="43">
        <f>+C146+C147+C148+C149</f>
        <v>0</v>
      </c>
    </row>
    <row r="146" spans="1:3" ht="12" customHeight="1">
      <c r="A146" s="45" t="s">
        <v>200</v>
      </c>
      <c r="B146" s="111" t="s">
        <v>354</v>
      </c>
      <c r="C146" s="108"/>
    </row>
    <row r="147" spans="1:3" ht="12" customHeight="1">
      <c r="A147" s="45" t="s">
        <v>202</v>
      </c>
      <c r="B147" s="111" t="s">
        <v>355</v>
      </c>
      <c r="C147" s="108"/>
    </row>
    <row r="148" spans="1:3" ht="12" customHeight="1">
      <c r="A148" s="69" t="s">
        <v>204</v>
      </c>
      <c r="B148" s="112" t="s">
        <v>356</v>
      </c>
      <c r="C148" s="110"/>
    </row>
    <row r="149" spans="1:3" ht="12" customHeight="1">
      <c r="A149" s="66" t="s">
        <v>206</v>
      </c>
      <c r="B149" s="113" t="s">
        <v>357</v>
      </c>
      <c r="C149" s="114"/>
    </row>
    <row r="150" spans="1:3" ht="12" customHeight="1">
      <c r="A150" s="41" t="s">
        <v>358</v>
      </c>
      <c r="B150" s="42" t="s">
        <v>359</v>
      </c>
      <c r="C150" s="115">
        <f>SUM(C151:C155)</f>
        <v>0</v>
      </c>
    </row>
    <row r="151" spans="1:3" ht="12" customHeight="1">
      <c r="A151" s="45" t="s">
        <v>212</v>
      </c>
      <c r="B151" s="111" t="s">
        <v>360</v>
      </c>
      <c r="C151" s="108"/>
    </row>
    <row r="152" spans="1:3" ht="12" customHeight="1">
      <c r="A152" s="45" t="s">
        <v>214</v>
      </c>
      <c r="B152" s="111" t="s">
        <v>361</v>
      </c>
      <c r="C152" s="108"/>
    </row>
    <row r="153" spans="1:3" ht="12" customHeight="1">
      <c r="A153" s="45" t="s">
        <v>216</v>
      </c>
      <c r="B153" s="111" t="s">
        <v>362</v>
      </c>
      <c r="C153" s="108"/>
    </row>
    <row r="154" spans="1:3" ht="12" customHeight="1">
      <c r="A154" s="45" t="s">
        <v>218</v>
      </c>
      <c r="B154" s="111" t="s">
        <v>363</v>
      </c>
      <c r="C154" s="108"/>
    </row>
    <row r="155" spans="1:3" ht="12" customHeight="1">
      <c r="A155" s="45" t="s">
        <v>364</v>
      </c>
      <c r="B155" s="111" t="s">
        <v>365</v>
      </c>
      <c r="C155" s="108"/>
    </row>
    <row r="156" spans="1:3" ht="12" customHeight="1">
      <c r="A156" s="41" t="s">
        <v>220</v>
      </c>
      <c r="B156" s="42" t="s">
        <v>366</v>
      </c>
      <c r="C156" s="116"/>
    </row>
    <row r="157" spans="1:3" ht="12" customHeight="1">
      <c r="A157" s="41" t="s">
        <v>367</v>
      </c>
      <c r="B157" s="42" t="s">
        <v>368</v>
      </c>
      <c r="C157" s="116"/>
    </row>
    <row r="158" spans="1:9" ht="15" customHeight="1">
      <c r="A158" s="41" t="s">
        <v>369</v>
      </c>
      <c r="B158" s="42" t="s">
        <v>370</v>
      </c>
      <c r="C158" s="115">
        <f>+C134+C138+C145+C150+C156+C157</f>
        <v>0</v>
      </c>
      <c r="F158" s="117"/>
      <c r="G158" s="118"/>
      <c r="H158" s="118"/>
      <c r="I158" s="118"/>
    </row>
    <row r="159" spans="1:3" s="44" customFormat="1" ht="17.25" customHeight="1">
      <c r="A159" s="119" t="s">
        <v>371</v>
      </c>
      <c r="B159" s="120" t="s">
        <v>372</v>
      </c>
      <c r="C159" s="115">
        <f>+C133+C158</f>
        <v>0</v>
      </c>
    </row>
    <row r="160" spans="1:3" ht="15.75" customHeight="1">
      <c r="A160" s="40"/>
      <c r="B160" s="40"/>
      <c r="C160" s="122">
        <f>C92-C159</f>
        <v>0</v>
      </c>
    </row>
    <row r="161" spans="1:3" ht="15.75">
      <c r="A161" s="739" t="s">
        <v>373</v>
      </c>
      <c r="B161" s="739"/>
      <c r="C161" s="739"/>
    </row>
    <row r="162" spans="1:3" ht="15" customHeight="1">
      <c r="A162" s="733" t="s">
        <v>374</v>
      </c>
      <c r="B162" s="733"/>
      <c r="C162" s="124" t="str">
        <f>C95</f>
        <v>Forintban!</v>
      </c>
    </row>
    <row r="163" spans="1:4" ht="13.5" customHeight="1">
      <c r="A163" s="41">
        <v>1</v>
      </c>
      <c r="B163" s="125" t="s">
        <v>375</v>
      </c>
      <c r="C163" s="43">
        <f>+C67-C133</f>
        <v>0</v>
      </c>
      <c r="D163" s="126"/>
    </row>
    <row r="164" spans="1:3" ht="27.75" customHeight="1">
      <c r="A164" s="41" t="s">
        <v>130</v>
      </c>
      <c r="B164" s="125" t="s">
        <v>376</v>
      </c>
      <c r="C164" s="43">
        <f>+C91-C158</f>
        <v>0</v>
      </c>
    </row>
  </sheetData>
  <sheetProtection sheet="1"/>
  <mergeCells count="7">
    <mergeCell ref="A162:B162"/>
    <mergeCell ref="B1:C1"/>
    <mergeCell ref="A6:C6"/>
    <mergeCell ref="A7:B7"/>
    <mergeCell ref="A94:C94"/>
    <mergeCell ref="A95:B95"/>
    <mergeCell ref="A161:C161"/>
  </mergeCells>
  <printOptions horizontalCentered="1"/>
  <pageMargins left="0.6694444444444444" right="0.6694444444444444" top="0.8659722222222223" bottom="0.8659722222222223" header="0.5118055555555555" footer="0.5118055555555555"/>
  <pageSetup horizontalDpi="300" verticalDpi="300" orientation="portrait" paperSize="9" scale="74"/>
  <rowBreaks count="2" manualBreakCount="2">
    <brk id="67" max="255" man="1"/>
    <brk id="144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A1:F33"/>
  <sheetViews>
    <sheetView zoomScale="120" zoomScaleNormal="120" zoomScaleSheetLayoutView="100" zoomScalePageLayoutView="0" workbookViewId="0" topLeftCell="A1">
      <selection activeCell="B1" sqref="B1"/>
    </sheetView>
  </sheetViews>
  <sheetFormatPr defaultColWidth="9.00390625" defaultRowHeight="12.75"/>
  <cols>
    <col min="1" max="1" width="6.875" style="127" customWidth="1"/>
    <col min="2" max="2" width="55.125" style="128" customWidth="1"/>
    <col min="3" max="3" width="16.375" style="127" customWidth="1"/>
    <col min="4" max="4" width="55.125" style="127" customWidth="1"/>
    <col min="5" max="5" width="16.375" style="127" customWidth="1"/>
    <col min="6" max="6" width="4.875" style="127" customWidth="1"/>
    <col min="7" max="16384" width="9.375" style="127" customWidth="1"/>
  </cols>
  <sheetData>
    <row r="1" spans="2:6" ht="39.75" customHeight="1">
      <c r="B1" s="741" t="s">
        <v>381</v>
      </c>
      <c r="C1" s="741"/>
      <c r="D1" s="741"/>
      <c r="E1" s="741"/>
      <c r="F1" s="742" t="str">
        <f>CONCATENATE("2.1. melléklet ",ALAPADATOK!A7," ",ALAPADATOK!B7," ",ALAPADATOK!C7," ",ALAPADATOK!D7," ",ALAPADATOK!E7," ",ALAPADATOK!F7," ",ALAPADATOK!G7," ",ALAPADATOK!H7)</f>
        <v>2.1. melléklet a … / 2019 ( … ) önkormányzati rendelethez</v>
      </c>
    </row>
    <row r="2" spans="5:6" ht="12.75">
      <c r="E2" s="129" t="str">
        <f>CONCATENATE('KV_1.1.sz.mell.'!C7)</f>
        <v>Forintban!</v>
      </c>
      <c r="F2" s="742"/>
    </row>
    <row r="3" spans="1:6" ht="18" customHeight="1">
      <c r="A3" s="743" t="s">
        <v>112</v>
      </c>
      <c r="B3" s="744" t="s">
        <v>382</v>
      </c>
      <c r="C3" s="744"/>
      <c r="D3" s="743" t="s">
        <v>383</v>
      </c>
      <c r="E3" s="743"/>
      <c r="F3" s="742"/>
    </row>
    <row r="4" spans="1:6" s="133" customFormat="1" ht="35.25" customHeight="1">
      <c r="A4" s="743"/>
      <c r="B4" s="130" t="s">
        <v>384</v>
      </c>
      <c r="C4" s="131" t="str">
        <f>+'KV_1.1.sz.mell.'!C8</f>
        <v>2019. évi előirányzat</v>
      </c>
      <c r="D4" s="130" t="s">
        <v>384</v>
      </c>
      <c r="E4" s="132" t="str">
        <f>+C4</f>
        <v>2019. évi előirányzat</v>
      </c>
      <c r="F4" s="742"/>
    </row>
    <row r="5" spans="1:6" s="138" customFormat="1" ht="12" customHeight="1">
      <c r="A5" s="134"/>
      <c r="B5" s="135" t="s">
        <v>114</v>
      </c>
      <c r="C5" s="136" t="s">
        <v>115</v>
      </c>
      <c r="D5" s="135" t="s">
        <v>385</v>
      </c>
      <c r="E5" s="137" t="s">
        <v>386</v>
      </c>
      <c r="F5" s="742"/>
    </row>
    <row r="6" spans="1:6" ht="12.75" customHeight="1">
      <c r="A6" s="139" t="s">
        <v>116</v>
      </c>
      <c r="B6" s="140" t="s">
        <v>387</v>
      </c>
      <c r="C6" s="141">
        <v>413947518</v>
      </c>
      <c r="D6" s="140" t="s">
        <v>388</v>
      </c>
      <c r="E6" s="142">
        <v>316868319</v>
      </c>
      <c r="F6" s="742"/>
    </row>
    <row r="7" spans="1:6" ht="12.75" customHeight="1">
      <c r="A7" s="143" t="s">
        <v>130</v>
      </c>
      <c r="B7" s="144" t="s">
        <v>389</v>
      </c>
      <c r="C7" s="145">
        <v>22781887</v>
      </c>
      <c r="D7" s="144" t="s">
        <v>287</v>
      </c>
      <c r="E7" s="146">
        <v>58142518</v>
      </c>
      <c r="F7" s="742"/>
    </row>
    <row r="8" spans="1:6" ht="12.75" customHeight="1">
      <c r="A8" s="143" t="s">
        <v>144</v>
      </c>
      <c r="B8" s="144" t="s">
        <v>390</v>
      </c>
      <c r="C8" s="145">
        <v>3139296</v>
      </c>
      <c r="D8" s="144" t="s">
        <v>391</v>
      </c>
      <c r="E8" s="146">
        <v>233405483</v>
      </c>
      <c r="F8" s="742"/>
    </row>
    <row r="9" spans="1:6" ht="12.75" customHeight="1">
      <c r="A9" s="143" t="s">
        <v>341</v>
      </c>
      <c r="B9" s="144" t="s">
        <v>392</v>
      </c>
      <c r="C9" s="145">
        <v>60000000</v>
      </c>
      <c r="D9" s="144" t="s">
        <v>289</v>
      </c>
      <c r="E9" s="146">
        <v>26630000</v>
      </c>
      <c r="F9" s="742"/>
    </row>
    <row r="10" spans="1:6" ht="12.75" customHeight="1">
      <c r="A10" s="143" t="s">
        <v>174</v>
      </c>
      <c r="B10" s="147" t="s">
        <v>393</v>
      </c>
      <c r="C10" s="145">
        <v>100476086</v>
      </c>
      <c r="D10" s="144" t="s">
        <v>291</v>
      </c>
      <c r="E10" s="146">
        <v>11166498</v>
      </c>
      <c r="F10" s="742"/>
    </row>
    <row r="11" spans="1:6" ht="12.75" customHeight="1">
      <c r="A11" s="143" t="s">
        <v>198</v>
      </c>
      <c r="B11" s="144" t="s">
        <v>394</v>
      </c>
      <c r="C11" s="148"/>
      <c r="D11" s="144" t="s">
        <v>316</v>
      </c>
      <c r="E11" s="146">
        <v>5000000</v>
      </c>
      <c r="F11" s="742"/>
    </row>
    <row r="12" spans="1:6" ht="12.75" customHeight="1">
      <c r="A12" s="143" t="s">
        <v>358</v>
      </c>
      <c r="B12" s="144" t="s">
        <v>395</v>
      </c>
      <c r="C12" s="145"/>
      <c r="D12" s="149"/>
      <c r="E12" s="146"/>
      <c r="F12" s="742"/>
    </row>
    <row r="13" spans="1:6" ht="12.75" customHeight="1">
      <c r="A13" s="143" t="s">
        <v>220</v>
      </c>
      <c r="B13" s="149"/>
      <c r="C13" s="145"/>
      <c r="D13" s="149"/>
      <c r="E13" s="146"/>
      <c r="F13" s="742"/>
    </row>
    <row r="14" spans="1:6" ht="12.75" customHeight="1">
      <c r="A14" s="143" t="s">
        <v>367</v>
      </c>
      <c r="B14" s="150"/>
      <c r="C14" s="148"/>
      <c r="D14" s="149"/>
      <c r="E14" s="146"/>
      <c r="F14" s="742"/>
    </row>
    <row r="15" spans="1:6" ht="12.75" customHeight="1">
      <c r="A15" s="143" t="s">
        <v>369</v>
      </c>
      <c r="B15" s="149"/>
      <c r="C15" s="145"/>
      <c r="D15" s="149"/>
      <c r="E15" s="146"/>
      <c r="F15" s="742"/>
    </row>
    <row r="16" spans="1:6" ht="12.75" customHeight="1">
      <c r="A16" s="143" t="s">
        <v>371</v>
      </c>
      <c r="B16" s="149"/>
      <c r="C16" s="145"/>
      <c r="D16" s="149"/>
      <c r="E16" s="146"/>
      <c r="F16" s="742"/>
    </row>
    <row r="17" spans="1:6" ht="12.75" customHeight="1">
      <c r="A17" s="143" t="s">
        <v>396</v>
      </c>
      <c r="B17" s="151"/>
      <c r="C17" s="152"/>
      <c r="D17" s="149"/>
      <c r="E17" s="153"/>
      <c r="F17" s="742"/>
    </row>
    <row r="18" spans="1:6" ht="15.75" customHeight="1">
      <c r="A18" s="154" t="s">
        <v>397</v>
      </c>
      <c r="B18" s="155" t="s">
        <v>398</v>
      </c>
      <c r="C18" s="156">
        <f>C6+C7+C9+C10+C11+C13+C14+C15+C16+C17</f>
        <v>597205491</v>
      </c>
      <c r="D18" s="155" t="s">
        <v>399</v>
      </c>
      <c r="E18" s="157">
        <f>SUM(E6:E17)</f>
        <v>651212818</v>
      </c>
      <c r="F18" s="742"/>
    </row>
    <row r="19" spans="1:6" ht="12.75" customHeight="1">
      <c r="A19" s="158" t="s">
        <v>400</v>
      </c>
      <c r="B19" s="159" t="s">
        <v>401</v>
      </c>
      <c r="C19" s="160">
        <f>+C20+C21+C22+C23</f>
        <v>69397358</v>
      </c>
      <c r="D19" s="144" t="s">
        <v>402</v>
      </c>
      <c r="E19" s="161"/>
      <c r="F19" s="742"/>
    </row>
    <row r="20" spans="1:6" ht="12.75" customHeight="1">
      <c r="A20" s="143" t="s">
        <v>403</v>
      </c>
      <c r="B20" s="144" t="s">
        <v>404</v>
      </c>
      <c r="C20" s="145">
        <v>69397358</v>
      </c>
      <c r="D20" s="144" t="s">
        <v>405</v>
      </c>
      <c r="E20" s="146"/>
      <c r="F20" s="742"/>
    </row>
    <row r="21" spans="1:6" ht="12.75" customHeight="1">
      <c r="A21" s="143" t="s">
        <v>406</v>
      </c>
      <c r="B21" s="144" t="s">
        <v>407</v>
      </c>
      <c r="C21" s="145"/>
      <c r="D21" s="144" t="s">
        <v>408</v>
      </c>
      <c r="E21" s="146"/>
      <c r="F21" s="742"/>
    </row>
    <row r="22" spans="1:6" ht="12.75" customHeight="1">
      <c r="A22" s="143" t="s">
        <v>409</v>
      </c>
      <c r="B22" s="144" t="s">
        <v>410</v>
      </c>
      <c r="C22" s="145"/>
      <c r="D22" s="144" t="s">
        <v>411</v>
      </c>
      <c r="E22" s="146"/>
      <c r="F22" s="742"/>
    </row>
    <row r="23" spans="1:6" ht="12.75" customHeight="1">
      <c r="A23" s="143" t="s">
        <v>412</v>
      </c>
      <c r="B23" s="162" t="s">
        <v>413</v>
      </c>
      <c r="C23" s="145"/>
      <c r="D23" s="159" t="s">
        <v>414</v>
      </c>
      <c r="E23" s="146"/>
      <c r="F23" s="742"/>
    </row>
    <row r="24" spans="1:6" ht="12.75" customHeight="1">
      <c r="A24" s="143" t="s">
        <v>415</v>
      </c>
      <c r="B24" s="144" t="s">
        <v>416</v>
      </c>
      <c r="C24" s="163">
        <f>+C25+C26</f>
        <v>0</v>
      </c>
      <c r="D24" s="144" t="s">
        <v>417</v>
      </c>
      <c r="E24" s="146"/>
      <c r="F24" s="742"/>
    </row>
    <row r="25" spans="1:6" ht="12.75" customHeight="1">
      <c r="A25" s="158" t="s">
        <v>418</v>
      </c>
      <c r="B25" s="159" t="s">
        <v>419</v>
      </c>
      <c r="C25" s="164"/>
      <c r="D25" s="140" t="s">
        <v>356</v>
      </c>
      <c r="E25" s="161"/>
      <c r="F25" s="742"/>
    </row>
    <row r="26" spans="1:6" ht="12.75" customHeight="1">
      <c r="A26" s="143" t="s">
        <v>420</v>
      </c>
      <c r="B26" s="162" t="s">
        <v>421</v>
      </c>
      <c r="C26" s="145"/>
      <c r="D26" s="144" t="s">
        <v>366</v>
      </c>
      <c r="E26" s="146"/>
      <c r="F26" s="742"/>
    </row>
    <row r="27" spans="1:6" ht="12.75" customHeight="1">
      <c r="A27" s="143" t="s">
        <v>422</v>
      </c>
      <c r="B27" s="144" t="s">
        <v>275</v>
      </c>
      <c r="C27" s="145"/>
      <c r="D27" s="144" t="s">
        <v>368</v>
      </c>
      <c r="E27" s="146"/>
      <c r="F27" s="742"/>
    </row>
    <row r="28" spans="1:6" ht="12.75" customHeight="1">
      <c r="A28" s="158" t="s">
        <v>423</v>
      </c>
      <c r="B28" s="159" t="s">
        <v>277</v>
      </c>
      <c r="C28" s="164"/>
      <c r="D28" s="165" t="s">
        <v>355</v>
      </c>
      <c r="E28" s="161">
        <v>15390031</v>
      </c>
      <c r="F28" s="742"/>
    </row>
    <row r="29" spans="1:6" ht="15.75" customHeight="1">
      <c r="A29" s="154" t="s">
        <v>424</v>
      </c>
      <c r="B29" s="155" t="s">
        <v>425</v>
      </c>
      <c r="C29" s="156">
        <f>+C19+C24+C27+C28</f>
        <v>69397358</v>
      </c>
      <c r="D29" s="155" t="s">
        <v>426</v>
      </c>
      <c r="E29" s="157">
        <f>SUM(E19:E28)</f>
        <v>15390031</v>
      </c>
      <c r="F29" s="742"/>
    </row>
    <row r="30" spans="1:6" ht="12.75">
      <c r="A30" s="154" t="s">
        <v>427</v>
      </c>
      <c r="B30" s="166" t="s">
        <v>428</v>
      </c>
      <c r="C30" s="167">
        <f>+C18+C29</f>
        <v>666602849</v>
      </c>
      <c r="D30" s="166" t="s">
        <v>429</v>
      </c>
      <c r="E30" s="167">
        <f>+E18+E29</f>
        <v>666602849</v>
      </c>
      <c r="F30" s="742"/>
    </row>
    <row r="31" spans="1:6" ht="12.75">
      <c r="A31" s="154" t="s">
        <v>430</v>
      </c>
      <c r="B31" s="166" t="s">
        <v>431</v>
      </c>
      <c r="C31" s="167">
        <f>IF(C18-E18&lt;0,E18-C18,"-")</f>
        <v>54007327</v>
      </c>
      <c r="D31" s="166" t="s">
        <v>432</v>
      </c>
      <c r="E31" s="167" t="str">
        <f>IF(C18-E18&gt;0,C18-E18,"-")</f>
        <v>-</v>
      </c>
      <c r="F31" s="742"/>
    </row>
    <row r="32" spans="1:6" ht="12.75">
      <c r="A32" s="154" t="s">
        <v>433</v>
      </c>
      <c r="B32" s="166" t="s">
        <v>434</v>
      </c>
      <c r="C32" s="167" t="str">
        <f>IF(C30-E30&lt;0,E30-C30,"-")</f>
        <v>-</v>
      </c>
      <c r="D32" s="166" t="s">
        <v>435</v>
      </c>
      <c r="E32" s="167" t="str">
        <f>IF(C30-E30&gt;0,C30-E30,"-")</f>
        <v>-</v>
      </c>
      <c r="F32" s="742"/>
    </row>
    <row r="33" spans="2:4" ht="18.75">
      <c r="B33" s="740"/>
      <c r="C33" s="740"/>
      <c r="D33" s="740"/>
    </row>
  </sheetData>
  <sheetProtection sheet="1"/>
  <mergeCells count="6">
    <mergeCell ref="B33:D33"/>
    <mergeCell ref="B1:E1"/>
    <mergeCell ref="F1:F32"/>
    <mergeCell ref="A3:A4"/>
    <mergeCell ref="B3:C3"/>
    <mergeCell ref="D3:E3"/>
  </mergeCells>
  <printOptions horizontalCentered="1"/>
  <pageMargins left="0.2361111111111111" right="0.2361111111111111" top="0.7486111111111111" bottom="0.5513888888888889" header="0.31527777777777777" footer="0.5118055555555555"/>
  <pageSetup horizontalDpi="300" verticalDpi="300" orientation="landscape" paperSize="9"/>
  <headerFooter alignWithMargins="0">
    <oddHeader xml:space="preserve">&amp;R&amp;"Times New Roman CE,Félkövér dőlt"&amp;11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1:F33"/>
  <sheetViews>
    <sheetView zoomScale="120" zoomScaleNormal="120" zoomScaleSheetLayoutView="115" zoomScalePageLayoutView="0" workbookViewId="0" topLeftCell="A1">
      <selection activeCell="C20" sqref="C20"/>
    </sheetView>
  </sheetViews>
  <sheetFormatPr defaultColWidth="9.00390625" defaultRowHeight="12.75"/>
  <cols>
    <col min="1" max="1" width="6.875" style="127" customWidth="1"/>
    <col min="2" max="2" width="55.125" style="128" customWidth="1"/>
    <col min="3" max="3" width="16.375" style="127" customWidth="1"/>
    <col min="4" max="4" width="55.125" style="127" customWidth="1"/>
    <col min="5" max="5" width="16.375" style="127" customWidth="1"/>
    <col min="6" max="6" width="4.875" style="127" customWidth="1"/>
    <col min="7" max="16384" width="9.375" style="127" customWidth="1"/>
  </cols>
  <sheetData>
    <row r="1" spans="2:6" ht="12.75" customHeight="1">
      <c r="B1" s="741" t="s">
        <v>436</v>
      </c>
      <c r="C1" s="741"/>
      <c r="D1" s="741"/>
      <c r="E1" s="741"/>
      <c r="F1" s="742" t="str">
        <f>CONCATENATE("2.2. melléklet ",ALAPADATOK!A7," ",ALAPADATOK!B7," ",ALAPADATOK!C7," ",ALAPADATOK!D7," ",ALAPADATOK!E7," ",ALAPADATOK!F7," ",ALAPADATOK!G7," ",ALAPADATOK!H7)</f>
        <v>2.2. melléklet a … / 2019 ( … ) önkormányzati rendelethez</v>
      </c>
    </row>
    <row r="2" spans="5:6" ht="12.75">
      <c r="E2" s="168" t="str">
        <f>CONCATENATE('KV_1.1.sz.mell.'!C7)</f>
        <v>Forintban!</v>
      </c>
      <c r="F2" s="742"/>
    </row>
    <row r="3" spans="1:6" ht="13.5" customHeight="1">
      <c r="A3" s="743" t="s">
        <v>112</v>
      </c>
      <c r="B3" s="744" t="s">
        <v>382</v>
      </c>
      <c r="C3" s="744"/>
      <c r="D3" s="743" t="s">
        <v>383</v>
      </c>
      <c r="E3" s="743"/>
      <c r="F3" s="742"/>
    </row>
    <row r="4" spans="1:6" s="133" customFormat="1" ht="24">
      <c r="A4" s="743"/>
      <c r="B4" s="130" t="s">
        <v>384</v>
      </c>
      <c r="C4" s="131" t="str">
        <f>+'KV_2.1.sz.mell.'!C4</f>
        <v>2019. évi előirányzat</v>
      </c>
      <c r="D4" s="130" t="s">
        <v>384</v>
      </c>
      <c r="E4" s="132" t="str">
        <f>+'KV_2.1.sz.mell.'!C4</f>
        <v>2019. évi előirányzat</v>
      </c>
      <c r="F4" s="742"/>
    </row>
    <row r="5" spans="1:6" s="133" customFormat="1" ht="12.75">
      <c r="A5" s="134"/>
      <c r="B5" s="135" t="s">
        <v>114</v>
      </c>
      <c r="C5" s="136" t="s">
        <v>115</v>
      </c>
      <c r="D5" s="135" t="s">
        <v>385</v>
      </c>
      <c r="E5" s="137" t="s">
        <v>386</v>
      </c>
      <c r="F5" s="742"/>
    </row>
    <row r="6" spans="1:6" ht="12.75" customHeight="1">
      <c r="A6" s="139" t="s">
        <v>116</v>
      </c>
      <c r="B6" s="140" t="s">
        <v>437</v>
      </c>
      <c r="C6" s="141">
        <v>8856290</v>
      </c>
      <c r="D6" s="140" t="s">
        <v>322</v>
      </c>
      <c r="E6" s="142">
        <v>28013862</v>
      </c>
      <c r="F6" s="742"/>
    </row>
    <row r="7" spans="1:6" ht="12.75">
      <c r="A7" s="143" t="s">
        <v>130</v>
      </c>
      <c r="B7" s="144" t="s">
        <v>438</v>
      </c>
      <c r="C7" s="145"/>
      <c r="D7" s="144" t="s">
        <v>439</v>
      </c>
      <c r="E7" s="146"/>
      <c r="F7" s="742"/>
    </row>
    <row r="8" spans="1:6" ht="12.75" customHeight="1">
      <c r="A8" s="143" t="s">
        <v>144</v>
      </c>
      <c r="B8" s="144" t="s">
        <v>440</v>
      </c>
      <c r="C8" s="145"/>
      <c r="D8" s="144" t="s">
        <v>324</v>
      </c>
      <c r="E8" s="146">
        <v>155763832</v>
      </c>
      <c r="F8" s="742"/>
    </row>
    <row r="9" spans="1:6" ht="12.75" customHeight="1">
      <c r="A9" s="143" t="s">
        <v>341</v>
      </c>
      <c r="B9" s="144" t="s">
        <v>441</v>
      </c>
      <c r="C9" s="145">
        <v>13000000</v>
      </c>
      <c r="D9" s="144" t="s">
        <v>442</v>
      </c>
      <c r="E9" s="146">
        <v>120091212</v>
      </c>
      <c r="F9" s="742"/>
    </row>
    <row r="10" spans="1:6" ht="12.75" customHeight="1">
      <c r="A10" s="143" t="s">
        <v>174</v>
      </c>
      <c r="B10" s="144" t="s">
        <v>443</v>
      </c>
      <c r="C10" s="145"/>
      <c r="D10" s="144" t="s">
        <v>444</v>
      </c>
      <c r="E10" s="146">
        <v>6800000</v>
      </c>
      <c r="F10" s="742"/>
    </row>
    <row r="11" spans="1:6" ht="12.75" customHeight="1">
      <c r="A11" s="143" t="s">
        <v>198</v>
      </c>
      <c r="B11" s="144" t="s">
        <v>445</v>
      </c>
      <c r="C11" s="148"/>
      <c r="D11" s="169"/>
      <c r="E11" s="146"/>
      <c r="F11" s="742"/>
    </row>
    <row r="12" spans="1:6" ht="12.75" customHeight="1">
      <c r="A12" s="143" t="s">
        <v>358</v>
      </c>
      <c r="B12" s="149"/>
      <c r="C12" s="145"/>
      <c r="D12" s="169"/>
      <c r="E12" s="146"/>
      <c r="F12" s="742"/>
    </row>
    <row r="13" spans="1:6" ht="12.75" customHeight="1">
      <c r="A13" s="143" t="s">
        <v>220</v>
      </c>
      <c r="B13" s="149"/>
      <c r="C13" s="145"/>
      <c r="D13" s="169"/>
      <c r="E13" s="146"/>
      <c r="F13" s="742"/>
    </row>
    <row r="14" spans="1:6" ht="12.75" customHeight="1">
      <c r="A14" s="143" t="s">
        <v>367</v>
      </c>
      <c r="B14" s="170"/>
      <c r="C14" s="148"/>
      <c r="D14" s="169"/>
      <c r="E14" s="146"/>
      <c r="F14" s="742"/>
    </row>
    <row r="15" spans="1:6" ht="12.75">
      <c r="A15" s="143" t="s">
        <v>369</v>
      </c>
      <c r="B15" s="149"/>
      <c r="C15" s="148"/>
      <c r="D15" s="169"/>
      <c r="E15" s="146"/>
      <c r="F15" s="742"/>
    </row>
    <row r="16" spans="1:6" ht="12.75" customHeight="1">
      <c r="A16" s="158" t="s">
        <v>371</v>
      </c>
      <c r="B16" s="165"/>
      <c r="C16" s="171"/>
      <c r="D16" s="159" t="s">
        <v>316</v>
      </c>
      <c r="E16" s="161">
        <v>15000000</v>
      </c>
      <c r="F16" s="742"/>
    </row>
    <row r="17" spans="1:6" ht="15.75" customHeight="1">
      <c r="A17" s="154" t="s">
        <v>396</v>
      </c>
      <c r="B17" s="155" t="s">
        <v>446</v>
      </c>
      <c r="C17" s="156">
        <f>+C6+C8+C9+C11+C12+C13+C14+C15+C16</f>
        <v>21856290</v>
      </c>
      <c r="D17" s="155" t="s">
        <v>447</v>
      </c>
      <c r="E17" s="157">
        <f>+E6+E8+E10+E11+E12+E13+E14+E15+E16</f>
        <v>205577694</v>
      </c>
      <c r="F17" s="742"/>
    </row>
    <row r="18" spans="1:6" ht="12.75" customHeight="1">
      <c r="A18" s="139" t="s">
        <v>397</v>
      </c>
      <c r="B18" s="172" t="s">
        <v>448</v>
      </c>
      <c r="C18" s="173">
        <f>SUM(C19:C23)</f>
        <v>183721404</v>
      </c>
      <c r="D18" s="144" t="s">
        <v>402</v>
      </c>
      <c r="E18" s="142"/>
      <c r="F18" s="742"/>
    </row>
    <row r="19" spans="1:6" ht="12.75" customHeight="1">
      <c r="A19" s="143" t="s">
        <v>400</v>
      </c>
      <c r="B19" s="162" t="s">
        <v>449</v>
      </c>
      <c r="C19" s="145">
        <v>183721404</v>
      </c>
      <c r="D19" s="144" t="s">
        <v>450</v>
      </c>
      <c r="E19" s="146"/>
      <c r="F19" s="742"/>
    </row>
    <row r="20" spans="1:6" ht="12.75" customHeight="1">
      <c r="A20" s="139" t="s">
        <v>403</v>
      </c>
      <c r="B20" s="162" t="s">
        <v>451</v>
      </c>
      <c r="C20" s="145"/>
      <c r="D20" s="144" t="s">
        <v>408</v>
      </c>
      <c r="E20" s="146"/>
      <c r="F20" s="742"/>
    </row>
    <row r="21" spans="1:6" ht="12.75" customHeight="1">
      <c r="A21" s="143" t="s">
        <v>406</v>
      </c>
      <c r="B21" s="162" t="s">
        <v>452</v>
      </c>
      <c r="C21" s="145"/>
      <c r="D21" s="144" t="s">
        <v>411</v>
      </c>
      <c r="E21" s="146"/>
      <c r="F21" s="742"/>
    </row>
    <row r="22" spans="1:6" ht="12.75" customHeight="1">
      <c r="A22" s="139" t="s">
        <v>409</v>
      </c>
      <c r="B22" s="162" t="s">
        <v>413</v>
      </c>
      <c r="C22" s="145"/>
      <c r="D22" s="159" t="s">
        <v>414</v>
      </c>
      <c r="E22" s="146"/>
      <c r="F22" s="742"/>
    </row>
    <row r="23" spans="1:6" ht="12.75" customHeight="1">
      <c r="A23" s="143" t="s">
        <v>412</v>
      </c>
      <c r="B23" s="174" t="s">
        <v>453</v>
      </c>
      <c r="C23" s="145"/>
      <c r="D23" s="144" t="s">
        <v>454</v>
      </c>
      <c r="E23" s="146"/>
      <c r="F23" s="742"/>
    </row>
    <row r="24" spans="1:6" ht="12.75" customHeight="1">
      <c r="A24" s="139" t="s">
        <v>415</v>
      </c>
      <c r="B24" s="175" t="s">
        <v>455</v>
      </c>
      <c r="C24" s="163">
        <f>+C25+C26+C27+C28+C29</f>
        <v>0</v>
      </c>
      <c r="D24" s="140" t="s">
        <v>456</v>
      </c>
      <c r="E24" s="146"/>
      <c r="F24" s="742"/>
    </row>
    <row r="25" spans="1:6" ht="12.75" customHeight="1">
      <c r="A25" s="143" t="s">
        <v>418</v>
      </c>
      <c r="B25" s="174" t="s">
        <v>457</v>
      </c>
      <c r="C25" s="145"/>
      <c r="D25" s="140" t="s">
        <v>357</v>
      </c>
      <c r="E25" s="146"/>
      <c r="F25" s="742"/>
    </row>
    <row r="26" spans="1:6" ht="12.75" customHeight="1">
      <c r="A26" s="139" t="s">
        <v>420</v>
      </c>
      <c r="B26" s="174" t="s">
        <v>458</v>
      </c>
      <c r="C26" s="145"/>
      <c r="D26" s="176"/>
      <c r="E26" s="146"/>
      <c r="F26" s="742"/>
    </row>
    <row r="27" spans="1:6" ht="12.75" customHeight="1">
      <c r="A27" s="143" t="s">
        <v>422</v>
      </c>
      <c r="B27" s="162" t="s">
        <v>459</v>
      </c>
      <c r="C27" s="145"/>
      <c r="D27" s="176"/>
      <c r="E27" s="146"/>
      <c r="F27" s="742"/>
    </row>
    <row r="28" spans="1:6" ht="12.75" customHeight="1">
      <c r="A28" s="139" t="s">
        <v>423</v>
      </c>
      <c r="B28" s="177" t="s">
        <v>460</v>
      </c>
      <c r="C28" s="145"/>
      <c r="D28" s="149"/>
      <c r="E28" s="146"/>
      <c r="F28" s="742"/>
    </row>
    <row r="29" spans="1:6" ht="12.75" customHeight="1">
      <c r="A29" s="143" t="s">
        <v>424</v>
      </c>
      <c r="B29" s="178" t="s">
        <v>461</v>
      </c>
      <c r="C29" s="145"/>
      <c r="D29" s="176"/>
      <c r="E29" s="146"/>
      <c r="F29" s="742"/>
    </row>
    <row r="30" spans="1:6" ht="21.75" customHeight="1">
      <c r="A30" s="154" t="s">
        <v>427</v>
      </c>
      <c r="B30" s="155" t="s">
        <v>462</v>
      </c>
      <c r="C30" s="156">
        <f>+C18+C24</f>
        <v>183721404</v>
      </c>
      <c r="D30" s="155" t="s">
        <v>463</v>
      </c>
      <c r="E30" s="157">
        <f>SUM(E18:E29)</f>
        <v>0</v>
      </c>
      <c r="F30" s="742"/>
    </row>
    <row r="31" spans="1:6" ht="12.75">
      <c r="A31" s="154" t="s">
        <v>430</v>
      </c>
      <c r="B31" s="166" t="s">
        <v>464</v>
      </c>
      <c r="C31" s="167">
        <f>+C17+C30</f>
        <v>205577694</v>
      </c>
      <c r="D31" s="166" t="s">
        <v>465</v>
      </c>
      <c r="E31" s="167">
        <f>+E17+E30</f>
        <v>205577694</v>
      </c>
      <c r="F31" s="742"/>
    </row>
    <row r="32" spans="1:6" ht="12.75">
      <c r="A32" s="154" t="s">
        <v>433</v>
      </c>
      <c r="B32" s="166" t="s">
        <v>431</v>
      </c>
      <c r="C32" s="167">
        <f>IF(C17-E17&lt;0,E17-C17,"-")</f>
        <v>183721404</v>
      </c>
      <c r="D32" s="166" t="s">
        <v>432</v>
      </c>
      <c r="E32" s="167" t="str">
        <f>IF(C17-E17&gt;0,C17-E17,"-")</f>
        <v>-</v>
      </c>
      <c r="F32" s="742"/>
    </row>
    <row r="33" spans="1:6" ht="12.75">
      <c r="A33" s="154" t="s">
        <v>466</v>
      </c>
      <c r="B33" s="166" t="s">
        <v>434</v>
      </c>
      <c r="C33" s="167" t="str">
        <f>IF(C31-E31&lt;0,E31-C31,"-")</f>
        <v>-</v>
      </c>
      <c r="D33" s="166" t="s">
        <v>435</v>
      </c>
      <c r="E33" s="167" t="str">
        <f>IF(C31-E31&gt;0,C31-E31,"-")</f>
        <v>-</v>
      </c>
      <c r="F33" s="742"/>
    </row>
  </sheetData>
  <sheetProtection selectLockedCells="1" selectUnlockedCells="1"/>
  <mergeCells count="5">
    <mergeCell ref="B1:E1"/>
    <mergeCell ref="F1:F33"/>
    <mergeCell ref="A3:A4"/>
    <mergeCell ref="B3:C3"/>
    <mergeCell ref="D3:E3"/>
  </mergeCells>
  <printOptions horizontalCentered="1"/>
  <pageMargins left="0.7875" right="0.7875" top="0.4722222222222222" bottom="0.5902777777777778" header="0.5118055555555555" footer="0.5118055555555555"/>
  <pageSetup horizontalDpi="300" verticalDpi="300" orientation="landscape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asPc4</dc:creator>
  <cp:keywords/>
  <dc:description/>
  <cp:lastModifiedBy>asPc6</cp:lastModifiedBy>
  <dcterms:created xsi:type="dcterms:W3CDTF">2019-02-15T08:32:55Z</dcterms:created>
  <dcterms:modified xsi:type="dcterms:W3CDTF">2019-05-31T07:38:28Z</dcterms:modified>
  <cp:category/>
  <cp:version/>
  <cp:contentType/>
  <cp:contentStatus/>
</cp:coreProperties>
</file>