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35" tabRatio="895" activeTab="0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 Óvoda, Kult. kiad. feladat" sheetId="5" r:id="rId5"/>
    <sheet name="6. kiadások megbontása" sheetId="6" r:id="rId6"/>
    <sheet name="7. források sz. bontás" sheetId="7" r:id="rId7"/>
    <sheet name="8. létszámok" sheetId="8" r:id="rId8"/>
    <sheet name="9.felhki" sheetId="9" r:id="rId9"/>
    <sheet name="10.tart" sheetId="10" r:id="rId10"/>
    <sheet name="11.normatívák" sheetId="11" r:id="rId11"/>
    <sheet name="12. EU projektek" sheetId="12" r:id="rId12"/>
    <sheet name="Munka1" sheetId="13" r:id="rId13"/>
  </sheets>
  <externalReferences>
    <externalReference r:id="rId16"/>
  </externalReferences>
  <definedNames>
    <definedName name="_xlnm.Print_Titles" localSheetId="0">'1. bevételek'!$5:$6</definedName>
    <definedName name="_xlnm.Print_Titles" localSheetId="9">'10.tart'!$7:$7</definedName>
    <definedName name="_xlnm.Print_Titles" localSheetId="11">'12.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 létszámok'!$7:$7</definedName>
    <definedName name="_xlnm.Print_Area" localSheetId="0">'1. bevételek'!$A$1:$J$126</definedName>
    <definedName name="_xlnm.Print_Area" localSheetId="10">'11.normatívák'!$A$1:$L$48</definedName>
    <definedName name="_xlnm.Print_Area" localSheetId="1">'2. kiadások '!$A$1:$J$76</definedName>
    <definedName name="_xlnm.Print_Area" localSheetId="3">'4.önkorm.kiad.feladat'!$D$1:$V$49</definedName>
    <definedName name="_xlnm.Print_Area" localSheetId="4">'5. Óvoda, Kult. kiad. feladat'!$A$1:$K$35</definedName>
    <definedName name="_xlnm.Print_Area" localSheetId="5">'6. kiadások megbontása'!$A$1:$M$80</definedName>
    <definedName name="_xlnm.Print_Area" localSheetId="6">'7. források sz. bontás'!$A$1:$AC$60</definedName>
    <definedName name="_xlnm.Print_Area" localSheetId="7">'8. létszámok'!$A$1:$M$100</definedName>
    <definedName name="_xlnm.Print_Area" localSheetId="8">'9.felhki'!$A$1:$D$5</definedName>
  </definedNames>
  <calcPr fullCalcOnLoad="1"/>
</workbook>
</file>

<file path=xl/sharedStrings.xml><?xml version="1.0" encoding="utf-8"?>
<sst xmlns="http://schemas.openxmlformats.org/spreadsheetml/2006/main" count="1851" uniqueCount="1095">
  <si>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</si>
  <si>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</si>
  <si>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</si>
  <si>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</si>
  <si>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</si>
  <si>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</si>
  <si>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</si>
  <si>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</si>
  <si>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</si>
  <si>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</si>
  <si>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</si>
  <si>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</si>
  <si>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</si>
  <si>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</si>
  <si>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</si>
  <si>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</si>
  <si>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</si>
  <si>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</si>
  <si>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</si>
  <si>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</si>
  <si>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</si>
  <si>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</si>
  <si>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</si>
  <si>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</si>
  <si>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</si>
  <si>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</si>
  <si>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</si>
  <si>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</si>
  <si>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</si>
  <si>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</si>
  <si>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</si>
  <si>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</si>
  <si>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</si>
  <si>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</si>
  <si>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</si>
  <si>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</si>
  <si>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</si>
  <si>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</si>
  <si>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</si>
  <si>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</si>
  <si>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</si>
  <si>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</si>
  <si>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</si>
  <si>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</si>
  <si>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</si>
  <si>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</si>
  <si>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</si>
  <si>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</si>
  <si>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</si>
  <si>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</si>
  <si>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</si>
  <si>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</si>
  <si>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</si>
  <si>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</si>
  <si>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</si>
  <si>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</si>
  <si>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</si>
  <si>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</si>
  <si>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</si>
  <si>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</si>
  <si>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</si>
  <si>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</si>
  <si>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</si>
  <si>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</si>
  <si>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</si>
  <si>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</si>
  <si>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</si>
  <si>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</si>
  <si>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</si>
  <si>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</si>
  <si>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</si>
  <si>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</si>
  <si>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</si>
  <si>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</si>
  <si>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</si>
  <si>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</si>
  <si>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</si>
  <si>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</si>
  <si>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</si>
  <si>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</si>
  <si>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</si>
  <si>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</si>
  <si>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</si>
  <si>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</si>
  <si>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</si>
  <si>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</si>
  <si>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</si>
  <si>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</si>
  <si>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</si>
  <si>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</si>
  <si>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</si>
  <si>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Ingatlan, termőföld értékesítés</t>
  </si>
  <si>
    <t>Állami feladat kiadása</t>
  </si>
  <si>
    <t>Központi ktgv.-i támogatás össz.:</t>
  </si>
  <si>
    <t>Átvett pénzeszköz összesen:</t>
  </si>
  <si>
    <t>Saját bevétel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</si>
  <si>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</si>
  <si>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</si>
  <si>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</si>
  <si>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</si>
  <si>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</si>
  <si>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</si>
  <si>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</si>
  <si>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</si>
  <si>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</si>
  <si>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</si>
  <si>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</si>
  <si>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</si>
  <si>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</si>
  <si>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Felhalmozás célú támogatás államháztartáson kívülre</t>
  </si>
  <si>
    <t>2.1. Helyi adók és adójellegű bevételek</t>
  </si>
  <si>
    <t>A települési önkormányzatok egyes köznevelési feladatainak támogatása</t>
  </si>
  <si>
    <t>Óvodapedagógusok, és az óvodapedagógusok nevelő munkáját közvetlenül segítők bértámogatása</t>
  </si>
  <si>
    <t>III.5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</si>
  <si>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</si>
  <si>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</si>
  <si>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</si>
  <si>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</si>
  <si>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</si>
  <si>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</si>
  <si>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</si>
  <si>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</si>
  <si>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</si>
  <si>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</si>
  <si>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</si>
  <si>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</si>
  <si>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</si>
  <si>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</si>
  <si>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</si>
  <si>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</si>
  <si>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</si>
  <si>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</si>
  <si>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</si>
  <si>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</si>
  <si>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</si>
  <si>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</si>
  <si>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</si>
  <si>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</si>
  <si>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</si>
  <si>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</si>
  <si>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</si>
  <si>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</si>
  <si>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</si>
  <si>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</si>
  <si>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</si>
  <si>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</si>
  <si>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</si>
  <si>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</si>
  <si>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</si>
  <si>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</si>
  <si>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</si>
  <si>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</si>
  <si>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</si>
  <si>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</si>
  <si>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</si>
  <si>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</si>
  <si>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</si>
  <si>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</si>
  <si>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</si>
  <si>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</si>
  <si>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</si>
  <si>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</si>
  <si>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</si>
  <si>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</si>
  <si>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</si>
  <si>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</si>
  <si>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</si>
  <si>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</si>
  <si>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</si>
  <si>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</si>
  <si>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</si>
  <si>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</si>
  <si>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</si>
  <si>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</si>
  <si>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</si>
  <si>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</si>
  <si>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</si>
  <si>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</si>
  <si>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</si>
  <si>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</si>
  <si>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</si>
  <si>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</si>
  <si>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</si>
  <si>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</si>
  <si>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</si>
  <si>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</si>
  <si>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</si>
  <si>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</si>
  <si>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</si>
  <si>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</si>
  <si>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</si>
  <si>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</si>
  <si>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</si>
  <si>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</si>
  <si>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</si>
  <si>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</si>
  <si>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</si>
  <si>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</si>
  <si>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</si>
  <si>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</si>
  <si>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</si>
  <si>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</si>
  <si>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</si>
  <si>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</si>
  <si>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</si>
  <si>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</si>
  <si>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</si>
  <si>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</si>
  <si>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</si>
  <si>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</si>
  <si>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</si>
  <si>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</si>
  <si>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</si>
  <si>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</si>
  <si>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</si>
  <si>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</si>
  <si>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</si>
  <si>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</si>
  <si>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</si>
  <si>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</si>
  <si>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</si>
  <si>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</si>
  <si>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</si>
  <si>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</si>
  <si>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</si>
  <si>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</si>
  <si>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</si>
  <si>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</si>
  <si>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</si>
  <si>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</si>
  <si>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</si>
  <si>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</si>
  <si>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</si>
  <si>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</si>
  <si>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</si>
  <si>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</si>
  <si>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</si>
  <si>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</si>
  <si>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</si>
  <si>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</si>
  <si>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</si>
  <si>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</si>
  <si>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</si>
  <si>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</si>
  <si>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</si>
  <si>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</si>
  <si>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</si>
  <si>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</si>
  <si>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</si>
  <si>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</si>
  <si>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</si>
  <si>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</si>
  <si>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</si>
  <si>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</si>
  <si>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</si>
  <si>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</si>
  <si>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</si>
  <si>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</si>
  <si>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</si>
  <si>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</si>
  <si>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</si>
  <si>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</si>
  <si>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</si>
  <si>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</si>
  <si>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</si>
  <si>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</si>
  <si>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</si>
  <si>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</si>
  <si>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</si>
  <si>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</si>
  <si>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</si>
  <si>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</si>
  <si>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</si>
  <si>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</si>
  <si>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</si>
  <si>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</si>
  <si>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</si>
  <si>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</si>
  <si>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</si>
  <si>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</si>
  <si>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</si>
  <si>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</si>
  <si>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</si>
  <si>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</si>
  <si>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</si>
  <si>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</si>
  <si>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</si>
  <si>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</si>
  <si>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</si>
  <si>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</si>
  <si>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</si>
  <si>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</si>
  <si>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</si>
  <si>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</si>
  <si>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</si>
  <si>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</si>
  <si>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</si>
  <si>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</si>
  <si>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</si>
  <si>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</si>
  <si>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</si>
  <si>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</si>
  <si>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</si>
  <si>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</si>
  <si>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</si>
  <si>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</si>
  <si>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</si>
  <si>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</si>
  <si>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</si>
  <si>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</si>
  <si>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</si>
  <si>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</si>
  <si>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</si>
  <si>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</si>
  <si>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</si>
  <si>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</si>
  <si>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</si>
  <si>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</si>
  <si>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</si>
  <si>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</si>
  <si>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</si>
  <si>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</si>
  <si>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</si>
  <si>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</si>
  <si>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</si>
  <si>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</si>
  <si>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</si>
  <si>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</si>
  <si>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</si>
  <si>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</si>
  <si>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</si>
  <si>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</si>
  <si>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</si>
  <si>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</si>
  <si>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</si>
  <si>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</si>
  <si>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</si>
  <si>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</si>
  <si>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</si>
  <si>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</si>
  <si>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</si>
  <si>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</si>
  <si>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</si>
  <si>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</si>
  <si>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</si>
  <si>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</si>
  <si>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</si>
  <si>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</si>
  <si>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</si>
  <si>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</si>
  <si>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</si>
  <si>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</si>
  <si>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</si>
  <si>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</si>
  <si>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</si>
  <si>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</si>
  <si>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</si>
  <si>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</si>
  <si>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Közfoglalkoztatás 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</si>
  <si>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</si>
  <si>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</si>
  <si>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</si>
  <si>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</si>
  <si>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</si>
  <si>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</si>
  <si>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</si>
  <si>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</si>
  <si>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</si>
  <si>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</si>
  <si>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</si>
  <si>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</si>
  <si>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Céltartalék (felhalmozási)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</si>
  <si>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</si>
  <si>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</si>
  <si>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</si>
  <si>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</si>
  <si>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</si>
  <si>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</si>
  <si>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</si>
  <si>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</si>
  <si>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</si>
  <si>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</si>
  <si>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</si>
  <si>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</si>
  <si>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</si>
  <si>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</si>
  <si>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</si>
  <si>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</si>
  <si>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</si>
  <si>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</si>
  <si>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</si>
  <si>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</si>
  <si>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</si>
  <si>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</si>
  <si>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</si>
  <si>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</si>
  <si>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</si>
  <si>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</si>
  <si>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</si>
  <si>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</si>
  <si>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</si>
  <si>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</si>
  <si>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</si>
  <si>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</si>
  <si>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</si>
  <si>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</si>
  <si>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</si>
  <si>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</si>
  <si>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</si>
  <si>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</si>
  <si>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</si>
  <si>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</si>
  <si>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</si>
  <si>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</si>
  <si>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</si>
  <si>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</si>
  <si>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</si>
  <si>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</si>
  <si>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</si>
  <si>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</si>
  <si>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</si>
  <si>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</si>
  <si>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</si>
  <si>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</si>
  <si>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</si>
  <si>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</si>
  <si>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 xml:space="preserve">- Köztisztviselők                      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</si>
  <si>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</si>
  <si>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</si>
  <si>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</si>
  <si>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</si>
  <si>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</si>
  <si>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</si>
  <si>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</si>
  <si>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</si>
  <si>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</si>
  <si>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</si>
  <si>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</si>
  <si>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</si>
  <si>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</si>
  <si>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</si>
  <si>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</si>
  <si>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</si>
  <si>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</si>
  <si>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</si>
  <si>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</si>
  <si>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</si>
  <si>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</si>
  <si>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</si>
  <si>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</si>
  <si>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</si>
  <si>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</si>
  <si>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</si>
  <si>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</si>
  <si>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</si>
  <si>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</si>
  <si>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</si>
  <si>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</si>
  <si>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</si>
  <si>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</si>
  <si>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</si>
  <si>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</si>
  <si>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</si>
  <si>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</si>
  <si>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</si>
  <si>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</si>
  <si>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</si>
  <si>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</si>
  <si>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</si>
  <si>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</si>
  <si>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 xml:space="preserve">fajlagos Ft </t>
  </si>
  <si>
    <t>Önkormányzati hivatal működésének támogatása</t>
  </si>
  <si>
    <t>II.1</t>
  </si>
  <si>
    <t>Óvodapedagógusok bértámogatása</t>
  </si>
  <si>
    <t>II.2</t>
  </si>
  <si>
    <t>Óvodaműködtetési támogatás</t>
  </si>
  <si>
    <t>III.1</t>
  </si>
  <si>
    <t>III.2</t>
  </si>
  <si>
    <t>Egyes szociális és gyermekjóléti feladatok támogatása</t>
  </si>
  <si>
    <t xml:space="preserve">Helyi önkormányzatok működésének általános támogatása </t>
  </si>
  <si>
    <t>összeg Ft</t>
  </si>
  <si>
    <t>Ell.szám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</si>
  <si>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</si>
  <si>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</si>
  <si>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</si>
  <si>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</si>
  <si>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</si>
  <si>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</si>
  <si>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</si>
  <si>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</si>
  <si>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</si>
  <si>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</si>
  <si>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</si>
  <si>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</si>
  <si>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</si>
  <si>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</si>
  <si>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</si>
  <si>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</si>
  <si>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</si>
  <si>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</si>
  <si>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</si>
  <si>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</si>
  <si>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</si>
  <si>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</si>
  <si>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</si>
  <si>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</si>
  <si>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</si>
  <si>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</si>
  <si>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</si>
  <si>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</si>
  <si>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</si>
  <si>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Tűzoltóság BM támogatása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</si>
  <si>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</si>
  <si>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</si>
  <si>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</si>
  <si>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</si>
  <si>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</si>
  <si>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</si>
  <si>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</si>
  <si>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</si>
  <si>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</si>
  <si>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</si>
  <si>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</si>
  <si>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</si>
  <si>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</si>
  <si>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</si>
  <si>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</si>
  <si>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II.4</t>
  </si>
  <si>
    <t>Kiegészítő támogatás az óvodapedagógusok minősítéséből adódó többletkiadásokhoz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</si>
  <si>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</si>
  <si>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</si>
  <si>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</si>
  <si>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</si>
  <si>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</si>
  <si>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</si>
  <si>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</si>
  <si>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</si>
  <si>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</si>
  <si>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</si>
  <si>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</si>
  <si>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</si>
  <si>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</si>
  <si>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</si>
  <si>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</si>
  <si>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</si>
  <si>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</si>
  <si>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</si>
  <si>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</si>
  <si>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</si>
  <si>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</si>
  <si>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</si>
  <si>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</si>
  <si>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</si>
  <si>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</si>
  <si>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</si>
  <si>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</si>
  <si>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</si>
  <si>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</si>
  <si>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</si>
  <si>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</si>
  <si>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</si>
  <si>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</si>
  <si>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</si>
  <si>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</si>
  <si>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</si>
  <si>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</si>
  <si>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</si>
  <si>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</si>
  <si>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</si>
  <si>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</si>
  <si>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</si>
  <si>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</si>
  <si>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</si>
  <si>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</si>
  <si>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</si>
  <si>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</si>
  <si>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</si>
  <si>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</si>
  <si>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</si>
  <si>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Család- és Gyermekjóléti Központ</t>
  </si>
  <si>
    <t>Pedagógus szakképzettséggel nem rendelkező, óvodapedagógusok nevelő munkáját közvetlenül segítők bértámogatása</t>
  </si>
  <si>
    <t>Család- és gyermekjóléti szolgálat</t>
  </si>
  <si>
    <t>Család- és gyermekjóléti központ</t>
  </si>
  <si>
    <t>III.3.b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</si>
  <si>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</si>
  <si>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</si>
  <si>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</si>
  <si>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</si>
  <si>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</si>
  <si>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</si>
  <si>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</si>
  <si>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</si>
  <si>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</si>
  <si>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</si>
  <si>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</si>
  <si>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</si>
  <si>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</si>
  <si>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</si>
  <si>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</si>
  <si>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</si>
  <si>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</si>
  <si>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települési támogatás (Szoc. tv. 45.§)</t>
  </si>
  <si>
    <t>Önkormányzati bérlakások felújítása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</si>
  <si>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</si>
  <si>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</si>
  <si>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</si>
  <si>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</si>
  <si>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</si>
  <si>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</si>
  <si>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Gyvt. 40/A. §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</si>
  <si>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</si>
  <si>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</si>
  <si>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</si>
  <si>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- Pedagógiai asszisztens</t>
  </si>
  <si>
    <t xml:space="preserve">- Óvodai dajka </t>
  </si>
  <si>
    <t>- Óvodatitkár</t>
  </si>
  <si>
    <t>- Szakmai vezető</t>
  </si>
  <si>
    <t>- Családsegítő</t>
  </si>
  <si>
    <t xml:space="preserve">Nyitnikék Gyerekház </t>
  </si>
  <si>
    <t>- Polgármester</t>
  </si>
  <si>
    <t>- Főállású alpolgármester</t>
  </si>
  <si>
    <t>összeg  Ft</t>
  </si>
  <si>
    <t xml:space="preserve">II.4 a (1) </t>
  </si>
  <si>
    <t xml:space="preserve">II.4 a (2) </t>
  </si>
  <si>
    <t xml:space="preserve">Általános tartalék </t>
  </si>
  <si>
    <t>Általános tartalék (működési)</t>
  </si>
  <si>
    <t>adatok Ft-ban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</si>
  <si>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</si>
  <si>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</si>
  <si>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</si>
  <si>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</si>
  <si>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</si>
  <si>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</si>
  <si>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</si>
  <si>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</si>
  <si>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</si>
  <si>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</si>
  <si>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</si>
  <si>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</si>
  <si>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</si>
  <si>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</si>
  <si>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</si>
  <si>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</si>
  <si>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</si>
  <si>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</si>
  <si>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</si>
  <si>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</si>
  <si>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</si>
  <si>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</si>
  <si>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</si>
  <si>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</si>
  <si>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</si>
  <si>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</si>
  <si>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</si>
  <si>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</si>
  <si>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</si>
  <si>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</si>
  <si>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</si>
  <si>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</si>
  <si>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</si>
  <si>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</si>
  <si>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</si>
  <si>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</si>
  <si>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</si>
  <si>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</si>
  <si>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</si>
  <si>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</si>
  <si>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</si>
  <si>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</si>
  <si>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</si>
  <si>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</si>
  <si>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</si>
  <si>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</si>
  <si>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</si>
  <si>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</si>
  <si>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</si>
  <si>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</si>
  <si>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</si>
  <si>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</si>
  <si>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</si>
  <si>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</si>
  <si>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</si>
  <si>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</si>
  <si>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</si>
  <si>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</si>
  <si>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</si>
  <si>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</si>
  <si>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</si>
  <si>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</si>
  <si>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</si>
  <si>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</si>
  <si>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</si>
  <si>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</si>
  <si>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</si>
  <si>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</si>
  <si>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</si>
  <si>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</si>
  <si>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</si>
  <si>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</si>
  <si>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</si>
  <si>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</si>
  <si>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</si>
  <si>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</si>
  <si>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</si>
  <si>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</si>
  <si>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Mötv. 13.§ (1) 2.</t>
  </si>
  <si>
    <t>Mötv. 13.§ (1) 11.</t>
  </si>
  <si>
    <t>Mötv. 13.§ (1) 19.</t>
  </si>
  <si>
    <t>Mötv. 13.§ (1) 5., 19.</t>
  </si>
  <si>
    <t xml:space="preserve">Mötv. 13.§ (1) 4.,  Eü tv. 5.§ (1) </t>
  </si>
  <si>
    <t>Mötv. 13.§ (1) 15.</t>
  </si>
  <si>
    <t>Mötv. 13.§ (1) 7., Közműv. tv. 64.§ (1)</t>
  </si>
  <si>
    <t>Mötv. 13.§ (1) 7., Közműv. tv. 73.§ (2)</t>
  </si>
  <si>
    <t>Szoc. tv. 86.§ (1) b,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</si>
  <si>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</si>
  <si>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</si>
  <si>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</si>
  <si>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</si>
  <si>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</si>
  <si>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</si>
  <si>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</si>
  <si>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</si>
  <si>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</si>
  <si>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</si>
  <si>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</si>
  <si>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>- Szakmai munkatárs</t>
  </si>
  <si>
    <t>Felhalmozási célú maradvány igénybevétele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</si>
  <si>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</si>
  <si>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</si>
  <si>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</si>
  <si>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</si>
  <si>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</si>
  <si>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</si>
  <si>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</si>
  <si>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</si>
  <si>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</si>
  <si>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I.5.</t>
  </si>
  <si>
    <t>Polgármesteri illetmény támogatása</t>
  </si>
  <si>
    <t>II.1 (1)1,2</t>
  </si>
  <si>
    <t>II.1 (2)1,2</t>
  </si>
  <si>
    <t>Bölcsőde, minibölcsőde támogatása</t>
  </si>
  <si>
    <t>Felsőfokú végzettségű kisgyermeknevelők, szaktanácsadók bértámogatása</t>
  </si>
  <si>
    <t>Bölcsődei dajkák, középfokú végzettségű kisgyermeknevelők, szaktanácsadók bértámogatása</t>
  </si>
  <si>
    <t>Bölcsőde üzemeltetési támogatás</t>
  </si>
  <si>
    <t>Étkeztetési feladatot ellátók után járó bértámogatás</t>
  </si>
  <si>
    <t>A rászoruló gyermekek szünidei étkeztetésének támogatása</t>
  </si>
  <si>
    <t>Gyermeklánc Óvoda és Bölcsőde, Család- és Gyermekjóléti Központ</t>
  </si>
  <si>
    <t>Bölcsődei csoport</t>
  </si>
  <si>
    <t>Felsőfokú végzettségű kisgyermeknevelő</t>
  </si>
  <si>
    <t>Középfokú végzettségű kisgyermeknevelő</t>
  </si>
  <si>
    <t>Bölcsődei dajka</t>
  </si>
  <si>
    <t>Gyermekház vezető</t>
  </si>
  <si>
    <t>Szakmai munkatárs</t>
  </si>
  <si>
    <t>- MT hatálya alá tartozó munkavállaló</t>
  </si>
  <si>
    <t>Önkormányzati tisztségviselők</t>
  </si>
  <si>
    <t>Igazgatási tevékenység</t>
  </si>
  <si>
    <t>- Szociális segítő</t>
  </si>
  <si>
    <t>- Közfoglalkoztatási ügyintéző</t>
  </si>
  <si>
    <t>Gyermekétkeztetés</t>
  </si>
  <si>
    <t xml:space="preserve">- Könyvtáros                      </t>
  </si>
  <si>
    <t xml:space="preserve">5.1. Elvonások és befizetések 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</si>
  <si>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</si>
  <si>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</si>
  <si>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</si>
  <si>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</si>
  <si>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</si>
  <si>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900090</t>
  </si>
  <si>
    <t>041232</t>
  </si>
  <si>
    <t>041233</t>
  </si>
  <si>
    <t>Közművelődés- hagyományos közösségi kult. értékek gondozása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</si>
  <si>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</si>
  <si>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</si>
  <si>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</si>
  <si>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</si>
  <si>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Imre Z. Kult. K. és Könyvtár</t>
  </si>
  <si>
    <t>Bölcsőde támogatása</t>
  </si>
  <si>
    <t>Köztemetés kiadásának megtérítése</t>
  </si>
  <si>
    <t>Könyvtári szolgáltatások ellenértéke</t>
  </si>
  <si>
    <t>Közművelődési szolgáltatások ellenértéke</t>
  </si>
  <si>
    <t xml:space="preserve">Támogatási szerződés szerinti bevételek, kiadások  (Ft)     </t>
  </si>
  <si>
    <t>évenkénti üteme</t>
  </si>
  <si>
    <t>Saját erő</t>
  </si>
  <si>
    <t>EU-s és hazai forrás együtt</t>
  </si>
  <si>
    <t>Források összesen</t>
  </si>
  <si>
    <t>Beruházási kiadások (elszámolható)</t>
  </si>
  <si>
    <t>Dologi kiadások (elszámolható)</t>
  </si>
  <si>
    <t xml:space="preserve">Saját erő </t>
  </si>
  <si>
    <t>Bér+járulék kiadások (elszámolható)</t>
  </si>
  <si>
    <t>Iparterület fejlesztése Jánoshalmán (TOP-1.1.1-15-BK1-2016-00006)</t>
  </si>
  <si>
    <t>Beruházási kiadások (nem elszámolható)</t>
  </si>
  <si>
    <t>Felújítási kiadások (elszámolható)</t>
  </si>
  <si>
    <t>Felújítási kiadások (nem elszámolható)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</si>
  <si>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</si>
  <si>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</si>
  <si>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</si>
  <si>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</si>
  <si>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</si>
  <si>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</si>
  <si>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</si>
  <si>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</si>
  <si>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</si>
  <si>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</si>
  <si>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- Gazdasági ügyintéző (térítési díjak beszedése, étkezők nyilvántartása)</t>
  </si>
  <si>
    <t>Településüzemeltetéshez kapcsolódó feladatellátás alaptámogatása</t>
  </si>
  <si>
    <t>A zöldterület-gazdálkodással kapcsolatos feladatok ellátásának alaptámogatása</t>
  </si>
  <si>
    <t>Közvilágítás fenntartásának alaptámogatása</t>
  </si>
  <si>
    <t>Köztemető-fenntartással kapcsolatos feladatok alaptámogatása</t>
  </si>
  <si>
    <t>Közutak fenntartásának alaptámogatása</t>
  </si>
  <si>
    <t>III.5.aa</t>
  </si>
  <si>
    <t>III.5.ab</t>
  </si>
  <si>
    <t>Egyéb önkormányzati feladatok támogatása (beszámítás után)</t>
  </si>
  <si>
    <t>Óvodai és iskolai szociális segítő tevékenység támogatása</t>
  </si>
  <si>
    <t>Egyéb műk. c. támogatások államháztartáson belülre</t>
  </si>
  <si>
    <t>5.3. Egyéb műk. célú támogatások államh.-on belülre</t>
  </si>
  <si>
    <t>5.4. Egyéb műk. célú támogatások államh.-on kívülre</t>
  </si>
  <si>
    <t>5.5. Tartalékok</t>
  </si>
  <si>
    <t xml:space="preserve">EFOP-3.3.2-16-2016-00284 "Kultúrával az oktatás színesítéséért" projekt </t>
  </si>
  <si>
    <t>Óvodai nevelés</t>
  </si>
  <si>
    <t xml:space="preserve">EFOP-3.9.2-16-2017-00057 "Járásokat összekötő humán kapacitások fejlesztése térségi szemléletben" c. projekt </t>
  </si>
  <si>
    <t>EFOP-1.5.3-16-2017-00082 "Együtt vagyunk, otthon vagyunk és itt maradunk" c. projekt - 2 fő alkalmazása a Család- és Gyermekjóléti Szolgálatnál</t>
  </si>
  <si>
    <t>Műk. célú tám. ÁH-on belülre</t>
  </si>
  <si>
    <t>Szektorhoz nem köthető komplex gazdaságfejlesztési projektek</t>
  </si>
  <si>
    <t>Szennyvízcsatorna építése, fenntartása, üzemeltetése</t>
  </si>
  <si>
    <t>Környezetszennyezés csökkentésének igazgatása</t>
  </si>
  <si>
    <t>Településfejlesztési projektek és támogatásuk</t>
  </si>
  <si>
    <t>Üdülői szálláshely-szolgálttás és étkeztetés</t>
  </si>
  <si>
    <t>Közművelődés- közösségi és társadalmi részvétel fejlesztése</t>
  </si>
  <si>
    <t>Óvodai nevelés, ellátás működtetési feladatai</t>
  </si>
  <si>
    <t>Iskolarendszeren kívüli egyéb oktatás, képzés</t>
  </si>
  <si>
    <t>107052</t>
  </si>
  <si>
    <t>Házi segítségnyújtás</t>
  </si>
  <si>
    <t>107080</t>
  </si>
  <si>
    <t>Esélyegyenlőség elősegítését célzó tevékenységek és programok</t>
  </si>
  <si>
    <t>36</t>
  </si>
  <si>
    <t>37</t>
  </si>
  <si>
    <t>38</t>
  </si>
  <si>
    <t>39</t>
  </si>
  <si>
    <t>40</t>
  </si>
  <si>
    <t>41</t>
  </si>
  <si>
    <t>047450</t>
  </si>
  <si>
    <t>053010</t>
  </si>
  <si>
    <t>062020</t>
  </si>
  <si>
    <t>082061</t>
  </si>
  <si>
    <t>082091</t>
  </si>
  <si>
    <t>095020</t>
  </si>
  <si>
    <t>Q</t>
  </si>
  <si>
    <t>Csatorna beruházáshoz kapcsolódó visszatérítés (háztartásoknak, vállalkozásoknak)</t>
  </si>
  <si>
    <t>TOP-3.2.1-16-BK1-2017-00059 "Jánoshalma Polgármesteri Hivatal energetikai rendszerek korszerűsítése" c. projekt kiadásai</t>
  </si>
  <si>
    <t>TOP-1.1.1-15-BK1-2016-00006 - "Iparterület fejlesztése Jánoshalmán" c. projekt kiadásai</t>
  </si>
  <si>
    <t>TOP-1.1.2-16-BK1 -2017-00005 "Jánoshalma térségi szerepének erősítése a mezőgazdaságban" c. projekt kiadásai</t>
  </si>
  <si>
    <t>TOP-1.1.3-16-BK1 -2017-00007  "Agrárlogisztikai központ építése Jánoshalmán c. projekt kiadásai</t>
  </si>
  <si>
    <t>TOP-2.1.3-16-BK1 -2017 - 00010  "Jánoshalma belvíz elvezetése I. ütem" c. projekt kiadásai</t>
  </si>
  <si>
    <t>EFOP-1.5.3-16-2017-00082  "Együtt vagyunk, otthon vagyunk és itt maradunk" c. projekt felújítási kiadásai</t>
  </si>
  <si>
    <t>Üdülői szálláshely szolgáltatás és étkeztetés</t>
  </si>
  <si>
    <t>Közművelődés-közösségi és társadalmi részvétel fejlesztése</t>
  </si>
  <si>
    <t>Szoc. tv. 86.§ (1) c,</t>
  </si>
  <si>
    <t xml:space="preserve">Óvodai nevelés, ellátás </t>
  </si>
  <si>
    <t>Intézményi gyermekétkeztetési feladatok támogatása (bölcsődei étkeztetés)</t>
  </si>
  <si>
    <t>Startmunka programok műk. c. támogatása</t>
  </si>
  <si>
    <t>Hosszabb időtartamú közfogl. műk. c.  tám.</t>
  </si>
  <si>
    <t>EFOP-3.3.2-16-2016-00284 "Kulturával az oktatás színesítéséért"pr.műk. c.támogatása</t>
  </si>
  <si>
    <t>EFOP-3.3.2-16-2016-00284 "Kulturával az oktatás színesítéséért"pr. felh. c.  támogatása</t>
  </si>
  <si>
    <t>Integrált térségi gyermekprogramok  - "Együtt könnyebb" komplex prevenciós és társadalmi felzárkóztató program a gyermekszegénység ellen (EFOP-1.4.2-16-2016-00020)</t>
  </si>
  <si>
    <t>"Együtt vagyunk, otthon vagyunk és itt maradunk" c. projekt (EFOP-1.5.3-16-2017-00082)</t>
  </si>
  <si>
    <t xml:space="preserve">"Járásokat összekötő humán kapacitások fejlesztése térségi szemléletben" c. projekt (EFOP-3.9.2-16-2017-00057) </t>
  </si>
  <si>
    <t>Támogatás (elszámolható)</t>
  </si>
  <si>
    <t xml:space="preserve">"Kulturával az oktatás színesítéséért" c. projekt (EFOP-3.3.2-16-2016-00284) </t>
  </si>
  <si>
    <t>Jánoshalma térségi szerepének erősítése a mg-ban (TOP-1.1.2-16-BK1-2017-00005)</t>
  </si>
  <si>
    <t>Agrárlogisztikai központ építése Jánoshalmán (TOP-1.1.3-16-BK1-2017-00007)</t>
  </si>
  <si>
    <t>Zöld tér felújítása Jánoshalmán (TOP-2.1.2-16-BK1-2017-00003)</t>
  </si>
  <si>
    <t>Jánoshalma belvíz elvezetése I. ütem (TOP-2.1.3-16-BK1-2017-00010)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</si>
  <si>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</si>
  <si>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</si>
  <si>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Bér+járulék kiadások (elszámolható) Polgármesteri Hivatalnál</t>
  </si>
  <si>
    <t>Bér+járulék kiadások (elszámolható) Gyermekjóléti Szolgálatnál</t>
  </si>
  <si>
    <t>EFOP-1.4.2-16-2016-00020 "Együtt könnyebb" komplex prevenciós és társadalmi felzárkóztató program a gyermekszegénység ellen (GYEP-II.)</t>
  </si>
  <si>
    <t>- Szakterületi koordinátor  / és Coach (1 fő napi 4 órában/ heti 20 órában)</t>
  </si>
  <si>
    <t>EFOP-1.5.3-16-2017-00082 "Együtt vagyunk, otthon vagyunk és itt maradunk" projekt</t>
  </si>
  <si>
    <t>TOP-5.3.1-16-BK1-2017-00015 "Együtt a közösségeinkért" projekt</t>
  </si>
  <si>
    <t>EFOP-3.9.2-16-2017-00057 "Járásokat összekötő humán kapacitások fejlesztése térségi szemléletben" projekt</t>
  </si>
  <si>
    <t>EFOP-3.3.2-16-2016-00284 "Kultúrával az oktatás színesítéséért" projekt</t>
  </si>
  <si>
    <t>A települési önkormányzatok szociális feladatainak egyéb támogatása</t>
  </si>
  <si>
    <t>- Önkormányzati EFOP-1.5.3-16-2017-00082 projekt 2 fő prevenciós munkatárs</t>
  </si>
  <si>
    <t xml:space="preserve">- Szakterületi koordinátor </t>
  </si>
  <si>
    <t>Gyermeklánc Óvoda és Bölcsőde, Család- és Gyermekjóléti Központ  összesen:</t>
  </si>
  <si>
    <t>Működési célú tartalék - elektronikus közbeszerzés rendszerhasználati díja</t>
  </si>
  <si>
    <t>Céltartalék -elektr. közbesz. rendszer- haszn. díja</t>
  </si>
  <si>
    <t>utak használata ellenében beszedett használati díj, pótdíj, elektr. útdíj</t>
  </si>
  <si>
    <t>Jánoshalma Városi Önkormányzat és költségvetési szervei 2020. évi költségvetésének bevételi előirányzatai</t>
  </si>
  <si>
    <t>Jánoshalma Városi Önkormányzat és költségvetési szervei 2020. évi költségvetésének kiadási előirányzatai</t>
  </si>
  <si>
    <t>Jánoshalma Város Önkormányzat 2020. évi költségvetése működési és felhalmozási célú bontásban</t>
  </si>
  <si>
    <t>Jánoshalma Városi Önkormányzat  2020. évi költségvetési kiadásai feladatonként</t>
  </si>
  <si>
    <t>Út, autópálya építése</t>
  </si>
  <si>
    <t>Telepszerű lakókörnyezetek felszámolását célzó programok</t>
  </si>
  <si>
    <t>A helyi önkormányzat által irányított költségvetési szervek 2020. évi költségvetési kiadásai feladatonként</t>
  </si>
  <si>
    <t>EFOP-3.9.2-16-2017-00057 "Járásokat összekötő humán kapacitások fejlesztése térségi szemléletben" projekt - 3 fő többletfeladat ellátása</t>
  </si>
  <si>
    <t>EFOP-1.5.3-16-2017-00082 "Járásokat összekötő humán kapacitások fejlesztése térségi szemléletben" projekt - 3 fő többletfeladat ellátása</t>
  </si>
  <si>
    <t>Óvoda fenntartási kiadások</t>
  </si>
  <si>
    <t>Kiemelt állami és önkormányzai rendezvények</t>
  </si>
  <si>
    <t>21. Egészségügyi ellátás</t>
  </si>
  <si>
    <t>- Óvodapedagógus - teljes munkaidős</t>
  </si>
  <si>
    <t>- Óvodapedagógus - részmunkaidős (2 fő napi 4 órában)</t>
  </si>
  <si>
    <t>Szociális jellegű program - programelem</t>
  </si>
  <si>
    <t>Hosszabb időtartamú közfoglalkoztatás (2019. évről áthúzódó programok 2020.02.29-ig)</t>
  </si>
  <si>
    <t xml:space="preserve">48 fő álláskereső közfoglalkoztatása </t>
  </si>
  <si>
    <t xml:space="preserve">- Szakmai asszisztens </t>
  </si>
  <si>
    <t xml:space="preserve">- Intézményvezető                </t>
  </si>
  <si>
    <t>- Ügyviteli munkatárs</t>
  </si>
  <si>
    <t>- Üzemviteli munkatárs</t>
  </si>
  <si>
    <t>- MT hatálya alá tartozó munkavállaló (takarítónő)</t>
  </si>
  <si>
    <t>Jánoshalma Városi Önkormányzat 2020. évi költségvetésében tervezett köponti költségvetési támogatások</t>
  </si>
  <si>
    <t>Alapfokú végzettségű pedagógus II. kategóriába sorolt óvodapedagógusok kiegészítő támogatása, akik a minősítést 209.01.01-ig szerezték meg</t>
  </si>
  <si>
    <t>Alapfokú végzettségű pedagógus II. kategóriába sorolt óvodapedagógusok kiegészítő támogatása, akik a minősítést a 2020. január 1-jei átsorolással szerezték meg</t>
  </si>
  <si>
    <t>Alapfokú végzettségű mesterpedagógus kategóriába sorolt óvodapedagógusok kiegészítő támogatása, akik a minősítést 2019.01.01-ig szerezték meg</t>
  </si>
  <si>
    <t>Alapfokú végzettségű mesterpedagógus kategóriába sorolt óvodapedagógusok kiegészítő támogatása, akik a minősítést a 2020. január 1-jei átsorolással szerezték meg</t>
  </si>
  <si>
    <t xml:space="preserve">III.2.a </t>
  </si>
  <si>
    <t>III.2.b</t>
  </si>
  <si>
    <t>III.2.n</t>
  </si>
  <si>
    <t xml:space="preserve">III.3. </t>
  </si>
  <si>
    <t>III.3. a (1)</t>
  </si>
  <si>
    <t>III.3. a (2)</t>
  </si>
  <si>
    <t>IV.b</t>
  </si>
  <si>
    <t>Környezetvédelmi alap a 2020. évre tervezett talajterhelési díj bevételből</t>
  </si>
  <si>
    <t>Elektronikus közbeszerzési eljárás során fizetendő rendszerhasználati díj (5 projektekben nem elszámolható ktg. 40.000 Ft/projekt)</t>
  </si>
  <si>
    <t>2020. évi felhalmozási kiadások feladatonként, felújítási kiadások célonként</t>
  </si>
  <si>
    <t>Szennyvíz átemelő szivattyú csere</t>
  </si>
  <si>
    <t>Viziközművek fejlesztése a viziközművek 2020. évi bérleti díj bevételéből és a Viziközmű fejlesztési tartalékból</t>
  </si>
  <si>
    <t xml:space="preserve">Közvilágítási rendszer korszerűsítése LED technológia felhasználásával </t>
  </si>
  <si>
    <t>Térfigyelő kamerarendszer felújítása</t>
  </si>
  <si>
    <t>Jánoshalma belterületi összközműves, digitális formátumú térképei síkrajzának 2018-2019. évi felújítása</t>
  </si>
  <si>
    <t>Jánoshalma külterületi összközműves, digitális formátumú térképei síkrajzának 2014-2017. évi felújítása</t>
  </si>
  <si>
    <t>Naperőmű túlfeszültség levezető csere</t>
  </si>
  <si>
    <t>Karácsonyi díszkivilágításhoz áramfelvételi leállások létesítése</t>
  </si>
  <si>
    <t>Karácsonyi díszkivilágítás (fénysorok) beszerzése</t>
  </si>
  <si>
    <t>Tűzgátló berendezés beszerzése</t>
  </si>
  <si>
    <t>Jánoshalma Városi Önkormányzat és költségvetési szerveinek 2020 évi költségvetési kiadásai kötelező-, önként vállalt-, és állami (államigazgatási) feladatok szerinti bontásban</t>
  </si>
  <si>
    <t>Esélyegyenlőség elősegítését célzó tevékenységek és programok (EFOP-3.3.2-16-2016-00284 pr.)</t>
  </si>
  <si>
    <t>Jánoshalma Városi Önkormányzat  és költségvetési szerveinek 2020. évi költségvetési bevételei és  kiadásai kötelező-, önként vállalt-, és állami (államigazgatási) feladatok szerinti bontásban</t>
  </si>
  <si>
    <t>Járdaépítésre átvett p.e. háztartásoktól</t>
  </si>
  <si>
    <t>EFOP-2.1.2-16-2018-00075 "Egy fedél alatt" pr.  támogatása</t>
  </si>
  <si>
    <t>VP6-19.2.1-32-1-17kódsz. Mélykúti u. 7. sz. alatti tároló támogatása</t>
  </si>
  <si>
    <t>Homokértékesítés bevétele</t>
  </si>
  <si>
    <t>Család- és nővédelmi eü. gondozáshoz Nemzeti Egészségbizt. Alapkezelőtől finanszírozás</t>
  </si>
  <si>
    <t>EFOP-3.9.2-16-2017-00057 "Járásokat összekötő... "pr.  támogatása</t>
  </si>
  <si>
    <t>EFOP-3.3.2-16-2016-00284 "Kulturával az oktatás színesítéséért"pr maradvány igénybevétele (működési)</t>
  </si>
  <si>
    <t>EFOP 3.9.2-16-2017-00057 pr.Működési célú maradvány igénybevétele</t>
  </si>
  <si>
    <t>A 2020. évi költségvetésben tervezett, EU-forrásból finanszírozott  támogatással megvalósuló projektek kiadásai, a helyi önkormányzat ilyen projektekhez történő hozzájárulásai</t>
  </si>
  <si>
    <t>2020. évi költségvetésben tervezett 2019. évi maradvány igénybevétel</t>
  </si>
  <si>
    <t xml:space="preserve">2020. évi költségvetésben tervezett bevételi előirányzatok    </t>
  </si>
  <si>
    <t xml:space="preserve">2020. évi költségvetésben tervezett kiadási előirányzatok   </t>
  </si>
  <si>
    <t>"Egy fedél alatt" projekt (EFOP-2.1.2-16-2018-00075)</t>
  </si>
  <si>
    <t>061040</t>
  </si>
  <si>
    <t>Dologi kiadások (nem elszámolható)</t>
  </si>
  <si>
    <t>Bölcsődei gyermekétkeztetés</t>
  </si>
  <si>
    <t>Óvodai gyermekétkeztetés</t>
  </si>
  <si>
    <t>Ttv. 2.§ (2) bek., Mötv.13.§ (1) 12.</t>
  </si>
  <si>
    <t>Mötv. 13.§ (1) 12.</t>
  </si>
  <si>
    <t>Mötv. 13.§ (1) bek. 11., 21. pontja</t>
  </si>
  <si>
    <t>Mötv. 13.§ (1) 1., 7., 9., 14. pontjai</t>
  </si>
  <si>
    <t>Mötv. 13.§ (1) 11.,  21. pontjai</t>
  </si>
  <si>
    <t>Mötv. 13.§ (1) 2., 5., 9., 11., 12. pontjai</t>
  </si>
  <si>
    <t>Mötv. 13.§ (1) 4.,  Eü tv. 5.§ (1) bek.</t>
  </si>
  <si>
    <t>Gyvt. 21/A § (3) bek.</t>
  </si>
  <si>
    <t>Területfejlesztés igazgatása                                                   (EFOP-3.9.2-16-2017-00057 projekt)</t>
  </si>
  <si>
    <t>Esélyegyenlőség elősegítését célzó tevékenységek és programok                                          (EFOP-1.5.3-16-2017-00082 projekt)</t>
  </si>
  <si>
    <t>Esélyegyenlőség elősegítését célzó tevékenységek és programok                                              (EFOP-1.5.3-16-2017-00082 projekt)</t>
  </si>
  <si>
    <t>Területfejlesztés igazgatása                                           (EFOP-3.9.2-16-2017-00057 projekt)</t>
  </si>
  <si>
    <t>Jánoshalmi Polgármesteri Hivatal</t>
  </si>
  <si>
    <t>Imre Zoltán Művelődési Központ és Könyvtár kiadásai összesen:</t>
  </si>
  <si>
    <t>Jánoshalmi Polgármesteri Hivatal kiadásai összesen:</t>
  </si>
  <si>
    <t>Jánoshalma Városi Önkormányzat kiadásai összesen:</t>
  </si>
  <si>
    <t>- Technikai dolgozók  (2 fő részfoglalkozású napi 4 órában)</t>
  </si>
  <si>
    <t>- Esetmenedzser és tanácsadó</t>
  </si>
  <si>
    <t>- Óvodai, iskolai szociális segítő</t>
  </si>
  <si>
    <t>- Asszisztens (részmunkaidős napi 4 órában)</t>
  </si>
  <si>
    <t>- Titkárnő</t>
  </si>
  <si>
    <t>- Pénzügyi vezető (részmunkaidős napi 3 órában)</t>
  </si>
  <si>
    <t>- Projektmenedzser (részmunkaidős napi 3 órában)</t>
  </si>
  <si>
    <t>- Szakmai asszisztens (részmunkaidős napi 4 órában)</t>
  </si>
  <si>
    <t>- Ifjúsági referens</t>
  </si>
  <si>
    <t>- Mentor vezető (részmunkaidős napi 4 órában)</t>
  </si>
  <si>
    <t>- Mentorok (9 fő részmunkaidőben napi 2 órában)</t>
  </si>
  <si>
    <t>- Közösség szervező munkatárs</t>
  </si>
  <si>
    <t>- Szakmai asszisztens</t>
  </si>
  <si>
    <t>- Közösségfejlesztő</t>
  </si>
  <si>
    <t>- Mentorok  (4 fő részmunkaidőben napi 1 órában)</t>
  </si>
  <si>
    <t>- Angol nyelvtanár (2 fő részmunkaidőben napi 1 órában)</t>
  </si>
  <si>
    <t>- Szakmai vezető (részmunkaidős napi 4 órában)</t>
  </si>
  <si>
    <t>Zöldfa utca szilárd burkolatú út készítése</t>
  </si>
  <si>
    <t>Járdaépítés (fedezet: képviselői felajánlásból)</t>
  </si>
  <si>
    <t>Polgármesteri Hivatal udvarán garázs kialakítása</t>
  </si>
  <si>
    <t>Vízkárelhárítási terv elkészíttetése</t>
  </si>
  <si>
    <t>Energiamegtakarítási intézkedési terv elkészíttetése</t>
  </si>
  <si>
    <t>Jánoshalmi Művésztelep eszközbeszerzései (Bútorok - 5 db asztal, 15 szék)</t>
  </si>
  <si>
    <t>Védőnői szolgálat eszközbeszerzései (veszélyes hulladéktároláshoz hűtő, vércukormérő, Lang teszt II.)</t>
  </si>
  <si>
    <t>Számítógépek fejlesztése (rendszergazda felmérése alapján )</t>
  </si>
  <si>
    <t>EFOP-1.5.3-16-2017-00082  "Együtt vagyunk, otthon vagyunk és itt maradunk" c. projekt beruházási kiadásai</t>
  </si>
  <si>
    <t>EFOP-2.1.2-16-2018-00075  "Egy fedél alatt" c. projekt beruházási kiadásai</t>
  </si>
  <si>
    <t>Tavalyi évről elhalasztott eszközbeszerzések (irodai székek, PH konyhai kiegészítő bútor beszerzés)</t>
  </si>
  <si>
    <t>Hang- és fénytechnikai eszközök (jelfeldolgozó, fényvezérlő) beszerzése</t>
  </si>
  <si>
    <t>Kerítésfelújítás (Batthyány utcai óvoda, Radnóti utcai óvoda)</t>
  </si>
  <si>
    <t>54/2019.(IV.25.) Kt. hat.  Óvoda épület hőszigetelése</t>
  </si>
  <si>
    <t>Óvodai nevelés eszközbeszerzési (udvari játékok, sportszerek, óvodai ágyak, ágytároló szekrény, kuka, porszívó, takarítógép, létra)</t>
  </si>
  <si>
    <t>Bölcsődei ellátás eszközbeszerzései (homokozó eszközök, játékok, sporteszközök)</t>
  </si>
  <si>
    <t>Család- és Gyermekjóléti Központ beruházási kiadásai (Windows 10 szoftver, számítógép, szünetmentes tápegység beszerzése, telefonvonal szétválasztása)</t>
  </si>
  <si>
    <t>Család- és Gyermekjóléti Szolgálat beruházási kiadásai (Windows 10 szoftver beszerzése; árnyékoló; székek vásárlása a kapcsolattartó szobába)</t>
  </si>
  <si>
    <t>Polgármesteri Hivatal épületében belső festés, felújítási munkák</t>
  </si>
  <si>
    <t>TOP-2.1.2-16-BK1 -2017-00003  "Zöld tér felújítása Jánoshalmán" c. projekt felújítási kiadásai</t>
  </si>
  <si>
    <t>Védőnő (3 fő heti 2 órában)</t>
  </si>
  <si>
    <t>Programfelelős (3 fő heti 2 órában)</t>
  </si>
  <si>
    <t>Szakmai koordinátor (1 fő heti 20 órában)</t>
  </si>
  <si>
    <t>Nyelvtanár (1 fő heti 1 órában)</t>
  </si>
  <si>
    <t>Fejlesztő pedagógus (1 fő főállásban, 2 fő heti 20 órába)</t>
  </si>
  <si>
    <t>Gyógypedagógus (1 fő heti 10 órában)</t>
  </si>
  <si>
    <t>Pénzügyi asszisztens (1 fő napi 4 órában)</t>
  </si>
  <si>
    <t>Családsegítő munkatárs (4 fő heti 2 órában)</t>
  </si>
  <si>
    <t>Óvónő (1 fő heti 2 órában)</t>
  </si>
  <si>
    <t>EFOP-3.9.2-16-2017-00057"Járásokat összekötő humán kap. fejl. térs. szemléletben" pr. EU tám.</t>
  </si>
  <si>
    <t>2 fő takarítónő foglalkoztatása 2020.03.01-2020.10.31. -Munkaügyi Központ támogatása</t>
  </si>
  <si>
    <t>Állati hullagyűjtő telep kialakítása</t>
  </si>
  <si>
    <t>Módosította a 3/2020.(III.27.) önkormányzati rendelet 5.§, Hatályos: 2020.03.28.</t>
  </si>
  <si>
    <t>Működési c. kv-i támogatások és kiegészítő támogatások</t>
  </si>
  <si>
    <t>Hosszabb időtartamú közfogl. felh. c.  tám.</t>
  </si>
  <si>
    <t>Startmunka programok felh. c. támogatása</t>
  </si>
  <si>
    <t>Járási startmunka mintaprogram (2019. évről áthúzódó programok 2020.02.29-ig)</t>
  </si>
  <si>
    <t>Járási startmunka mintaprogram (2020. március 1-től indult programok 2021.02.28-ig)</t>
  </si>
  <si>
    <t>Hosszabb időtartamú közfoglalkoztatás (2020. március 1-től indult programok 2021.02.28-ig)</t>
  </si>
  <si>
    <t xml:space="preserve">31 fő álláskereső közfoglalkoztatása </t>
  </si>
  <si>
    <t xml:space="preserve"> Hosszabb időtartamú közfoglalkoztatás (2020.03.01-2021.02.28.) - kisértékű tárgyi eszköz beszerzés </t>
  </si>
  <si>
    <t>Járási startmunka mintaprogram (2020.03.01-2021.02.28) - kisértékű tárgyi eszköz beszerzés</t>
  </si>
  <si>
    <t>Könyvtár részére beszerzett könyvek</t>
  </si>
  <si>
    <t>Helyi önkormányzatok kiegészítő támogatásai</t>
  </si>
  <si>
    <t xml:space="preserve">11. </t>
  </si>
  <si>
    <t>A költségvetési szerveknél foglalkoztatottak 2019. évi áthúzódó és 2020. évi kompenzációja</t>
  </si>
  <si>
    <t>12.</t>
  </si>
  <si>
    <t>Szociális ágazati összevont pótlék és egészségügyi kiegészítő pótlék</t>
  </si>
  <si>
    <t>14.</t>
  </si>
  <si>
    <t>Kulturális illetménypótlék</t>
  </si>
  <si>
    <t>B1131</t>
  </si>
  <si>
    <t xml:space="preserve">Települési önkormányzatok egyes szociális és gyermekjóléti felaladatainak tám. </t>
  </si>
  <si>
    <t>B1132</t>
  </si>
  <si>
    <t xml:space="preserve">Települési önkormányzatok gyermekétkeztetési felaladatainak támogatása </t>
  </si>
  <si>
    <r>
      <t xml:space="preserve">1. melléklet a 2/2020.(III.02.) önkormányzati rendelethez </t>
    </r>
    <r>
      <rPr>
        <vertAlign val="superscript"/>
        <sz val="10"/>
        <color indexed="40"/>
        <rFont val="Times New Roman"/>
        <family val="1"/>
      </rPr>
      <t>12, 13</t>
    </r>
  </si>
  <si>
    <r>
      <t xml:space="preserve">2. melléklet a 2/2020.(III.02.) önkormányzati rendelethez </t>
    </r>
    <r>
      <rPr>
        <vertAlign val="superscript"/>
        <sz val="10"/>
        <color indexed="30"/>
        <rFont val="Times New Roman"/>
        <family val="1"/>
      </rPr>
      <t>14, 15</t>
    </r>
  </si>
  <si>
    <r>
      <t xml:space="preserve">3. melléklet a 2/2020.(III.02.) önkormányzati rendelethez </t>
    </r>
    <r>
      <rPr>
        <vertAlign val="superscript"/>
        <sz val="11"/>
        <color indexed="30"/>
        <rFont val="Times New Roman CE"/>
        <family val="0"/>
      </rPr>
      <t>16, 17</t>
    </r>
  </si>
  <si>
    <r>
      <t xml:space="preserve">4. melléklet a 2/2020.(III.02.) önkormányzati rendelethez </t>
    </r>
    <r>
      <rPr>
        <vertAlign val="superscript"/>
        <sz val="11"/>
        <color indexed="30"/>
        <rFont val="Times New Roman"/>
        <family val="1"/>
      </rPr>
      <t>18, 19</t>
    </r>
  </si>
  <si>
    <t>074040</t>
  </si>
  <si>
    <t>Fertőző megbetegedések megelőzése, járványügyi ellátás</t>
  </si>
  <si>
    <t>28/</t>
  </si>
  <si>
    <t>Módosította a 10/2020.(VI.26.) önkormányzati rendelet 5.§, Hatályos: 2020.06.27.</t>
  </si>
  <si>
    <r>
      <t xml:space="preserve">5. melléklet a 2/2020.(III.02.) önkormányzati rendelethez </t>
    </r>
    <r>
      <rPr>
        <vertAlign val="superscript"/>
        <sz val="11"/>
        <color indexed="30"/>
        <rFont val="Times New Roman"/>
        <family val="1"/>
      </rPr>
      <t>20, 21</t>
    </r>
  </si>
  <si>
    <r>
      <t xml:space="preserve">6. melléklet a 2/2020.(III.02.) önkormányzati rendelethez </t>
    </r>
    <r>
      <rPr>
        <vertAlign val="superscript"/>
        <sz val="10"/>
        <color indexed="30"/>
        <rFont val="Times New Roman"/>
        <family val="1"/>
      </rPr>
      <t>22, 23</t>
    </r>
  </si>
  <si>
    <t>Mötv. 13.§ (1) 5.</t>
  </si>
  <si>
    <t>42</t>
  </si>
  <si>
    <r>
      <t xml:space="preserve">7. melléklet a 2/2020.(III.02.) önkormányzati rendelethez </t>
    </r>
    <r>
      <rPr>
        <vertAlign val="superscript"/>
        <sz val="11"/>
        <color indexed="30"/>
        <rFont val="Times New Roman"/>
        <family val="1"/>
      </rPr>
      <t>24, 25</t>
    </r>
  </si>
  <si>
    <t>Telep. önk-ok egyes szoc. és gyerm. jóléti fel.tám.</t>
  </si>
  <si>
    <t>3. sz. fogorvosi körzet tartós helyettesítése-  NEA finanszírozás</t>
  </si>
  <si>
    <t>Ellátási díjak (szoc. alapszolg., ált. isk. étkezés)</t>
  </si>
  <si>
    <t>Imre Z. Műv. Közp. épületfelújítás tervezésének tám.</t>
  </si>
  <si>
    <t>Eü-i dolgozók egyszeri rendkívüli juttatása</t>
  </si>
  <si>
    <t>Koronavírus elleni védekezéshez adományok</t>
  </si>
  <si>
    <t>EFOP-1.4.2-16 Integrált térs. gyermekpr. "Együtt könnyebb" működési c. támogatása</t>
  </si>
  <si>
    <t>EFOP-1.5.3-16 ... "Együtt vagyunk, otthon vagyunk…." működési c. támogatása</t>
  </si>
  <si>
    <t>2019. évi Szüreti Napokkal kapcs. szolgáltatási bevétel</t>
  </si>
  <si>
    <t>EFOP-1.4.2-16 Integrált térs. gyermekpr. "Együtt könnyebb" felhalm. c. támogatása</t>
  </si>
  <si>
    <t>Támogatott foglalkoztatás</t>
  </si>
  <si>
    <r>
      <t xml:space="preserve">8. melléklet a 2/2020. (III.02.) önkormányzati rendelethez </t>
    </r>
    <r>
      <rPr>
        <vertAlign val="superscript"/>
        <sz val="11"/>
        <color indexed="30"/>
        <rFont val="Times New Roman CE"/>
        <family val="0"/>
      </rPr>
      <t>26, 27</t>
    </r>
  </si>
  <si>
    <r>
      <t xml:space="preserve">9. melléklet a 2/2020.(III.02.) önkormányzati rendelethez </t>
    </r>
    <r>
      <rPr>
        <vertAlign val="superscript"/>
        <sz val="11"/>
        <color indexed="30"/>
        <rFont val="Times New Roman CE"/>
        <family val="0"/>
      </rPr>
      <t>28, 29</t>
    </r>
  </si>
  <si>
    <t>Koronavírus-járvány okozta veszélyhelyzet kezelésének eszközök beszerzésével kapcsolatos kiadásai</t>
  </si>
  <si>
    <t>EFOP-1.4.2-16-2016-00020  "Együtt könnyebb" c. projekt beruházási kiadásai</t>
  </si>
  <si>
    <t>Polgármesteri Hivatal épületének felújításával kapcsolatosan irodabútorok beszerzése</t>
  </si>
  <si>
    <t>Szociális étkeztetés, házi segítségnyújtás önk-i munkavégzése feltételei biztosításához eszközbeszerzések</t>
  </si>
  <si>
    <t>EFOP-1.5.3-16-2017-00082  "Együtt vagyunk, otthon vagyunk és itt maradunk" c. projekt rendezvényeinek megvalósításához kapcsolódó eszközbeszerzések</t>
  </si>
  <si>
    <t>Nyitnikék Gyerekház beruházási kiadásai (fejlesztő játékok vásárlása, tágulási tartály és tartozékainak beszerzése)</t>
  </si>
  <si>
    <t>Koronavírus-járvány okozta veszélyhelyzet kezelése</t>
  </si>
  <si>
    <r>
      <t xml:space="preserve">11. melléklet a 2/2020. (III.02.) önkormányzati rendelethez </t>
    </r>
    <r>
      <rPr>
        <vertAlign val="superscript"/>
        <sz val="11"/>
        <color indexed="30"/>
        <rFont val="Times New Roman"/>
        <family val="1"/>
      </rPr>
      <t>31, 32</t>
    </r>
  </si>
  <si>
    <t>a Magyarország 2020. évi központi költségvetéséről szóló 2019. évi LXXI. törvény 2. sz. és 3. sz. mellékletének jogcímei szerint</t>
  </si>
  <si>
    <t>2.mell. I.</t>
  </si>
  <si>
    <t>3.mell. I.</t>
  </si>
  <si>
    <t>2.mell. II.</t>
  </si>
  <si>
    <t>Települési önkormányzatok egyes szociális és gyermekjóléti feladatainak támogatása</t>
  </si>
  <si>
    <t>2.mell. III.</t>
  </si>
  <si>
    <t>III.2.c</t>
  </si>
  <si>
    <t>III.2.d-db)</t>
  </si>
  <si>
    <t>Házi segítségnyújtás - személyi gondozás</t>
  </si>
  <si>
    <t>Bölcsődében foglalkoztatott kisgyermeknevelők, dajkák és szaktanácsadók 2020. évi illetményéhez kapcsolódó bölcsődei kiegészítő támogatás</t>
  </si>
  <si>
    <t>Települési önkormányzatok gyermekétkeztetési feladatainak támogatása</t>
  </si>
  <si>
    <t>Gyermekétkeztetés támogatása</t>
  </si>
  <si>
    <t>2.mell. IV.</t>
  </si>
  <si>
    <t>Jogcímek mindösszesen:</t>
  </si>
  <si>
    <r>
      <t xml:space="preserve">12. melléklet a 2/2020. (III.02.) önkormányzati rendelethez </t>
    </r>
    <r>
      <rPr>
        <vertAlign val="superscript"/>
        <sz val="11"/>
        <color indexed="30"/>
        <rFont val="Times New Roman CE"/>
        <family val="0"/>
      </rPr>
      <t>33</t>
    </r>
  </si>
  <si>
    <t>Fordított Áfa befizetés 2020. év (elszámolható)</t>
  </si>
  <si>
    <t>Konzorciumi tagok pénzátadása</t>
  </si>
  <si>
    <t>Tartalék (elszámolható)</t>
  </si>
  <si>
    <r>
      <t xml:space="preserve">10. melléklet a 2/2020.(III.02.) önkormányzati rendelethez </t>
    </r>
    <r>
      <rPr>
        <vertAlign val="superscript"/>
        <sz val="11"/>
        <color indexed="30"/>
        <rFont val="Times New Roman CE"/>
        <family val="0"/>
      </rPr>
      <t>30</t>
    </r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</si>
</sst>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0.0"/>
    <numFmt numFmtId="168" formatCode="#,##0.0\ &quot;Ft&quot;"/>
    <numFmt numFmtId="169" formatCode="#,##0.0\ _F_t"/>
    <numFmt numFmtId="170" formatCode="#,##0\ _F_t"/>
    <numFmt numFmtId="171" formatCode="#,##0.0"/>
    <numFmt numFmtId="172" formatCode="yyyy/\ mmmm\ d\."/>
    <numFmt numFmtId="173" formatCode="mmm/yyyy"/>
    <numFmt numFmtId="174" formatCode="[$-40E]yyyy\.\ mmmm\ d\."/>
    <numFmt numFmtId="175" formatCode="&quot;H-&quot;0000"/>
    <numFmt numFmtId="176" formatCode="0.0000"/>
    <numFmt numFmtId="177" formatCode="#,##0.0000"/>
    <numFmt numFmtId="178" formatCode="#,##0.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#,##0.00\ [$CHF]"/>
    <numFmt numFmtId="183" formatCode="#,##0.00\ &quot;Ft&quot;"/>
    <numFmt numFmtId="184" formatCode="#,##0_ ;\-#,##0\ "/>
    <numFmt numFmtId="185" formatCode="_-* #,##0.000\ _F_t_-;\-* #,##0.000\ _F_t_-;_-* &quot;-&quot;??\ _F_t_-;_-@_-"/>
    <numFmt numFmtId="186" formatCode="_-* #,##0.0\ _F_t_-;\-* #,##0.0\ _F_t_-;_-* &quot;-&quot;??\ _F_t_-;_-@_-"/>
    <numFmt numFmtId="187" formatCode="_-* #,##0\ _F_t_-;\-* #,##0\ _F_t_-;_-* &quot;-&quot;??\ _F_t_-;_-@_-"/>
    <numFmt numFmtId="188" formatCode="[$€-2]\ #\ ##,000_);[Red]\([$€-2]\ #\ ##,000\)"/>
    <numFmt numFmtId="189" formatCode="#,##0\ [$CHF]"/>
    <numFmt numFmtId="190" formatCode="0.0000000%"/>
    <numFmt numFmtId="191" formatCode="0.000000%"/>
    <numFmt numFmtId="192" formatCode="[$¥€-2]\ #\ ##,000_);[Red]\([$€-2]\ #\ ##,000\)"/>
  </numFmts>
  <fonts count="12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9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b/>
      <sz val="13"/>
      <name val="Arial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vertAlign val="superscript"/>
      <sz val="10"/>
      <color indexed="40"/>
      <name val="Times New Roman"/>
      <family val="1"/>
    </font>
    <font>
      <vertAlign val="superscript"/>
      <sz val="10"/>
      <color indexed="30"/>
      <name val="Times New Roman"/>
      <family val="1"/>
    </font>
    <font>
      <vertAlign val="superscript"/>
      <sz val="11"/>
      <color indexed="30"/>
      <name val="Times New Roman CE"/>
      <family val="0"/>
    </font>
    <font>
      <vertAlign val="superscript"/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40"/>
      <name val="Times New Roman"/>
      <family val="1"/>
    </font>
    <font>
      <sz val="10"/>
      <color indexed="40"/>
      <name val="Times New Roman"/>
      <family val="1"/>
    </font>
    <font>
      <b/>
      <i/>
      <sz val="10"/>
      <color indexed="40"/>
      <name val="Times New Roman"/>
      <family val="1"/>
    </font>
    <font>
      <b/>
      <sz val="12"/>
      <color indexed="30"/>
      <name val="Times New Roman"/>
      <family val="1"/>
    </font>
    <font>
      <sz val="8"/>
      <color indexed="40"/>
      <name val="Times New Roman"/>
      <family val="1"/>
    </font>
    <font>
      <b/>
      <sz val="10"/>
      <color indexed="10"/>
      <name val="Arial"/>
      <family val="2"/>
    </font>
    <font>
      <sz val="9"/>
      <color indexed="3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rgb="FF00B0F0"/>
      <name val="Times New Roman"/>
      <family val="1"/>
    </font>
    <font>
      <sz val="10"/>
      <color rgb="FF00B0F0"/>
      <name val="Times New Roman"/>
      <family val="1"/>
    </font>
    <font>
      <sz val="10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0"/>
      <color rgb="FF0070C0"/>
      <name val="Times New Roman"/>
      <family val="1"/>
    </font>
    <font>
      <sz val="8"/>
      <color rgb="FF00B0F0"/>
      <name val="Times New Roman"/>
      <family val="1"/>
    </font>
    <font>
      <b/>
      <sz val="10"/>
      <color rgb="FFFF0000"/>
      <name val="Arial"/>
      <family val="2"/>
    </font>
    <font>
      <sz val="9"/>
      <color rgb="FF0070C0"/>
      <name val="Times New Roman"/>
      <family val="1"/>
    </font>
    <font>
      <b/>
      <i/>
      <sz val="10"/>
      <color rgb="FF00B0F0"/>
      <name val="Times New Roman"/>
      <family val="1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/>
      <right style="medium"/>
      <top style="thick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medium"/>
      <top style="thick"/>
      <bottom style="thick"/>
    </border>
    <border>
      <left style="medium"/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1" fillId="19" borderId="1" applyNumberFormat="0" applyAlignment="0" applyProtection="0"/>
    <xf numFmtId="0" fontId="102" fillId="0" borderId="0" applyNumberFormat="0" applyFill="0" applyBorder="0" applyAlignment="0" applyProtection="0"/>
    <xf numFmtId="0" fontId="103" fillId="0" borderId="2" applyNumberFormat="0" applyFill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5" fillId="0" borderId="0" applyNumberFormat="0" applyFill="0" applyBorder="0" applyAlignment="0" applyProtection="0"/>
    <xf numFmtId="0" fontId="10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0" fillId="21" borderId="7" applyNumberFormat="0" applyFont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9" fillId="28" borderId="0" applyNumberFormat="0" applyBorder="0" applyAlignment="0" applyProtection="0"/>
    <xf numFmtId="0" fontId="110" fillId="29" borderId="8" applyNumberFormat="0" applyAlignment="0" applyProtection="0"/>
    <xf numFmtId="0" fontId="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1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30" borderId="0" applyNumberFormat="0" applyBorder="0" applyAlignment="0" applyProtection="0"/>
    <xf numFmtId="0" fontId="114" fillId="31" borderId="0" applyNumberFormat="0" applyBorder="0" applyAlignment="0" applyProtection="0"/>
    <xf numFmtId="0" fontId="115" fillId="29" borderId="1" applyNumberFormat="0" applyAlignment="0" applyProtection="0"/>
    <xf numFmtId="9" fontId="0" fillId="0" borderId="0" applyFont="0" applyFill="0" applyBorder="0" applyAlignment="0" applyProtection="0"/>
  </cellStyleXfs>
  <cellXfs count="13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1" fillId="0" borderId="0" xfId="63" applyFont="1">
      <alignment/>
      <protection/>
    </xf>
    <xf numFmtId="0" fontId="1" fillId="0" borderId="0" xfId="63" applyFont="1" applyAlignment="1">
      <alignment horizontal="center" vertical="center"/>
      <protection/>
    </xf>
    <xf numFmtId="0" fontId="14" fillId="0" borderId="0" xfId="63">
      <alignment/>
      <protection/>
    </xf>
    <xf numFmtId="0" fontId="2" fillId="0" borderId="0" xfId="63" applyFont="1">
      <alignment/>
      <protection/>
    </xf>
    <xf numFmtId="49" fontId="14" fillId="0" borderId="0" xfId="63" applyNumberFormat="1">
      <alignment/>
      <protection/>
    </xf>
    <xf numFmtId="0" fontId="17" fillId="0" borderId="0" xfId="57" applyFont="1">
      <alignment/>
      <protection/>
    </xf>
    <xf numFmtId="0" fontId="16" fillId="0" borderId="0" xfId="57" applyFont="1" applyAlignment="1">
      <alignment vertical="center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>
      <alignment/>
      <protection/>
    </xf>
    <xf numFmtId="0" fontId="19" fillId="0" borderId="0" xfId="57" applyFont="1">
      <alignment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5" fillId="0" borderId="0" xfId="57" applyFont="1">
      <alignment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9" fillId="0" borderId="0" xfId="57" applyFont="1" applyAlignment="1">
      <alignment horizontal="center" vertical="center" wrapText="1"/>
      <protection/>
    </xf>
    <xf numFmtId="0" fontId="30" fillId="0" borderId="0" xfId="57" applyFont="1">
      <alignment/>
      <protection/>
    </xf>
    <xf numFmtId="0" fontId="32" fillId="0" borderId="0" xfId="57" applyFont="1">
      <alignment/>
      <protection/>
    </xf>
    <xf numFmtId="0" fontId="33" fillId="0" borderId="0" xfId="57" applyFont="1">
      <alignment/>
      <protection/>
    </xf>
    <xf numFmtId="0" fontId="34" fillId="0" borderId="0" xfId="57" applyFont="1">
      <alignment/>
      <protection/>
    </xf>
    <xf numFmtId="0" fontId="35" fillId="0" borderId="0" xfId="57" applyFont="1">
      <alignment/>
      <protection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right" vertical="center"/>
    </xf>
    <xf numFmtId="3" fontId="17" fillId="0" borderId="11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2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horizontal="center"/>
      <protection/>
    </xf>
    <xf numFmtId="0" fontId="3" fillId="0" borderId="0" xfId="63" applyFont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22" fillId="0" borderId="0" xfId="63" applyFont="1">
      <alignment/>
      <protection/>
    </xf>
    <xf numFmtId="0" fontId="22" fillId="0" borderId="0" xfId="63" applyFont="1" applyAlignment="1">
      <alignment vertical="center"/>
      <protection/>
    </xf>
    <xf numFmtId="0" fontId="22" fillId="0" borderId="0" xfId="0" applyFont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14" fillId="0" borderId="0" xfId="63" applyAlignment="1">
      <alignment/>
      <protection/>
    </xf>
    <xf numFmtId="166" fontId="17" fillId="0" borderId="11" xfId="0" applyNumberFormat="1" applyFont="1" applyBorder="1" applyAlignment="1">
      <alignment vertical="center"/>
    </xf>
    <xf numFmtId="166" fontId="18" fillId="0" borderId="11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44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42" fillId="0" borderId="0" xfId="58" applyFont="1" applyFill="1" applyAlignment="1">
      <alignment horizontal="center" vertical="center"/>
      <protection/>
    </xf>
    <xf numFmtId="0" fontId="19" fillId="0" borderId="0" xfId="58" applyFont="1" applyFill="1" applyAlignment="1">
      <alignment vertical="center"/>
      <protection/>
    </xf>
    <xf numFmtId="0" fontId="17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50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49" fontId="42" fillId="0" borderId="0" xfId="61" applyNumberFormat="1" applyFont="1" applyFill="1" applyAlignment="1">
      <alignment horizontal="center" vertical="center"/>
      <protection/>
    </xf>
    <xf numFmtId="0" fontId="42" fillId="0" borderId="0" xfId="61" applyFont="1" applyFill="1" applyAlignment="1">
      <alignment vertical="center"/>
      <protection/>
    </xf>
    <xf numFmtId="0" fontId="5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horizontal="left" vertical="center"/>
      <protection/>
    </xf>
    <xf numFmtId="0" fontId="19" fillId="0" borderId="0" xfId="61" applyFont="1" applyAlignment="1">
      <alignment horizontal="left"/>
      <protection/>
    </xf>
    <xf numFmtId="0" fontId="20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left" vertical="center"/>
      <protection/>
    </xf>
    <xf numFmtId="0" fontId="43" fillId="0" borderId="14" xfId="61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59" applyFont="1">
      <alignment/>
      <protection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42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58" fillId="0" borderId="0" xfId="0" applyNumberFormat="1" applyFont="1" applyFill="1" applyAlignment="1">
      <alignment vertical="center"/>
    </xf>
    <xf numFmtId="0" fontId="19" fillId="0" borderId="0" xfId="63" applyFont="1" applyAlignment="1">
      <alignment/>
      <protection/>
    </xf>
    <xf numFmtId="0" fontId="17" fillId="0" borderId="0" xfId="63" applyFont="1" applyAlignment="1">
      <alignment/>
      <protection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17" fillId="0" borderId="0" xfId="0" applyFont="1" applyBorder="1" applyAlignment="1">
      <alignment/>
    </xf>
    <xf numFmtId="3" fontId="49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47" fillId="0" borderId="18" xfId="0" applyNumberFormat="1" applyFont="1" applyBorder="1" applyAlignment="1">
      <alignment/>
    </xf>
    <xf numFmtId="3" fontId="52" fillId="0" borderId="18" xfId="0" applyNumberFormat="1" applyFont="1" applyBorder="1" applyAlignment="1">
      <alignment/>
    </xf>
    <xf numFmtId="3" fontId="54" fillId="0" borderId="18" xfId="0" applyNumberFormat="1" applyFont="1" applyBorder="1" applyAlignment="1">
      <alignment/>
    </xf>
    <xf numFmtId="3" fontId="56" fillId="0" borderId="18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3" fontId="20" fillId="0" borderId="18" xfId="58" applyNumberFormat="1" applyFont="1" applyBorder="1">
      <alignment/>
      <protection/>
    </xf>
    <xf numFmtId="3" fontId="47" fillId="0" borderId="18" xfId="58" applyNumberFormat="1" applyFont="1" applyBorder="1">
      <alignment/>
      <protection/>
    </xf>
    <xf numFmtId="0" fontId="42" fillId="0" borderId="0" xfId="0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19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3" fontId="22" fillId="4" borderId="29" xfId="0" applyNumberFormat="1" applyFont="1" applyFill="1" applyBorder="1" applyAlignment="1">
      <alignment/>
    </xf>
    <xf numFmtId="3" fontId="0" fillId="0" borderId="30" xfId="0" applyNumberFormat="1" applyBorder="1" applyAlignment="1">
      <alignment/>
    </xf>
    <xf numFmtId="3" fontId="0" fillId="32" borderId="30" xfId="0" applyNumberFormat="1" applyFill="1" applyBorder="1" applyAlignment="1">
      <alignment/>
    </xf>
    <xf numFmtId="3" fontId="0" fillId="4" borderId="31" xfId="0" applyNumberFormat="1" applyFill="1" applyBorder="1" applyAlignment="1">
      <alignment/>
    </xf>
    <xf numFmtId="0" fontId="0" fillId="0" borderId="32" xfId="0" applyBorder="1" applyAlignment="1">
      <alignment/>
    </xf>
    <xf numFmtId="3" fontId="22" fillId="4" borderId="33" xfId="0" applyNumberFormat="1" applyFon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32" borderId="11" xfId="0" applyNumberFormat="1" applyFill="1" applyBorder="1" applyAlignment="1">
      <alignment/>
    </xf>
    <xf numFmtId="3" fontId="0" fillId="4" borderId="28" xfId="0" applyNumberFormat="1" applyFill="1" applyBorder="1" applyAlignment="1">
      <alignment/>
    </xf>
    <xf numFmtId="0" fontId="22" fillId="0" borderId="35" xfId="0" applyFont="1" applyBorder="1" applyAlignment="1">
      <alignment/>
    </xf>
    <xf numFmtId="3" fontId="22" fillId="4" borderId="36" xfId="0" applyNumberFormat="1" applyFont="1" applyFill="1" applyBorder="1" applyAlignment="1">
      <alignment/>
    </xf>
    <xf numFmtId="3" fontId="22" fillId="33" borderId="37" xfId="0" applyNumberFormat="1" applyFont="1" applyFill="1" applyBorder="1" applyAlignment="1">
      <alignment/>
    </xf>
    <xf numFmtId="3" fontId="22" fillId="32" borderId="37" xfId="0" applyNumberFormat="1" applyFont="1" applyFill="1" applyBorder="1" applyAlignment="1">
      <alignment/>
    </xf>
    <xf numFmtId="3" fontId="22" fillId="32" borderId="38" xfId="0" applyNumberFormat="1" applyFont="1" applyFill="1" applyBorder="1" applyAlignment="1">
      <alignment/>
    </xf>
    <xf numFmtId="3" fontId="22" fillId="4" borderId="39" xfId="0" applyNumberFormat="1" applyFont="1" applyFill="1" applyBorder="1" applyAlignment="1">
      <alignment/>
    </xf>
    <xf numFmtId="0" fontId="19" fillId="0" borderId="40" xfId="0" applyFont="1" applyBorder="1" applyAlignment="1">
      <alignment horizontal="center"/>
    </xf>
    <xf numFmtId="0" fontId="0" fillId="0" borderId="41" xfId="0" applyBorder="1" applyAlignment="1">
      <alignment horizontal="left"/>
    </xf>
    <xf numFmtId="3" fontId="0" fillId="4" borderId="42" xfId="0" applyNumberFormat="1" applyFill="1" applyBorder="1" applyAlignment="1">
      <alignment/>
    </xf>
    <xf numFmtId="0" fontId="0" fillId="0" borderId="43" xfId="0" applyBorder="1" applyAlignment="1">
      <alignment horizontal="left"/>
    </xf>
    <xf numFmtId="3" fontId="0" fillId="4" borderId="44" xfId="0" applyNumberFormat="1" applyFill="1" applyBorder="1" applyAlignment="1">
      <alignment/>
    </xf>
    <xf numFmtId="0" fontId="19" fillId="0" borderId="24" xfId="0" applyFont="1" applyBorder="1" applyAlignment="1">
      <alignment horizontal="center" vertical="center"/>
    </xf>
    <xf numFmtId="0" fontId="22" fillId="0" borderId="45" xfId="0" applyFont="1" applyBorder="1" applyAlignment="1">
      <alignment/>
    </xf>
    <xf numFmtId="3" fontId="22" fillId="4" borderId="45" xfId="0" applyNumberFormat="1" applyFont="1" applyFill="1" applyBorder="1" applyAlignment="1">
      <alignment/>
    </xf>
    <xf numFmtId="3" fontId="22" fillId="33" borderId="46" xfId="0" applyNumberFormat="1" applyFont="1" applyFill="1" applyBorder="1" applyAlignment="1">
      <alignment horizontal="right"/>
    </xf>
    <xf numFmtId="3" fontId="22" fillId="4" borderId="47" xfId="0" applyNumberFormat="1" applyFont="1" applyFill="1" applyBorder="1" applyAlignment="1">
      <alignment/>
    </xf>
    <xf numFmtId="0" fontId="19" fillId="0" borderId="19" xfId="0" applyFont="1" applyBorder="1" applyAlignment="1">
      <alignment horizontal="center" vertical="center"/>
    </xf>
    <xf numFmtId="3" fontId="14" fillId="4" borderId="42" xfId="0" applyNumberFormat="1" applyFont="1" applyFill="1" applyBorder="1" applyAlignment="1">
      <alignment horizontal="right"/>
    </xf>
    <xf numFmtId="3" fontId="0" fillId="0" borderId="30" xfId="0" applyNumberFormat="1" applyBorder="1" applyAlignment="1">
      <alignment horizontal="right" vertical="center"/>
    </xf>
    <xf numFmtId="0" fontId="19" fillId="0" borderId="28" xfId="0" applyFont="1" applyBorder="1" applyAlignment="1">
      <alignment horizontal="center" vertical="center"/>
    </xf>
    <xf numFmtId="3" fontId="14" fillId="4" borderId="4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9" fillId="0" borderId="44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19" fillId="0" borderId="24" xfId="0" applyFont="1" applyBorder="1" applyAlignment="1">
      <alignment horizontal="center"/>
    </xf>
    <xf numFmtId="0" fontId="22" fillId="0" borderId="47" xfId="0" applyFont="1" applyBorder="1" applyAlignment="1">
      <alignment/>
    </xf>
    <xf numFmtId="3" fontId="22" fillId="33" borderId="48" xfId="0" applyNumberFormat="1" applyFont="1" applyFill="1" applyBorder="1" applyAlignment="1">
      <alignment/>
    </xf>
    <xf numFmtId="0" fontId="19" fillId="0" borderId="19" xfId="0" applyFont="1" applyBorder="1" applyAlignment="1">
      <alignment horizontal="center"/>
    </xf>
    <xf numFmtId="3" fontId="0" fillId="0" borderId="49" xfId="0" applyNumberFormat="1" applyBorder="1" applyAlignment="1">
      <alignment/>
    </xf>
    <xf numFmtId="3" fontId="0" fillId="32" borderId="50" xfId="0" applyNumberFormat="1" applyFill="1" applyBorder="1" applyAlignment="1">
      <alignment/>
    </xf>
    <xf numFmtId="3" fontId="0" fillId="32" borderId="34" xfId="0" applyNumberFormat="1" applyFill="1" applyBorder="1" applyAlignment="1">
      <alignment/>
    </xf>
    <xf numFmtId="3" fontId="0" fillId="32" borderId="51" xfId="0" applyNumberFormat="1" applyFill="1" applyBorder="1" applyAlignment="1">
      <alignment/>
    </xf>
    <xf numFmtId="0" fontId="0" fillId="0" borderId="52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53" xfId="0" applyBorder="1" applyAlignment="1">
      <alignment/>
    </xf>
    <xf numFmtId="3" fontId="0" fillId="4" borderId="54" xfId="0" applyNumberFormat="1" applyFill="1" applyBorder="1" applyAlignment="1">
      <alignment/>
    </xf>
    <xf numFmtId="3" fontId="0" fillId="32" borderId="37" xfId="0" applyNumberFormat="1" applyFill="1" applyBorder="1" applyAlignment="1">
      <alignment/>
    </xf>
    <xf numFmtId="3" fontId="0" fillId="32" borderId="38" xfId="0" applyNumberFormat="1" applyFill="1" applyBorder="1" applyAlignment="1">
      <alignment/>
    </xf>
    <xf numFmtId="3" fontId="0" fillId="32" borderId="48" xfId="0" applyNumberFormat="1" applyFill="1" applyBorder="1" applyAlignment="1">
      <alignment/>
    </xf>
    <xf numFmtId="0" fontId="15" fillId="0" borderId="0" xfId="0" applyFont="1" applyFill="1" applyAlignment="1">
      <alignment vertical="center"/>
    </xf>
    <xf numFmtId="0" fontId="0" fillId="0" borderId="31" xfId="0" applyBorder="1" applyAlignment="1">
      <alignment/>
    </xf>
    <xf numFmtId="0" fontId="19" fillId="0" borderId="0" xfId="0" applyFont="1" applyBorder="1" applyAlignment="1">
      <alignment horizontal="center"/>
    </xf>
    <xf numFmtId="0" fontId="19" fillId="34" borderId="55" xfId="0" applyFont="1" applyFill="1" applyBorder="1" applyAlignment="1">
      <alignment horizontal="center"/>
    </xf>
    <xf numFmtId="0" fontId="19" fillId="0" borderId="5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57" xfId="0" applyBorder="1" applyAlignment="1">
      <alignment vertical="center"/>
    </xf>
    <xf numFmtId="3" fontId="0" fillId="4" borderId="19" xfId="0" applyNumberFormat="1" applyFill="1" applyBorder="1" applyAlignment="1">
      <alignment/>
    </xf>
    <xf numFmtId="0" fontId="19" fillId="0" borderId="55" xfId="0" applyFont="1" applyBorder="1" applyAlignment="1">
      <alignment horizontal="center" vertical="center"/>
    </xf>
    <xf numFmtId="3" fontId="0" fillId="32" borderId="30" xfId="0" applyNumberFormat="1" applyFill="1" applyBorder="1" applyAlignment="1">
      <alignment horizontal="right" vertical="center"/>
    </xf>
    <xf numFmtId="3" fontId="0" fillId="32" borderId="13" xfId="0" applyNumberFormat="1" applyFill="1" applyBorder="1" applyAlignment="1">
      <alignment/>
    </xf>
    <xf numFmtId="3" fontId="0" fillId="32" borderId="58" xfId="0" applyNumberFormat="1" applyFill="1" applyBorder="1" applyAlignment="1">
      <alignment horizontal="right" vertical="center"/>
    </xf>
    <xf numFmtId="3" fontId="0" fillId="4" borderId="32" xfId="0" applyNumberFormat="1" applyFill="1" applyBorder="1" applyAlignment="1">
      <alignment/>
    </xf>
    <xf numFmtId="3" fontId="0" fillId="32" borderId="10" xfId="0" applyNumberFormat="1" applyFill="1" applyBorder="1" applyAlignment="1">
      <alignment/>
    </xf>
    <xf numFmtId="0" fontId="0" fillId="0" borderId="28" xfId="0" applyBorder="1" applyAlignment="1">
      <alignment horizontal="left"/>
    </xf>
    <xf numFmtId="3" fontId="0" fillId="4" borderId="53" xfId="0" applyNumberFormat="1" applyFill="1" applyBorder="1" applyAlignment="1">
      <alignment/>
    </xf>
    <xf numFmtId="3" fontId="22" fillId="32" borderId="10" xfId="0" applyNumberFormat="1" applyFont="1" applyFill="1" applyBorder="1" applyAlignment="1">
      <alignment/>
    </xf>
    <xf numFmtId="0" fontId="0" fillId="0" borderId="59" xfId="0" applyBorder="1" applyAlignment="1">
      <alignment horizontal="left"/>
    </xf>
    <xf numFmtId="3" fontId="0" fillId="32" borderId="60" xfId="0" applyNumberFormat="1" applyFill="1" applyBorder="1" applyAlignment="1">
      <alignment horizontal="right" vertical="center"/>
    </xf>
    <xf numFmtId="3" fontId="0" fillId="0" borderId="61" xfId="0" applyNumberFormat="1" applyBorder="1" applyAlignment="1">
      <alignment/>
    </xf>
    <xf numFmtId="3" fontId="0" fillId="4" borderId="59" xfId="0" applyNumberFormat="1" applyFill="1" applyBorder="1" applyAlignment="1">
      <alignment/>
    </xf>
    <xf numFmtId="3" fontId="0" fillId="4" borderId="62" xfId="0" applyNumberFormat="1" applyFill="1" applyBorder="1" applyAlignment="1">
      <alignment/>
    </xf>
    <xf numFmtId="3" fontId="0" fillId="4" borderId="41" xfId="0" applyNumberFormat="1" applyFill="1" applyBorder="1" applyAlignment="1">
      <alignment/>
    </xf>
    <xf numFmtId="0" fontId="22" fillId="0" borderId="20" xfId="0" applyFont="1" applyBorder="1" applyAlignment="1">
      <alignment/>
    </xf>
    <xf numFmtId="3" fontId="22" fillId="4" borderId="27" xfId="0" applyNumberFormat="1" applyFont="1" applyFill="1" applyBorder="1" applyAlignment="1">
      <alignment/>
    </xf>
    <xf numFmtId="3" fontId="0" fillId="35" borderId="30" xfId="0" applyNumberFormat="1" applyFill="1" applyBorder="1" applyAlignment="1">
      <alignment/>
    </xf>
    <xf numFmtId="0" fontId="22" fillId="0" borderId="63" xfId="0" applyFont="1" applyBorder="1" applyAlignment="1">
      <alignment/>
    </xf>
    <xf numFmtId="3" fontId="22" fillId="35" borderId="64" xfId="0" applyNumberFormat="1" applyFont="1" applyFill="1" applyBorder="1" applyAlignment="1">
      <alignment/>
    </xf>
    <xf numFmtId="3" fontId="0" fillId="35" borderId="64" xfId="0" applyNumberFormat="1" applyFill="1" applyBorder="1" applyAlignment="1">
      <alignment/>
    </xf>
    <xf numFmtId="3" fontId="0" fillId="35" borderId="64" xfId="0" applyNumberFormat="1" applyFill="1" applyBorder="1" applyAlignment="1">
      <alignment horizontal="center"/>
    </xf>
    <xf numFmtId="3" fontId="22" fillId="35" borderId="65" xfId="0" applyNumberFormat="1" applyFont="1" applyFill="1" applyBorder="1" applyAlignment="1">
      <alignment/>
    </xf>
    <xf numFmtId="3" fontId="0" fillId="35" borderId="50" xfId="0" applyNumberFormat="1" applyFill="1" applyBorder="1" applyAlignment="1">
      <alignment/>
    </xf>
    <xf numFmtId="3" fontId="0" fillId="35" borderId="34" xfId="0" applyNumberFormat="1" applyFill="1" applyBorder="1" applyAlignment="1">
      <alignment/>
    </xf>
    <xf numFmtId="3" fontId="0" fillId="35" borderId="51" xfId="0" applyNumberFormat="1" applyFill="1" applyBorder="1" applyAlignment="1">
      <alignment/>
    </xf>
    <xf numFmtId="3" fontId="0" fillId="35" borderId="66" xfId="0" applyNumberFormat="1" applyFill="1" applyBorder="1" applyAlignment="1">
      <alignment/>
    </xf>
    <xf numFmtId="3" fontId="0" fillId="35" borderId="11" xfId="0" applyNumberFormat="1" applyFill="1" applyBorder="1" applyAlignment="1">
      <alignment/>
    </xf>
    <xf numFmtId="0" fontId="22" fillId="35" borderId="63" xfId="0" applyFont="1" applyFill="1" applyBorder="1" applyAlignment="1">
      <alignment/>
    </xf>
    <xf numFmtId="0" fontId="19" fillId="34" borderId="55" xfId="0" applyFon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3" fontId="14" fillId="4" borderId="41" xfId="0" applyNumberFormat="1" applyFont="1" applyFill="1" applyBorder="1" applyAlignment="1">
      <alignment horizontal="right"/>
    </xf>
    <xf numFmtId="3" fontId="0" fillId="32" borderId="66" xfId="0" applyNumberFormat="1" applyFill="1" applyBorder="1" applyAlignment="1">
      <alignment horizontal="right" vertical="center"/>
    </xf>
    <xf numFmtId="3" fontId="0" fillId="0" borderId="66" xfId="0" applyNumberFormat="1" applyBorder="1" applyAlignment="1">
      <alignment horizontal="right" vertical="center"/>
    </xf>
    <xf numFmtId="3" fontId="0" fillId="4" borderId="26" xfId="0" applyNumberFormat="1" applyFill="1" applyBorder="1" applyAlignment="1">
      <alignment/>
    </xf>
    <xf numFmtId="3" fontId="0" fillId="0" borderId="66" xfId="0" applyNumberFormat="1" applyBorder="1" applyAlignment="1">
      <alignment/>
    </xf>
    <xf numFmtId="0" fontId="19" fillId="0" borderId="68" xfId="0" applyFont="1" applyBorder="1" applyAlignment="1">
      <alignment horizontal="center"/>
    </xf>
    <xf numFmtId="3" fontId="0" fillId="32" borderId="18" xfId="0" applyNumberFormat="1" applyFill="1" applyBorder="1" applyAlignment="1">
      <alignment horizontal="right" vertical="center"/>
    </xf>
    <xf numFmtId="3" fontId="0" fillId="0" borderId="69" xfId="0" applyNumberFormat="1" applyBorder="1" applyAlignment="1">
      <alignment/>
    </xf>
    <xf numFmtId="0" fontId="0" fillId="0" borderId="42" xfId="0" applyBorder="1" applyAlignment="1">
      <alignment horizontal="left" wrapText="1"/>
    </xf>
    <xf numFmtId="0" fontId="0" fillId="0" borderId="15" xfId="0" applyBorder="1" applyAlignment="1">
      <alignment/>
    </xf>
    <xf numFmtId="3" fontId="0" fillId="35" borderId="13" xfId="0" applyNumberFormat="1" applyFill="1" applyBorder="1" applyAlignment="1">
      <alignment/>
    </xf>
    <xf numFmtId="3" fontId="0" fillId="35" borderId="70" xfId="0" applyNumberFormat="1" applyFill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9" fillId="0" borderId="15" xfId="0" applyFont="1" applyBorder="1" applyAlignment="1">
      <alignment horizontal="center"/>
    </xf>
    <xf numFmtId="3" fontId="0" fillId="4" borderId="53" xfId="0" applyNumberFormat="1" applyFill="1" applyBorder="1" applyAlignment="1">
      <alignment horizontal="right" vertical="center"/>
    </xf>
    <xf numFmtId="3" fontId="0" fillId="32" borderId="71" xfId="0" applyNumberFormat="1" applyFill="1" applyBorder="1" applyAlignment="1">
      <alignment/>
    </xf>
    <xf numFmtId="3" fontId="22" fillId="32" borderId="11" xfId="0" applyNumberFormat="1" applyFont="1" applyFill="1" applyBorder="1" applyAlignment="1">
      <alignment/>
    </xf>
    <xf numFmtId="3" fontId="0" fillId="32" borderId="72" xfId="0" applyNumberFormat="1" applyFill="1" applyBorder="1" applyAlignment="1">
      <alignment/>
    </xf>
    <xf numFmtId="3" fontId="22" fillId="32" borderId="34" xfId="0" applyNumberFormat="1" applyFont="1" applyFill="1" applyBorder="1" applyAlignment="1">
      <alignment/>
    </xf>
    <xf numFmtId="0" fontId="0" fillId="0" borderId="34" xfId="0" applyBorder="1" applyAlignment="1">
      <alignment horizontal="right"/>
    </xf>
    <xf numFmtId="3" fontId="0" fillId="32" borderId="73" xfId="0" applyNumberFormat="1" applyFill="1" applyBorder="1" applyAlignment="1">
      <alignment/>
    </xf>
    <xf numFmtId="3" fontId="0" fillId="32" borderId="74" xfId="0" applyNumberFormat="1" applyFill="1" applyBorder="1" applyAlignment="1">
      <alignment/>
    </xf>
    <xf numFmtId="0" fontId="116" fillId="0" borderId="0" xfId="0" applyFont="1" applyAlignment="1">
      <alignment/>
    </xf>
    <xf numFmtId="3" fontId="116" fillId="0" borderId="0" xfId="0" applyNumberFormat="1" applyFont="1" applyAlignment="1">
      <alignment/>
    </xf>
    <xf numFmtId="0" fontId="117" fillId="0" borderId="0" xfId="0" applyFont="1" applyAlignment="1">
      <alignment/>
    </xf>
    <xf numFmtId="3" fontId="116" fillId="0" borderId="0" xfId="0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42" fillId="0" borderId="11" xfId="0" applyFont="1" applyBorder="1" applyAlignment="1">
      <alignment horizontal="left"/>
    </xf>
    <xf numFmtId="0" fontId="42" fillId="0" borderId="10" xfId="58" applyFont="1" applyBorder="1" applyAlignment="1">
      <alignment horizontal="left"/>
      <protection/>
    </xf>
    <xf numFmtId="0" fontId="42" fillId="0" borderId="13" xfId="58" applyFont="1" applyBorder="1" applyAlignment="1">
      <alignment horizontal="left"/>
      <protection/>
    </xf>
    <xf numFmtId="0" fontId="19" fillId="0" borderId="70" xfId="0" applyFont="1" applyBorder="1" applyAlignment="1">
      <alignment horizontal="right"/>
    </xf>
    <xf numFmtId="3" fontId="23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8" fillId="0" borderId="0" xfId="0" applyFont="1" applyAlignment="1">
      <alignment/>
    </xf>
    <xf numFmtId="0" fontId="49" fillId="0" borderId="11" xfId="0" applyFont="1" applyBorder="1" applyAlignment="1">
      <alignment/>
    </xf>
    <xf numFmtId="3" fontId="49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3" fontId="43" fillId="0" borderId="11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left"/>
    </xf>
    <xf numFmtId="3" fontId="48" fillId="0" borderId="11" xfId="0" applyNumberFormat="1" applyFont="1" applyBorder="1" applyAlignment="1">
      <alignment/>
    </xf>
    <xf numFmtId="3" fontId="5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48" fillId="0" borderId="11" xfId="0" applyFont="1" applyBorder="1" applyAlignment="1">
      <alignment horizontal="left" vertical="center" wrapText="1"/>
    </xf>
    <xf numFmtId="3" fontId="48" fillId="35" borderId="11" xfId="0" applyNumberFormat="1" applyFont="1" applyFill="1" applyBorder="1" applyAlignment="1">
      <alignment/>
    </xf>
    <xf numFmtId="0" fontId="48" fillId="0" borderId="11" xfId="0" applyFont="1" applyBorder="1" applyAlignment="1">
      <alignment horizontal="left" vertical="top"/>
    </xf>
    <xf numFmtId="0" fontId="48" fillId="0" borderId="11" xfId="0" applyFont="1" applyBorder="1" applyAlignment="1">
      <alignment horizontal="left" wrapText="1"/>
    </xf>
    <xf numFmtId="0" fontId="53" fillId="0" borderId="11" xfId="0" applyFont="1" applyBorder="1" applyAlignment="1">
      <alignment/>
    </xf>
    <xf numFmtId="3" fontId="53" fillId="0" borderId="11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 horizontal="right"/>
    </xf>
    <xf numFmtId="3" fontId="55" fillId="0" borderId="11" xfId="0" applyNumberFormat="1" applyFont="1" applyBorder="1" applyAlignment="1">
      <alignment/>
    </xf>
    <xf numFmtId="3" fontId="56" fillId="0" borderId="11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0" fontId="43" fillId="0" borderId="11" xfId="0" applyFont="1" applyBorder="1" applyAlignment="1">
      <alignment vertical="center"/>
    </xf>
    <xf numFmtId="3" fontId="119" fillId="0" borderId="11" xfId="0" applyNumberFormat="1" applyFont="1" applyBorder="1" applyAlignment="1">
      <alignment/>
    </xf>
    <xf numFmtId="3" fontId="43" fillId="0" borderId="11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2" xfId="0" applyFont="1" applyBorder="1" applyAlignment="1">
      <alignment/>
    </xf>
    <xf numFmtId="0" fontId="42" fillId="0" borderId="11" xfId="58" applyFont="1" applyBorder="1">
      <alignment/>
      <protection/>
    </xf>
    <xf numFmtId="3" fontId="42" fillId="0" borderId="11" xfId="58" applyNumberFormat="1" applyFont="1" applyBorder="1">
      <alignment/>
      <protection/>
    </xf>
    <xf numFmtId="3" fontId="20" fillId="0" borderId="11" xfId="58" applyNumberFormat="1" applyFont="1" applyBorder="1">
      <alignment/>
      <protection/>
    </xf>
    <xf numFmtId="0" fontId="43" fillId="0" borderId="11" xfId="58" applyFont="1" applyBorder="1">
      <alignment/>
      <protection/>
    </xf>
    <xf numFmtId="3" fontId="43" fillId="0" borderId="11" xfId="58" applyNumberFormat="1" applyFont="1" applyBorder="1">
      <alignment/>
      <protection/>
    </xf>
    <xf numFmtId="0" fontId="20" fillId="0" borderId="11" xfId="58" applyFont="1" applyBorder="1">
      <alignment/>
      <protection/>
    </xf>
    <xf numFmtId="3" fontId="47" fillId="0" borderId="11" xfId="58" applyNumberFormat="1" applyFont="1" applyBorder="1">
      <alignment/>
      <protection/>
    </xf>
    <xf numFmtId="0" fontId="48" fillId="0" borderId="11" xfId="58" applyFont="1" applyBorder="1">
      <alignment/>
      <protection/>
    </xf>
    <xf numFmtId="0" fontId="48" fillId="0" borderId="11" xfId="58" applyFont="1" applyBorder="1" applyAlignment="1">
      <alignment horizontal="left"/>
      <protection/>
    </xf>
    <xf numFmtId="3" fontId="48" fillId="0" borderId="11" xfId="58" applyNumberFormat="1" applyFont="1" applyBorder="1">
      <alignment/>
      <protection/>
    </xf>
    <xf numFmtId="0" fontId="19" fillId="0" borderId="11" xfId="58" applyFont="1" applyBorder="1">
      <alignment/>
      <protection/>
    </xf>
    <xf numFmtId="0" fontId="48" fillId="0" borderId="11" xfId="58" applyFont="1" applyBorder="1" applyAlignment="1">
      <alignment horizontal="right"/>
      <protection/>
    </xf>
    <xf numFmtId="0" fontId="48" fillId="0" borderId="10" xfId="58" applyFont="1" applyBorder="1" applyAlignment="1">
      <alignment horizontal="left"/>
      <protection/>
    </xf>
    <xf numFmtId="0" fontId="48" fillId="0" borderId="13" xfId="58" applyFont="1" applyBorder="1" applyAlignment="1">
      <alignment horizontal="left"/>
      <protection/>
    </xf>
    <xf numFmtId="0" fontId="19" fillId="0" borderId="10" xfId="58" applyFont="1" applyBorder="1">
      <alignment/>
      <protection/>
    </xf>
    <xf numFmtId="0" fontId="19" fillId="0" borderId="0" xfId="58" applyFont="1">
      <alignment/>
      <protection/>
    </xf>
    <xf numFmtId="3" fontId="20" fillId="0" borderId="10" xfId="58" applyNumberFormat="1" applyFont="1" applyBorder="1">
      <alignment/>
      <protection/>
    </xf>
    <xf numFmtId="3" fontId="20" fillId="0" borderId="13" xfId="58" applyNumberFormat="1" applyFont="1" applyBorder="1">
      <alignment/>
      <protection/>
    </xf>
    <xf numFmtId="3" fontId="16" fillId="0" borderId="11" xfId="58" applyNumberFormat="1" applyFont="1" applyBorder="1">
      <alignment/>
      <protection/>
    </xf>
    <xf numFmtId="0" fontId="57" fillId="0" borderId="11" xfId="58" applyFont="1" applyBorder="1" applyAlignment="1">
      <alignment horizontal="left"/>
      <protection/>
    </xf>
    <xf numFmtId="0" fontId="48" fillId="0" borderId="13" xfId="58" applyFont="1" applyBorder="1" applyAlignment="1">
      <alignment horizontal="left" wrapText="1"/>
      <protection/>
    </xf>
    <xf numFmtId="3" fontId="120" fillId="0" borderId="11" xfId="58" applyNumberFormat="1" applyFont="1" applyBorder="1">
      <alignment/>
      <protection/>
    </xf>
    <xf numFmtId="3" fontId="48" fillId="0" borderId="11" xfId="58" applyNumberFormat="1" applyFont="1" applyBorder="1" applyAlignment="1">
      <alignment vertical="center"/>
      <protection/>
    </xf>
    <xf numFmtId="3" fontId="47" fillId="0" borderId="11" xfId="58" applyNumberFormat="1" applyFont="1" applyBorder="1" applyAlignment="1">
      <alignment vertical="center"/>
      <protection/>
    </xf>
    <xf numFmtId="3" fontId="19" fillId="0" borderId="11" xfId="58" applyNumberFormat="1" applyFont="1" applyBorder="1">
      <alignment/>
      <protection/>
    </xf>
    <xf numFmtId="0" fontId="18" fillId="0" borderId="11" xfId="57" applyFont="1" applyBorder="1" applyAlignment="1">
      <alignment horizontal="center" vertical="center"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19" fillId="0" borderId="11" xfId="57" applyFont="1" applyBorder="1">
      <alignment/>
      <protection/>
    </xf>
    <xf numFmtId="0" fontId="23" fillId="0" borderId="11" xfId="57" applyFont="1" applyBorder="1">
      <alignment/>
      <protection/>
    </xf>
    <xf numFmtId="0" fontId="23" fillId="0" borderId="11" xfId="57" applyFont="1" applyBorder="1" applyAlignment="1">
      <alignment horizontal="left" vertical="center" indent="2"/>
      <protection/>
    </xf>
    <xf numFmtId="16" fontId="23" fillId="0" borderId="11" xfId="57" applyNumberFormat="1" applyFont="1" applyBorder="1" applyAlignment="1">
      <alignment horizontal="left" vertical="center" indent="2"/>
      <protection/>
    </xf>
    <xf numFmtId="0" fontId="23" fillId="0" borderId="11" xfId="57" applyFont="1" applyBorder="1" applyAlignment="1">
      <alignment horizontal="left" indent="2"/>
      <protection/>
    </xf>
    <xf numFmtId="3" fontId="20" fillId="0" borderId="11" xfId="42" applyNumberFormat="1" applyFont="1" applyBorder="1" applyAlignment="1">
      <alignment horizontal="right"/>
    </xf>
    <xf numFmtId="3" fontId="19" fillId="0" borderId="11" xfId="42" applyNumberFormat="1" applyFont="1" applyBorder="1" applyAlignment="1">
      <alignment horizontal="right"/>
    </xf>
    <xf numFmtId="3" fontId="23" fillId="0" borderId="11" xfId="42" applyNumberFormat="1" applyFont="1" applyBorder="1" applyAlignment="1">
      <alignment horizontal="right"/>
    </xf>
    <xf numFmtId="0" fontId="29" fillId="0" borderId="11" xfId="57" applyFont="1" applyBorder="1" applyAlignment="1">
      <alignment horizontal="left" vertical="center" wrapText="1"/>
      <protection/>
    </xf>
    <xf numFmtId="3" fontId="29" fillId="0" borderId="11" xfId="42" applyNumberFormat="1" applyFont="1" applyBorder="1" applyAlignment="1">
      <alignment horizontal="right"/>
    </xf>
    <xf numFmtId="0" fontId="29" fillId="0" borderId="11" xfId="57" applyFont="1" applyBorder="1">
      <alignment/>
      <protection/>
    </xf>
    <xf numFmtId="0" fontId="31" fillId="0" borderId="11" xfId="57" applyFont="1" applyBorder="1" applyAlignment="1">
      <alignment horizontal="right"/>
      <protection/>
    </xf>
    <xf numFmtId="0" fontId="33" fillId="0" borderId="11" xfId="57" applyFont="1" applyBorder="1" applyAlignment="1">
      <alignment vertical="center"/>
      <protection/>
    </xf>
    <xf numFmtId="3" fontId="33" fillId="0" borderId="11" xfId="42" applyNumberFormat="1" applyFont="1" applyBorder="1" applyAlignment="1">
      <alignment horizontal="right"/>
    </xf>
    <xf numFmtId="0" fontId="33" fillId="0" borderId="11" xfId="57" applyFont="1" applyBorder="1">
      <alignment/>
      <protection/>
    </xf>
    <xf numFmtId="0" fontId="33" fillId="0" borderId="11" xfId="57" applyFont="1" applyBorder="1" applyAlignment="1">
      <alignment vertical="center" wrapText="1"/>
      <protection/>
    </xf>
    <xf numFmtId="0" fontId="33" fillId="0" borderId="11" xfId="57" applyFont="1" applyBorder="1" applyAlignment="1">
      <alignment horizontal="left" vertical="center"/>
      <protection/>
    </xf>
    <xf numFmtId="0" fontId="33" fillId="0" borderId="11" xfId="57" applyFont="1" applyBorder="1" applyAlignment="1">
      <alignment horizontal="left" vertical="center" wrapText="1"/>
      <protection/>
    </xf>
    <xf numFmtId="0" fontId="20" fillId="0" borderId="11" xfId="57" applyFont="1" applyBorder="1" applyAlignment="1">
      <alignment horizontal="left" vertical="center" indent="1"/>
      <protection/>
    </xf>
    <xf numFmtId="0" fontId="20" fillId="0" borderId="11" xfId="57" applyFont="1" applyBorder="1" applyAlignment="1">
      <alignment horizontal="left" indent="1"/>
      <protection/>
    </xf>
    <xf numFmtId="3" fontId="36" fillId="0" borderId="11" xfId="57" applyNumberFormat="1" applyFont="1" applyBorder="1" applyAlignment="1">
      <alignment horizontal="right" vertical="center"/>
      <protection/>
    </xf>
    <xf numFmtId="3" fontId="36" fillId="0" borderId="11" xfId="42" applyNumberFormat="1" applyFont="1" applyBorder="1" applyAlignment="1">
      <alignment horizontal="right"/>
    </xf>
    <xf numFmtId="0" fontId="20" fillId="0" borderId="11" xfId="57" applyFont="1" applyBorder="1" applyAlignment="1">
      <alignment horizontal="left" vertical="top" indent="1"/>
      <protection/>
    </xf>
    <xf numFmtId="0" fontId="21" fillId="0" borderId="11" xfId="57" applyFont="1" applyBorder="1" applyAlignment="1">
      <alignment horizontal="center" vertical="center" wrapText="1"/>
      <protection/>
    </xf>
    <xf numFmtId="0" fontId="21" fillId="0" borderId="11" xfId="57" applyFont="1" applyBorder="1" applyAlignment="1">
      <alignment horizontal="center"/>
      <protection/>
    </xf>
    <xf numFmtId="3" fontId="18" fillId="0" borderId="11" xfId="57" applyNumberFormat="1" applyFont="1" applyBorder="1" applyAlignment="1">
      <alignment vertical="center"/>
      <protection/>
    </xf>
    <xf numFmtId="3" fontId="29" fillId="0" borderId="11" xfId="42" applyNumberFormat="1" applyFont="1" applyBorder="1" applyAlignment="1">
      <alignment horizontal="right" vertical="center"/>
    </xf>
    <xf numFmtId="0" fontId="29" fillId="0" borderId="11" xfId="57" applyFont="1" applyBorder="1" applyAlignment="1">
      <alignment vertical="center"/>
      <protection/>
    </xf>
    <xf numFmtId="3" fontId="43" fillId="35" borderId="75" xfId="62" applyNumberFormat="1" applyFont="1" applyFill="1" applyBorder="1" applyAlignment="1">
      <alignment vertical="center" wrapText="1"/>
      <protection/>
    </xf>
    <xf numFmtId="3" fontId="121" fillId="35" borderId="13" xfId="62" applyNumberFormat="1" applyFont="1" applyFill="1" applyBorder="1" applyAlignment="1">
      <alignment horizontal="right" vertical="center" wrapText="1"/>
      <protection/>
    </xf>
    <xf numFmtId="3" fontId="43" fillId="35" borderId="13" xfId="62" applyNumberFormat="1" applyFont="1" applyFill="1" applyBorder="1" applyAlignment="1">
      <alignment horizontal="right" vertical="center" wrapText="1"/>
      <protection/>
    </xf>
    <xf numFmtId="3" fontId="16" fillId="0" borderId="76" xfId="60" applyNumberFormat="1" applyFont="1" applyBorder="1" applyAlignment="1">
      <alignment horizontal="right" vertical="center"/>
      <protection/>
    </xf>
    <xf numFmtId="0" fontId="23" fillId="0" borderId="20" xfId="60" applyFont="1" applyBorder="1" applyAlignment="1">
      <alignment horizontal="left" vertical="center" wrapText="1"/>
      <protection/>
    </xf>
    <xf numFmtId="0" fontId="23" fillId="0" borderId="20" xfId="60" applyFont="1" applyBorder="1" applyAlignment="1">
      <alignment horizontal="left" vertical="center"/>
      <protection/>
    </xf>
    <xf numFmtId="3" fontId="16" fillId="0" borderId="77" xfId="60" applyNumberFormat="1" applyFont="1" applyBorder="1" applyAlignment="1">
      <alignment horizontal="right" vertical="center"/>
      <protection/>
    </xf>
    <xf numFmtId="0" fontId="20" fillId="0" borderId="78" xfId="60" applyFont="1" applyBorder="1" applyAlignment="1">
      <alignment horizontal="center"/>
      <protection/>
    </xf>
    <xf numFmtId="0" fontId="23" fillId="0" borderId="79" xfId="60" applyFont="1" applyBorder="1">
      <alignment/>
      <protection/>
    </xf>
    <xf numFmtId="0" fontId="23" fillId="0" borderId="80" xfId="60" applyFont="1" applyBorder="1">
      <alignment/>
      <protection/>
    </xf>
    <xf numFmtId="0" fontId="23" fillId="0" borderId="70" xfId="60" applyFont="1" applyBorder="1">
      <alignment/>
      <protection/>
    </xf>
    <xf numFmtId="0" fontId="23" fillId="0" borderId="81" xfId="60" applyFont="1" applyBorder="1">
      <alignment/>
      <protection/>
    </xf>
    <xf numFmtId="3" fontId="23" fillId="0" borderId="82" xfId="60" applyNumberFormat="1" applyFont="1" applyBorder="1">
      <alignment/>
      <protection/>
    </xf>
    <xf numFmtId="3" fontId="16" fillId="0" borderId="83" xfId="60" applyNumberFormat="1" applyFont="1" applyBorder="1" applyAlignment="1">
      <alignment horizontal="right" vertical="center"/>
      <protection/>
    </xf>
    <xf numFmtId="3" fontId="16" fillId="0" borderId="84" xfId="60" applyNumberFormat="1" applyFont="1" applyBorder="1" applyAlignment="1">
      <alignment horizontal="right" vertical="center"/>
      <protection/>
    </xf>
    <xf numFmtId="3" fontId="16" fillId="0" borderId="79" xfId="60" applyNumberFormat="1" applyFont="1" applyBorder="1" applyAlignment="1">
      <alignment horizontal="right" vertical="center"/>
      <protection/>
    </xf>
    <xf numFmtId="3" fontId="23" fillId="0" borderId="85" xfId="60" applyNumberFormat="1" applyFont="1" applyBorder="1">
      <alignment/>
      <protection/>
    </xf>
    <xf numFmtId="0" fontId="23" fillId="0" borderId="84" xfId="60" applyFont="1" applyBorder="1">
      <alignment/>
      <protection/>
    </xf>
    <xf numFmtId="0" fontId="60" fillId="0" borderId="81" xfId="60" applyFont="1" applyBorder="1" applyAlignment="1">
      <alignment horizontal="right" vertical="center"/>
      <protection/>
    </xf>
    <xf numFmtId="0" fontId="24" fillId="0" borderId="79" xfId="60" applyFont="1" applyBorder="1" applyAlignment="1">
      <alignment horizontal="right"/>
      <protection/>
    </xf>
    <xf numFmtId="0" fontId="24" fillId="0" borderId="70" xfId="60" applyFont="1" applyBorder="1" applyAlignment="1">
      <alignment horizontal="right"/>
      <protection/>
    </xf>
    <xf numFmtId="3" fontId="20" fillId="0" borderId="70" xfId="60" applyNumberFormat="1" applyFont="1" applyBorder="1" applyAlignment="1">
      <alignment horizontal="right"/>
      <protection/>
    </xf>
    <xf numFmtId="3" fontId="20" fillId="0" borderId="81" xfId="60" applyNumberFormat="1" applyFont="1" applyBorder="1">
      <alignment/>
      <protection/>
    </xf>
    <xf numFmtId="3" fontId="60" fillId="0" borderId="79" xfId="60" applyNumberFormat="1" applyFont="1" applyBorder="1" applyAlignment="1">
      <alignment horizontal="right" vertical="center"/>
      <protection/>
    </xf>
    <xf numFmtId="3" fontId="60" fillId="0" borderId="84" xfId="60" applyNumberFormat="1" applyFont="1" applyBorder="1" applyAlignment="1">
      <alignment horizontal="right" vertical="center"/>
      <protection/>
    </xf>
    <xf numFmtId="3" fontId="23" fillId="0" borderId="79" xfId="60" applyNumberFormat="1" applyFont="1" applyBorder="1">
      <alignment/>
      <protection/>
    </xf>
    <xf numFmtId="3" fontId="23" fillId="0" borderId="84" xfId="60" applyNumberFormat="1" applyFont="1" applyBorder="1">
      <alignment/>
      <protection/>
    </xf>
    <xf numFmtId="3" fontId="60" fillId="0" borderId="81" xfId="60" applyNumberFormat="1" applyFont="1" applyBorder="1" applyAlignment="1">
      <alignment horizontal="right" vertical="center"/>
      <protection/>
    </xf>
    <xf numFmtId="0" fontId="23" fillId="0" borderId="79" xfId="60" applyFont="1" applyBorder="1" applyAlignment="1">
      <alignment horizontal="right"/>
      <protection/>
    </xf>
    <xf numFmtId="0" fontId="23" fillId="0" borderId="70" xfId="60" applyFont="1" applyBorder="1" applyAlignment="1">
      <alignment horizontal="right"/>
      <protection/>
    </xf>
    <xf numFmtId="0" fontId="60" fillId="0" borderId="81" xfId="60" applyFont="1" applyBorder="1">
      <alignment/>
      <protection/>
    </xf>
    <xf numFmtId="3" fontId="23" fillId="0" borderId="27" xfId="60" applyNumberFormat="1" applyFont="1" applyBorder="1">
      <alignment/>
      <protection/>
    </xf>
    <xf numFmtId="3" fontId="60" fillId="0" borderId="79" xfId="60" applyNumberFormat="1" applyFont="1" applyBorder="1">
      <alignment/>
      <protection/>
    </xf>
    <xf numFmtId="3" fontId="60" fillId="0" borderId="84" xfId="60" applyNumberFormat="1" applyFont="1" applyBorder="1">
      <alignment/>
      <protection/>
    </xf>
    <xf numFmtId="3" fontId="60" fillId="0" borderId="85" xfId="60" applyNumberFormat="1" applyFont="1" applyBorder="1">
      <alignment/>
      <protection/>
    </xf>
    <xf numFmtId="3" fontId="60" fillId="0" borderId="81" xfId="60" applyNumberFormat="1" applyFont="1" applyBorder="1">
      <alignment/>
      <protection/>
    </xf>
    <xf numFmtId="0" fontId="19" fillId="0" borderId="79" xfId="60" applyFont="1" applyBorder="1" applyAlignment="1">
      <alignment horizontal="right"/>
      <protection/>
    </xf>
    <xf numFmtId="0" fontId="19" fillId="0" borderId="70" xfId="60" applyFont="1" applyBorder="1" applyAlignment="1">
      <alignment horizontal="right"/>
      <protection/>
    </xf>
    <xf numFmtId="0" fontId="19" fillId="0" borderId="81" xfId="60" applyFont="1" applyBorder="1">
      <alignment/>
      <protection/>
    </xf>
    <xf numFmtId="0" fontId="61" fillId="0" borderId="79" xfId="60" applyFont="1" applyBorder="1" applyAlignment="1">
      <alignment horizontal="left"/>
      <protection/>
    </xf>
    <xf numFmtId="0" fontId="61" fillId="0" borderId="83" xfId="60" applyFont="1" applyBorder="1" applyAlignment="1">
      <alignment horizontal="left"/>
      <protection/>
    </xf>
    <xf numFmtId="0" fontId="61" fillId="0" borderId="82" xfId="60" applyFont="1" applyBorder="1" applyAlignment="1">
      <alignment horizontal="left"/>
      <protection/>
    </xf>
    <xf numFmtId="0" fontId="61" fillId="0" borderId="82" xfId="60" applyFont="1" applyBorder="1">
      <alignment/>
      <protection/>
    </xf>
    <xf numFmtId="3" fontId="23" fillId="0" borderId="86" xfId="60" applyNumberFormat="1" applyFont="1" applyBorder="1">
      <alignment/>
      <protection/>
    </xf>
    <xf numFmtId="0" fontId="19" fillId="0" borderId="15" xfId="60" applyFont="1" applyBorder="1" applyAlignment="1">
      <alignment horizontal="right"/>
      <protection/>
    </xf>
    <xf numFmtId="0" fontId="19" fillId="0" borderId="87" xfId="60" applyFont="1" applyBorder="1" applyAlignment="1">
      <alignment horizontal="right"/>
      <protection/>
    </xf>
    <xf numFmtId="0" fontId="19" fillId="0" borderId="15" xfId="60" applyFont="1" applyBorder="1">
      <alignment/>
      <protection/>
    </xf>
    <xf numFmtId="0" fontId="19" fillId="0" borderId="88" xfId="60" applyFont="1" applyBorder="1">
      <alignment/>
      <protection/>
    </xf>
    <xf numFmtId="0" fontId="23" fillId="0" borderId="15" xfId="60" applyFont="1" applyBorder="1" applyAlignment="1">
      <alignment horizontal="left"/>
      <protection/>
    </xf>
    <xf numFmtId="0" fontId="61" fillId="0" borderId="89" xfId="60" applyFont="1" applyBorder="1" applyAlignment="1">
      <alignment horizontal="left"/>
      <protection/>
    </xf>
    <xf numFmtId="0" fontId="61" fillId="0" borderId="15" xfId="60" applyFont="1" applyBorder="1" applyAlignment="1">
      <alignment horizontal="left"/>
      <protection/>
    </xf>
    <xf numFmtId="3" fontId="16" fillId="0" borderId="89" xfId="60" applyNumberFormat="1" applyFont="1" applyBorder="1" applyAlignment="1">
      <alignment horizontal="right" vertical="center"/>
      <protection/>
    </xf>
    <xf numFmtId="3" fontId="60" fillId="0" borderId="90" xfId="60" applyNumberFormat="1" applyFont="1" applyBorder="1" applyAlignment="1">
      <alignment horizontal="right" vertical="center"/>
      <protection/>
    </xf>
    <xf numFmtId="3" fontId="60" fillId="0" borderId="91" xfId="60" applyNumberFormat="1" applyFont="1" applyBorder="1" applyAlignment="1">
      <alignment horizontal="right" vertical="center"/>
      <protection/>
    </xf>
    <xf numFmtId="3" fontId="23" fillId="0" borderId="92" xfId="60" applyNumberFormat="1" applyFont="1" applyBorder="1">
      <alignment/>
      <protection/>
    </xf>
    <xf numFmtId="3" fontId="23" fillId="0" borderId="90" xfId="60" applyNumberFormat="1" applyFont="1" applyBorder="1">
      <alignment/>
      <protection/>
    </xf>
    <xf numFmtId="3" fontId="23" fillId="0" borderId="91" xfId="60" applyNumberFormat="1" applyFont="1" applyBorder="1">
      <alignment/>
      <protection/>
    </xf>
    <xf numFmtId="3" fontId="60" fillId="0" borderId="88" xfId="60" applyNumberFormat="1" applyFont="1" applyBorder="1" applyAlignment="1">
      <alignment horizontal="right" vertical="center"/>
      <protection/>
    </xf>
    <xf numFmtId="3" fontId="60" fillId="0" borderId="93" xfId="60" applyNumberFormat="1" applyFont="1" applyBorder="1" applyAlignment="1">
      <alignment horizontal="right" vertical="center"/>
      <protection/>
    </xf>
    <xf numFmtId="0" fontId="19" fillId="0" borderId="20" xfId="60" applyFont="1" applyBorder="1">
      <alignment/>
      <protection/>
    </xf>
    <xf numFmtId="0" fontId="19" fillId="0" borderId="70" xfId="60" applyFont="1" applyBorder="1">
      <alignment/>
      <protection/>
    </xf>
    <xf numFmtId="0" fontId="19" fillId="0" borderId="84" xfId="60" applyFont="1" applyBorder="1">
      <alignment/>
      <protection/>
    </xf>
    <xf numFmtId="0" fontId="19" fillId="0" borderId="94" xfId="60" applyFont="1" applyBorder="1">
      <alignment/>
      <protection/>
    </xf>
    <xf numFmtId="0" fontId="19" fillId="0" borderId="91" xfId="60" applyFont="1" applyBorder="1">
      <alignment/>
      <protection/>
    </xf>
    <xf numFmtId="0" fontId="19" fillId="0" borderId="95" xfId="60" applyFont="1" applyBorder="1">
      <alignment/>
      <protection/>
    </xf>
    <xf numFmtId="3" fontId="20" fillId="0" borderId="84" xfId="60" applyNumberFormat="1" applyFont="1" applyBorder="1" applyAlignment="1">
      <alignment horizontal="right"/>
      <protection/>
    </xf>
    <xf numFmtId="0" fontId="23" fillId="0" borderId="79" xfId="60" applyFont="1" applyBorder="1" applyAlignment="1">
      <alignment horizontal="left"/>
      <protection/>
    </xf>
    <xf numFmtId="3" fontId="60" fillId="0" borderId="96" xfId="60" applyNumberFormat="1" applyFont="1" applyBorder="1" applyAlignment="1">
      <alignment horizontal="right"/>
      <protection/>
    </xf>
    <xf numFmtId="3" fontId="60" fillId="0" borderId="79" xfId="60" applyNumberFormat="1" applyFont="1" applyBorder="1" applyAlignment="1">
      <alignment horizontal="right"/>
      <protection/>
    </xf>
    <xf numFmtId="0" fontId="16" fillId="0" borderId="50" xfId="60" applyFont="1" applyBorder="1" applyAlignment="1">
      <alignment horizontal="right" vertical="center"/>
      <protection/>
    </xf>
    <xf numFmtId="0" fontId="23" fillId="0" borderId="85" xfId="60" applyFont="1" applyBorder="1">
      <alignment/>
      <protection/>
    </xf>
    <xf numFmtId="0" fontId="19" fillId="0" borderId="79" xfId="60" applyFont="1" applyBorder="1">
      <alignment/>
      <protection/>
    </xf>
    <xf numFmtId="0" fontId="19" fillId="0" borderId="84" xfId="60" applyFont="1" applyBorder="1" applyAlignment="1">
      <alignment horizontal="right"/>
      <protection/>
    </xf>
    <xf numFmtId="3" fontId="19" fillId="0" borderId="84" xfId="60" applyNumberFormat="1" applyFont="1" applyBorder="1" applyAlignment="1">
      <alignment horizontal="right"/>
      <protection/>
    </xf>
    <xf numFmtId="3" fontId="60" fillId="0" borderId="97" xfId="60" applyNumberFormat="1" applyFont="1" applyBorder="1">
      <alignment/>
      <protection/>
    </xf>
    <xf numFmtId="0" fontId="19" fillId="0" borderId="98" xfId="60" applyFont="1" applyBorder="1">
      <alignment/>
      <protection/>
    </xf>
    <xf numFmtId="0" fontId="19" fillId="0" borderId="64" xfId="60" applyFont="1" applyBorder="1" applyAlignment="1">
      <alignment horizontal="right"/>
      <protection/>
    </xf>
    <xf numFmtId="0" fontId="19" fillId="0" borderId="99" xfId="60" applyFont="1" applyBorder="1" applyAlignment="1">
      <alignment horizontal="right"/>
      <protection/>
    </xf>
    <xf numFmtId="0" fontId="19" fillId="0" borderId="64" xfId="60" applyFont="1" applyBorder="1">
      <alignment/>
      <protection/>
    </xf>
    <xf numFmtId="0" fontId="19" fillId="0" borderId="93" xfId="60" applyFont="1" applyBorder="1">
      <alignment/>
      <protection/>
    </xf>
    <xf numFmtId="0" fontId="16" fillId="0" borderId="100" xfId="60" applyFont="1" applyBorder="1" applyAlignment="1">
      <alignment horizontal="right"/>
      <protection/>
    </xf>
    <xf numFmtId="0" fontId="19" fillId="0" borderId="63" xfId="60" applyFont="1" applyBorder="1">
      <alignment/>
      <protection/>
    </xf>
    <xf numFmtId="3" fontId="16" fillId="0" borderId="101" xfId="60" applyNumberFormat="1" applyFont="1" applyBorder="1" applyAlignment="1">
      <alignment horizontal="right"/>
      <protection/>
    </xf>
    <xf numFmtId="0" fontId="16" fillId="0" borderId="64" xfId="60" applyFont="1" applyBorder="1" applyAlignment="1">
      <alignment horizontal="right"/>
      <protection/>
    </xf>
    <xf numFmtId="0" fontId="16" fillId="0" borderId="99" xfId="60" applyFont="1" applyBorder="1" applyAlignment="1">
      <alignment horizontal="right"/>
      <protection/>
    </xf>
    <xf numFmtId="0" fontId="19" fillId="0" borderId="102" xfId="60" applyFont="1" applyBorder="1">
      <alignment/>
      <protection/>
    </xf>
    <xf numFmtId="0" fontId="19" fillId="0" borderId="99" xfId="60" applyFont="1" applyBorder="1">
      <alignment/>
      <protection/>
    </xf>
    <xf numFmtId="0" fontId="60" fillId="0" borderId="103" xfId="60" applyFont="1" applyBorder="1" applyAlignment="1">
      <alignment horizontal="right" vertical="center"/>
      <protection/>
    </xf>
    <xf numFmtId="0" fontId="19" fillId="0" borderId="0" xfId="60" applyFont="1">
      <alignment/>
      <protection/>
    </xf>
    <xf numFmtId="0" fontId="19" fillId="0" borderId="85" xfId="60" applyFont="1" applyBorder="1">
      <alignment/>
      <protection/>
    </xf>
    <xf numFmtId="0" fontId="23" fillId="0" borderId="27" xfId="60" applyFont="1" applyBorder="1">
      <alignment/>
      <protection/>
    </xf>
    <xf numFmtId="3" fontId="60" fillId="0" borderId="96" xfId="60" applyNumberFormat="1" applyFont="1" applyBorder="1">
      <alignment/>
      <protection/>
    </xf>
    <xf numFmtId="0" fontId="19" fillId="0" borderId="27" xfId="60" applyFont="1" applyBorder="1">
      <alignment/>
      <protection/>
    </xf>
    <xf numFmtId="0" fontId="24" fillId="0" borderId="83" xfId="60" applyFont="1" applyBorder="1" applyAlignment="1">
      <alignment horizontal="right"/>
      <protection/>
    </xf>
    <xf numFmtId="0" fontId="19" fillId="0" borderId="82" xfId="0" applyFont="1" applyBorder="1" applyAlignment="1">
      <alignment horizontal="right"/>
    </xf>
    <xf numFmtId="3" fontId="20" fillId="0" borderId="50" xfId="60" applyNumberFormat="1" applyFont="1" applyBorder="1" applyAlignment="1">
      <alignment horizontal="right"/>
      <protection/>
    </xf>
    <xf numFmtId="3" fontId="20" fillId="0" borderId="82" xfId="60" applyNumberFormat="1" applyFont="1" applyBorder="1">
      <alignment/>
      <protection/>
    </xf>
    <xf numFmtId="3" fontId="20" fillId="0" borderId="104" xfId="60" applyNumberFormat="1" applyFont="1" applyBorder="1">
      <alignment/>
      <protection/>
    </xf>
    <xf numFmtId="0" fontId="19" fillId="0" borderId="86" xfId="60" applyFont="1" applyBorder="1">
      <alignment/>
      <protection/>
    </xf>
    <xf numFmtId="3" fontId="60" fillId="0" borderId="83" xfId="60" applyNumberFormat="1" applyFont="1" applyBorder="1" applyAlignment="1">
      <alignment horizontal="right" vertical="center"/>
      <protection/>
    </xf>
    <xf numFmtId="3" fontId="60" fillId="0" borderId="50" xfId="60" applyNumberFormat="1" applyFont="1" applyBorder="1" applyAlignment="1">
      <alignment horizontal="right" vertical="center"/>
      <protection/>
    </xf>
    <xf numFmtId="3" fontId="60" fillId="0" borderId="105" xfId="60" applyNumberFormat="1" applyFont="1" applyBorder="1">
      <alignment/>
      <protection/>
    </xf>
    <xf numFmtId="3" fontId="60" fillId="0" borderId="83" xfId="60" applyNumberFormat="1" applyFont="1" applyBorder="1">
      <alignment/>
      <protection/>
    </xf>
    <xf numFmtId="3" fontId="60" fillId="0" borderId="50" xfId="60" applyNumberFormat="1" applyFont="1" applyBorder="1">
      <alignment/>
      <protection/>
    </xf>
    <xf numFmtId="3" fontId="60" fillId="0" borderId="104" xfId="60" applyNumberFormat="1" applyFont="1" applyBorder="1" applyAlignment="1">
      <alignment horizontal="right" vertical="center"/>
      <protection/>
    </xf>
    <xf numFmtId="3" fontId="16" fillId="0" borderId="106" xfId="60" applyNumberFormat="1" applyFont="1" applyBorder="1">
      <alignment/>
      <protection/>
    </xf>
    <xf numFmtId="0" fontId="62" fillId="0" borderId="107" xfId="60" applyFont="1" applyBorder="1">
      <alignment/>
      <protection/>
    </xf>
    <xf numFmtId="0" fontId="62" fillId="0" borderId="14" xfId="60" applyFont="1" applyBorder="1">
      <alignment/>
      <protection/>
    </xf>
    <xf numFmtId="0" fontId="62" fillId="0" borderId="108" xfId="60" applyFont="1" applyBorder="1">
      <alignment/>
      <protection/>
    </xf>
    <xf numFmtId="3" fontId="60" fillId="0" borderId="107" xfId="60" applyNumberFormat="1" applyFont="1" applyBorder="1" applyAlignment="1">
      <alignment horizontal="right" vertical="center"/>
      <protection/>
    </xf>
    <xf numFmtId="3" fontId="60" fillId="0" borderId="109" xfId="60" applyNumberFormat="1" applyFont="1" applyBorder="1" applyAlignment="1">
      <alignment horizontal="right" vertical="center"/>
      <protection/>
    </xf>
    <xf numFmtId="3" fontId="60" fillId="0" borderId="107" xfId="60" applyNumberFormat="1" applyFont="1" applyBorder="1">
      <alignment/>
      <protection/>
    </xf>
    <xf numFmtId="3" fontId="60" fillId="0" borderId="109" xfId="60" applyNumberFormat="1" applyFont="1" applyBorder="1">
      <alignment/>
      <protection/>
    </xf>
    <xf numFmtId="3" fontId="60" fillId="0" borderId="106" xfId="60" applyNumberFormat="1" applyFont="1" applyBorder="1" applyAlignment="1">
      <alignment horizontal="right" vertical="center"/>
      <protection/>
    </xf>
    <xf numFmtId="3" fontId="46" fillId="0" borderId="110" xfId="60" applyNumberFormat="1" applyFont="1" applyBorder="1" applyAlignment="1">
      <alignment horizontal="center"/>
      <protection/>
    </xf>
    <xf numFmtId="3" fontId="46" fillId="0" borderId="111" xfId="60" applyNumberFormat="1" applyFont="1" applyBorder="1">
      <alignment/>
      <protection/>
    </xf>
    <xf numFmtId="0" fontId="23" fillId="0" borderId="112" xfId="60" applyFont="1" applyBorder="1" applyAlignment="1">
      <alignment horizontal="left"/>
      <protection/>
    </xf>
    <xf numFmtId="0" fontId="19" fillId="0" borderId="112" xfId="60" applyFont="1" applyBorder="1">
      <alignment/>
      <protection/>
    </xf>
    <xf numFmtId="3" fontId="16" fillId="0" borderId="55" xfId="60" applyNumberFormat="1" applyFont="1" applyBorder="1">
      <alignment/>
      <protection/>
    </xf>
    <xf numFmtId="0" fontId="19" fillId="0" borderId="16" xfId="60" applyFont="1" applyBorder="1">
      <alignment/>
      <protection/>
    </xf>
    <xf numFmtId="3" fontId="46" fillId="0" borderId="110" xfId="60" applyNumberFormat="1" applyFont="1" applyBorder="1">
      <alignment/>
      <protection/>
    </xf>
    <xf numFmtId="3" fontId="46" fillId="0" borderId="113" xfId="60" applyNumberFormat="1" applyFont="1" applyBorder="1">
      <alignment/>
      <protection/>
    </xf>
    <xf numFmtId="0" fontId="23" fillId="0" borderId="15" xfId="60" applyFont="1" applyBorder="1">
      <alignment/>
      <protection/>
    </xf>
    <xf numFmtId="0" fontId="20" fillId="0" borderId="0" xfId="60" applyFont="1" applyAlignment="1">
      <alignment horizontal="center"/>
      <protection/>
    </xf>
    <xf numFmtId="0" fontId="20" fillId="0" borderId="0" xfId="60" applyFont="1" applyAlignment="1">
      <alignment horizontal="right"/>
      <protection/>
    </xf>
    <xf numFmtId="0" fontId="15" fillId="0" borderId="0" xfId="60" applyFont="1">
      <alignment/>
      <protection/>
    </xf>
    <xf numFmtId="0" fontId="20" fillId="0" borderId="0" xfId="60" applyFont="1" applyAlignment="1">
      <alignment horizontal="left"/>
      <protection/>
    </xf>
    <xf numFmtId="3" fontId="19" fillId="0" borderId="0" xfId="60" applyNumberFormat="1" applyFont="1">
      <alignment/>
      <protection/>
    </xf>
    <xf numFmtId="0" fontId="42" fillId="0" borderId="17" xfId="60" applyFont="1" applyBorder="1">
      <alignment/>
      <protection/>
    </xf>
    <xf numFmtId="3" fontId="19" fillId="0" borderId="17" xfId="60" applyNumberFormat="1" applyFont="1" applyBorder="1">
      <alignment/>
      <protection/>
    </xf>
    <xf numFmtId="0" fontId="19" fillId="0" borderId="17" xfId="60" applyFont="1" applyBorder="1">
      <alignment/>
      <protection/>
    </xf>
    <xf numFmtId="0" fontId="19" fillId="0" borderId="0" xfId="60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60" applyFont="1">
      <alignment/>
      <protection/>
    </xf>
    <xf numFmtId="3" fontId="20" fillId="0" borderId="0" xfId="60" applyNumberFormat="1" applyFont="1">
      <alignment/>
      <protection/>
    </xf>
    <xf numFmtId="0" fontId="20" fillId="0" borderId="37" xfId="60" applyFont="1" applyBorder="1" applyAlignment="1">
      <alignment horizontal="center"/>
      <protection/>
    </xf>
    <xf numFmtId="0" fontId="20" fillId="0" borderId="107" xfId="60" applyFont="1" applyBorder="1" applyAlignment="1">
      <alignment horizontal="center" vertical="center"/>
      <protection/>
    </xf>
    <xf numFmtId="0" fontId="20" fillId="0" borderId="37" xfId="60" applyFont="1" applyBorder="1" applyAlignment="1">
      <alignment horizontal="center" vertical="center"/>
      <protection/>
    </xf>
    <xf numFmtId="0" fontId="23" fillId="0" borderId="20" xfId="60" applyFont="1" applyBorder="1" applyAlignment="1">
      <alignment horizontal="left" wrapText="1"/>
      <protection/>
    </xf>
    <xf numFmtId="0" fontId="61" fillId="0" borderId="20" xfId="60" applyFont="1" applyBorder="1" applyAlignment="1">
      <alignment horizontal="left" wrapText="1"/>
      <protection/>
    </xf>
    <xf numFmtId="3" fontId="23" fillId="0" borderId="8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60" fillId="36" borderId="114" xfId="60" applyNumberFormat="1" applyFont="1" applyFill="1" applyBorder="1" applyAlignment="1">
      <alignment horizontal="right" vertical="center"/>
      <protection/>
    </xf>
    <xf numFmtId="0" fontId="19" fillId="0" borderId="80" xfId="0" applyFont="1" applyBorder="1" applyAlignment="1">
      <alignment horizontal="right"/>
    </xf>
    <xf numFmtId="0" fontId="19" fillId="36" borderId="45" xfId="60" applyFont="1" applyFill="1" applyBorder="1" applyAlignment="1">
      <alignment vertical="center"/>
      <protection/>
    </xf>
    <xf numFmtId="3" fontId="16" fillId="36" borderId="47" xfId="60" applyNumberFormat="1" applyFont="1" applyFill="1" applyBorder="1" applyAlignment="1">
      <alignment vertical="center"/>
      <protection/>
    </xf>
    <xf numFmtId="0" fontId="19" fillId="36" borderId="115" xfId="60" applyFont="1" applyFill="1" applyBorder="1" applyAlignment="1">
      <alignment vertical="center"/>
      <protection/>
    </xf>
    <xf numFmtId="3" fontId="60" fillId="36" borderId="116" xfId="60" applyNumberFormat="1" applyFont="1" applyFill="1" applyBorder="1" applyAlignment="1">
      <alignment vertical="center"/>
      <protection/>
    </xf>
    <xf numFmtId="3" fontId="60" fillId="36" borderId="110" xfId="60" applyNumberFormat="1" applyFont="1" applyFill="1" applyBorder="1" applyAlignment="1">
      <alignment vertical="center"/>
      <protection/>
    </xf>
    <xf numFmtId="3" fontId="60" fillId="36" borderId="103" xfId="60" applyNumberFormat="1" applyFont="1" applyFill="1" applyBorder="1" applyAlignment="1">
      <alignment vertical="center"/>
      <protection/>
    </xf>
    <xf numFmtId="3" fontId="60" fillId="36" borderId="117" xfId="60" applyNumberFormat="1" applyFont="1" applyFill="1" applyBorder="1" applyAlignment="1">
      <alignment vertical="center"/>
      <protection/>
    </xf>
    <xf numFmtId="3" fontId="23" fillId="0" borderId="27" xfId="60" applyNumberFormat="1" applyFont="1" applyBorder="1" applyAlignment="1">
      <alignment vertical="center"/>
      <protection/>
    </xf>
    <xf numFmtId="0" fontId="19" fillId="0" borderId="90" xfId="60" applyFont="1" applyBorder="1" applyAlignment="1">
      <alignment horizontal="right"/>
      <protection/>
    </xf>
    <xf numFmtId="3" fontId="23" fillId="0" borderId="57" xfId="0" applyNumberFormat="1" applyFont="1" applyBorder="1" applyAlignment="1">
      <alignment/>
    </xf>
    <xf numFmtId="0" fontId="23" fillId="0" borderId="83" xfId="60" applyFont="1" applyBorder="1" applyAlignment="1">
      <alignment horizontal="left"/>
      <protection/>
    </xf>
    <xf numFmtId="0" fontId="23" fillId="0" borderId="82" xfId="60" applyFont="1" applyBorder="1" applyAlignment="1">
      <alignment horizontal="left"/>
      <protection/>
    </xf>
    <xf numFmtId="3" fontId="23" fillId="0" borderId="108" xfId="60" applyNumberFormat="1" applyFont="1" applyBorder="1" applyAlignment="1">
      <alignment vertical="center"/>
      <protection/>
    </xf>
    <xf numFmtId="3" fontId="46" fillId="0" borderId="103" xfId="60" applyNumberFormat="1" applyFont="1" applyBorder="1">
      <alignment/>
      <protection/>
    </xf>
    <xf numFmtId="3" fontId="23" fillId="0" borderId="86" xfId="60" applyNumberFormat="1" applyFont="1" applyBorder="1" applyAlignment="1">
      <alignment vertical="center"/>
      <protection/>
    </xf>
    <xf numFmtId="3" fontId="23" fillId="0" borderId="57" xfId="60" applyNumberFormat="1" applyFont="1" applyBorder="1" applyAlignment="1">
      <alignment vertical="center"/>
      <protection/>
    </xf>
    <xf numFmtId="3" fontId="23" fillId="0" borderId="65" xfId="60" applyNumberFormat="1" applyFont="1" applyBorder="1" applyAlignment="1">
      <alignment vertical="center"/>
      <protection/>
    </xf>
    <xf numFmtId="0" fontId="23" fillId="36" borderId="45" xfId="60" applyFont="1" applyFill="1" applyBorder="1" applyAlignment="1">
      <alignment horizontal="left" vertical="center" wrapText="1"/>
      <protection/>
    </xf>
    <xf numFmtId="3" fontId="20" fillId="36" borderId="48" xfId="60" applyNumberFormat="1" applyFont="1" applyFill="1" applyBorder="1" applyAlignment="1">
      <alignment horizontal="right" vertical="center"/>
      <protection/>
    </xf>
    <xf numFmtId="3" fontId="20" fillId="36" borderId="115" xfId="60" applyNumberFormat="1" applyFont="1" applyFill="1" applyBorder="1" applyAlignment="1">
      <alignment vertical="center"/>
      <protection/>
    </xf>
    <xf numFmtId="3" fontId="20" fillId="36" borderId="114" xfId="60" applyNumberFormat="1" applyFont="1" applyFill="1" applyBorder="1" applyAlignment="1">
      <alignment vertical="center"/>
      <protection/>
    </xf>
    <xf numFmtId="0" fontId="23" fillId="36" borderId="118" xfId="60" applyFont="1" applyFill="1" applyBorder="1" applyAlignment="1">
      <alignment horizontal="left" vertical="center"/>
      <protection/>
    </xf>
    <xf numFmtId="3" fontId="16" fillId="36" borderId="47" xfId="60" applyNumberFormat="1" applyFont="1" applyFill="1" applyBorder="1" applyAlignment="1">
      <alignment horizontal="right" vertical="center"/>
      <protection/>
    </xf>
    <xf numFmtId="3" fontId="16" fillId="36" borderId="119" xfId="60" applyNumberFormat="1" applyFont="1" applyFill="1" applyBorder="1" applyAlignment="1">
      <alignment horizontal="right" vertical="center"/>
      <protection/>
    </xf>
    <xf numFmtId="3" fontId="60" fillId="36" borderId="115" xfId="60" applyNumberFormat="1" applyFont="1" applyFill="1" applyBorder="1" applyAlignment="1">
      <alignment horizontal="right" vertical="center"/>
      <protection/>
    </xf>
    <xf numFmtId="3" fontId="60" fillId="36" borderId="48" xfId="60" applyNumberFormat="1" applyFont="1" applyFill="1" applyBorder="1" applyAlignment="1">
      <alignment horizontal="right" vertical="center"/>
      <protection/>
    </xf>
    <xf numFmtId="3" fontId="60" fillId="36" borderId="120" xfId="60" applyNumberFormat="1" applyFont="1" applyFill="1" applyBorder="1" applyAlignment="1">
      <alignment vertical="center"/>
      <protection/>
    </xf>
    <xf numFmtId="3" fontId="60" fillId="36" borderId="118" xfId="60" applyNumberFormat="1" applyFont="1" applyFill="1" applyBorder="1" applyAlignment="1">
      <alignment vertical="center"/>
      <protection/>
    </xf>
    <xf numFmtId="3" fontId="60" fillId="36" borderId="48" xfId="60" applyNumberFormat="1" applyFont="1" applyFill="1" applyBorder="1" applyAlignment="1">
      <alignment vertical="center"/>
      <protection/>
    </xf>
    <xf numFmtId="0" fontId="20" fillId="0" borderId="121" xfId="60" applyFont="1" applyBorder="1" applyAlignment="1">
      <alignment horizontal="center" vertical="center"/>
      <protection/>
    </xf>
    <xf numFmtId="3" fontId="16" fillId="0" borderId="112" xfId="60" applyNumberFormat="1" applyFont="1" applyBorder="1">
      <alignment/>
      <protection/>
    </xf>
    <xf numFmtId="3" fontId="46" fillId="0" borderId="116" xfId="60" applyNumberFormat="1" applyFont="1" applyBorder="1">
      <alignment/>
      <protection/>
    </xf>
    <xf numFmtId="3" fontId="60" fillId="0" borderId="96" xfId="60" applyNumberFormat="1" applyFont="1" applyBorder="1" applyAlignment="1">
      <alignment horizontal="right" vertical="center"/>
      <protection/>
    </xf>
    <xf numFmtId="0" fontId="16" fillId="0" borderId="122" xfId="60" applyFont="1" applyBorder="1" applyAlignment="1">
      <alignment horizontal="right" vertical="center"/>
      <protection/>
    </xf>
    <xf numFmtId="0" fontId="20" fillId="0" borderId="78" xfId="60" applyFont="1" applyBorder="1" applyAlignment="1">
      <alignment horizontal="center" vertical="center"/>
      <protection/>
    </xf>
    <xf numFmtId="0" fontId="20" fillId="0" borderId="36" xfId="60" applyFont="1" applyBorder="1" applyAlignment="1">
      <alignment horizontal="center" vertical="center"/>
      <protection/>
    </xf>
    <xf numFmtId="0" fontId="20" fillId="0" borderId="123" xfId="60" applyFont="1" applyBorder="1" applyAlignment="1">
      <alignment horizontal="center" vertical="center"/>
      <protection/>
    </xf>
    <xf numFmtId="0" fontId="24" fillId="0" borderId="98" xfId="60" applyFont="1" applyBorder="1" applyAlignment="1">
      <alignment horizontal="right" vertical="center"/>
      <protection/>
    </xf>
    <xf numFmtId="3" fontId="20" fillId="0" borderId="99" xfId="60" applyNumberFormat="1" applyFont="1" applyBorder="1" applyAlignment="1">
      <alignment horizontal="right" vertical="center"/>
      <protection/>
    </xf>
    <xf numFmtId="3" fontId="20" fillId="0" borderId="64" xfId="60" applyNumberFormat="1" applyFont="1" applyBorder="1" applyAlignment="1">
      <alignment vertical="center"/>
      <protection/>
    </xf>
    <xf numFmtId="3" fontId="20" fillId="0" borderId="93" xfId="60" applyNumberFormat="1" applyFont="1" applyBorder="1" applyAlignment="1">
      <alignment vertical="center"/>
      <protection/>
    </xf>
    <xf numFmtId="3" fontId="61" fillId="0" borderId="64" xfId="60" applyNumberFormat="1" applyFont="1" applyBorder="1" applyAlignment="1">
      <alignment vertical="center"/>
      <protection/>
    </xf>
    <xf numFmtId="3" fontId="16" fillId="0" borderId="63" xfId="60" applyNumberFormat="1" applyFont="1" applyBorder="1" applyAlignment="1">
      <alignment vertical="center"/>
      <protection/>
    </xf>
    <xf numFmtId="3" fontId="60" fillId="0" borderId="98" xfId="60" applyNumberFormat="1" applyFont="1" applyBorder="1" applyAlignment="1">
      <alignment vertical="center"/>
      <protection/>
    </xf>
    <xf numFmtId="3" fontId="60" fillId="0" borderId="99" xfId="60" applyNumberFormat="1" applyFont="1" applyBorder="1" applyAlignment="1">
      <alignment vertical="center"/>
      <protection/>
    </xf>
    <xf numFmtId="3" fontId="60" fillId="0" borderId="102" xfId="60" applyNumberFormat="1" applyFont="1" applyBorder="1" applyAlignment="1">
      <alignment vertical="center"/>
      <protection/>
    </xf>
    <xf numFmtId="0" fontId="20" fillId="0" borderId="124" xfId="60" applyFont="1" applyBorder="1" applyAlignment="1">
      <alignment horizontal="center"/>
      <protection/>
    </xf>
    <xf numFmtId="0" fontId="20" fillId="0" borderId="124" xfId="60" applyFont="1" applyBorder="1" applyAlignment="1">
      <alignment horizontal="center" vertical="center"/>
      <protection/>
    </xf>
    <xf numFmtId="0" fontId="19" fillId="0" borderId="96" xfId="60" applyFont="1" applyBorder="1">
      <alignment/>
      <protection/>
    </xf>
    <xf numFmtId="3" fontId="16" fillId="0" borderId="125" xfId="60" applyNumberFormat="1" applyFont="1" applyBorder="1" applyAlignment="1">
      <alignment horizontal="right" vertical="center"/>
      <protection/>
    </xf>
    <xf numFmtId="3" fontId="16" fillId="0" borderId="126" xfId="60" applyNumberFormat="1" applyFont="1" applyBorder="1" applyAlignment="1">
      <alignment horizontal="right" vertical="center"/>
      <protection/>
    </xf>
    <xf numFmtId="3" fontId="20" fillId="36" borderId="48" xfId="60" applyNumberFormat="1" applyFont="1" applyFill="1" applyBorder="1" applyAlignment="1">
      <alignment vertical="center"/>
      <protection/>
    </xf>
    <xf numFmtId="3" fontId="20" fillId="36" borderId="127" xfId="60" applyNumberFormat="1" applyFont="1" applyFill="1" applyBorder="1" applyAlignment="1">
      <alignment vertical="center"/>
      <protection/>
    </xf>
    <xf numFmtId="3" fontId="20" fillId="36" borderId="128" xfId="60" applyNumberFormat="1" applyFont="1" applyFill="1" applyBorder="1" applyAlignment="1">
      <alignment vertical="center"/>
      <protection/>
    </xf>
    <xf numFmtId="3" fontId="23" fillId="35" borderId="27" xfId="60" applyNumberFormat="1" applyFont="1" applyFill="1" applyBorder="1" applyAlignment="1">
      <alignment vertical="center"/>
      <protection/>
    </xf>
    <xf numFmtId="3" fontId="23" fillId="35" borderId="27" xfId="60" applyNumberFormat="1" applyFont="1" applyFill="1" applyBorder="1" applyAlignment="1">
      <alignment horizontal="right" vertical="center"/>
      <protection/>
    </xf>
    <xf numFmtId="0" fontId="19" fillId="0" borderId="36" xfId="60" applyFont="1" applyBorder="1">
      <alignment/>
      <protection/>
    </xf>
    <xf numFmtId="0" fontId="19" fillId="0" borderId="124" xfId="60" applyFont="1" applyBorder="1">
      <alignment/>
      <protection/>
    </xf>
    <xf numFmtId="0" fontId="19" fillId="0" borderId="129" xfId="60" applyFont="1" applyBorder="1">
      <alignment/>
      <protection/>
    </xf>
    <xf numFmtId="3" fontId="16" fillId="0" borderId="20" xfId="60" applyNumberFormat="1" applyFont="1" applyBorder="1" applyAlignment="1">
      <alignment horizontal="right" vertical="center"/>
      <protection/>
    </xf>
    <xf numFmtId="0" fontId="23" fillId="0" borderId="125" xfId="60" applyFont="1" applyBorder="1" applyAlignment="1">
      <alignment horizontal="left" wrapText="1"/>
      <protection/>
    </xf>
    <xf numFmtId="0" fontId="23" fillId="0" borderId="82" xfId="60" applyFont="1" applyBorder="1" applyAlignment="1">
      <alignment horizontal="left" wrapText="1"/>
      <protection/>
    </xf>
    <xf numFmtId="3" fontId="16" fillId="0" borderId="130" xfId="60" applyNumberFormat="1" applyFont="1" applyBorder="1" applyAlignment="1">
      <alignment horizontal="right" vertical="center"/>
      <protection/>
    </xf>
    <xf numFmtId="0" fontId="23" fillId="0" borderId="82" xfId="60" applyFont="1" applyBorder="1" applyAlignment="1">
      <alignment horizontal="left" vertical="center" wrapText="1"/>
      <protection/>
    </xf>
    <xf numFmtId="0" fontId="23" fillId="0" borderId="83" xfId="60" applyFont="1" applyBorder="1" applyAlignment="1">
      <alignment horizontal="left" vertical="center" wrapText="1"/>
      <protection/>
    </xf>
    <xf numFmtId="3" fontId="20" fillId="0" borderId="84" xfId="60" applyNumberFormat="1" applyFont="1" applyBorder="1" applyAlignment="1">
      <alignment horizontal="right" vertical="center"/>
      <protection/>
    </xf>
    <xf numFmtId="3" fontId="20" fillId="0" borderId="81" xfId="60" applyNumberFormat="1" applyFont="1" applyBorder="1" applyAlignment="1">
      <alignment horizontal="right" vertical="center"/>
      <protection/>
    </xf>
    <xf numFmtId="3" fontId="60" fillId="0" borderId="96" xfId="60" applyNumberFormat="1" applyFont="1" applyBorder="1" applyAlignment="1">
      <alignment horizontal="center" vertical="center"/>
      <protection/>
    </xf>
    <xf numFmtId="0" fontId="23" fillId="0" borderId="86" xfId="60" applyFont="1" applyBorder="1">
      <alignment/>
      <protection/>
    </xf>
    <xf numFmtId="3" fontId="60" fillId="0" borderId="82" xfId="60" applyNumberFormat="1" applyFont="1" applyBorder="1" applyAlignment="1">
      <alignment horizontal="right" vertical="center"/>
      <protection/>
    </xf>
    <xf numFmtId="3" fontId="23" fillId="0" borderId="27" xfId="60" applyNumberFormat="1" applyFont="1" applyBorder="1" applyAlignment="1">
      <alignment horizontal="right" vertical="center"/>
      <protection/>
    </xf>
    <xf numFmtId="0" fontId="23" fillId="0" borderId="79" xfId="60" applyFont="1" applyBorder="1" applyAlignment="1">
      <alignment horizontal="center" vertical="center"/>
      <protection/>
    </xf>
    <xf numFmtId="3" fontId="20" fillId="0" borderId="37" xfId="60" applyNumberFormat="1" applyFont="1" applyBorder="1" applyAlignment="1">
      <alignment horizontal="right"/>
      <protection/>
    </xf>
    <xf numFmtId="3" fontId="19" fillId="0" borderId="124" xfId="60" applyNumberFormat="1" applyFont="1" applyBorder="1">
      <alignment/>
      <protection/>
    </xf>
    <xf numFmtId="3" fontId="20" fillId="0" borderId="131" xfId="60" applyNumberFormat="1" applyFont="1" applyBorder="1">
      <alignment/>
      <protection/>
    </xf>
    <xf numFmtId="0" fontId="23" fillId="0" borderId="124" xfId="60" applyFont="1" applyBorder="1" applyAlignment="1">
      <alignment horizontal="left"/>
      <protection/>
    </xf>
    <xf numFmtId="3" fontId="16" fillId="0" borderId="35" xfId="60" applyNumberFormat="1" applyFont="1" applyBorder="1" applyAlignment="1">
      <alignment horizontal="right" vertical="center"/>
      <protection/>
    </xf>
    <xf numFmtId="0" fontId="23" fillId="0" borderId="36" xfId="60" applyFont="1" applyBorder="1" applyAlignment="1">
      <alignment horizontal="left" vertical="center" wrapText="1"/>
      <protection/>
    </xf>
    <xf numFmtId="0" fontId="23" fillId="0" borderId="124" xfId="60" applyFont="1" applyBorder="1" applyAlignment="1">
      <alignment horizontal="left" vertical="center" wrapText="1"/>
      <protection/>
    </xf>
    <xf numFmtId="3" fontId="23" fillId="0" borderId="129" xfId="60" applyNumberFormat="1" applyFont="1" applyBorder="1" applyAlignment="1">
      <alignment vertical="center"/>
      <protection/>
    </xf>
    <xf numFmtId="3" fontId="23" fillId="0" borderId="124" xfId="60" applyNumberFormat="1" applyFont="1" applyBorder="1" applyAlignment="1">
      <alignment vertical="center"/>
      <protection/>
    </xf>
    <xf numFmtId="3" fontId="16" fillId="0" borderId="132" xfId="60" applyNumberFormat="1" applyFont="1" applyBorder="1" applyAlignment="1">
      <alignment horizontal="right" vertical="center"/>
      <protection/>
    </xf>
    <xf numFmtId="3" fontId="60" fillId="0" borderId="124" xfId="60" applyNumberFormat="1" applyFont="1" applyBorder="1" applyAlignment="1">
      <alignment horizontal="right" vertical="center"/>
      <protection/>
    </xf>
    <xf numFmtId="3" fontId="60" fillId="0" borderId="37" xfId="60" applyNumberFormat="1" applyFont="1" applyBorder="1" applyAlignment="1">
      <alignment horizontal="right" vertical="center"/>
      <protection/>
    </xf>
    <xf numFmtId="3" fontId="60" fillId="0" borderId="131" xfId="60" applyNumberFormat="1" applyFont="1" applyBorder="1" applyAlignment="1">
      <alignment horizontal="right" vertical="center"/>
      <protection/>
    </xf>
    <xf numFmtId="3" fontId="23" fillId="0" borderId="78" xfId="60" applyNumberFormat="1" applyFont="1" applyBorder="1">
      <alignment/>
      <protection/>
    </xf>
    <xf numFmtId="3" fontId="23" fillId="0" borderId="37" xfId="60" applyNumberFormat="1" applyFont="1" applyBorder="1">
      <alignment/>
      <protection/>
    </xf>
    <xf numFmtId="0" fontId="22" fillId="0" borderId="11" xfId="0" applyFont="1" applyBorder="1" applyAlignment="1">
      <alignment horizontal="center"/>
    </xf>
    <xf numFmtId="0" fontId="22" fillId="37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22" fillId="37" borderId="11" xfId="0" applyFont="1" applyFill="1" applyBorder="1" applyAlignment="1">
      <alignment vertical="center"/>
    </xf>
    <xf numFmtId="0" fontId="22" fillId="0" borderId="44" xfId="0" applyFont="1" applyBorder="1" applyAlignment="1">
      <alignment horizontal="center"/>
    </xf>
    <xf numFmtId="0" fontId="27" fillId="0" borderId="44" xfId="0" applyFont="1" applyBorder="1" applyAlignment="1">
      <alignment wrapText="1"/>
    </xf>
    <xf numFmtId="0" fontId="22" fillId="37" borderId="44" xfId="0" applyFont="1" applyFill="1" applyBorder="1" applyAlignment="1">
      <alignment vertical="center" wrapText="1"/>
    </xf>
    <xf numFmtId="49" fontId="27" fillId="0" borderId="44" xfId="0" applyNumberFormat="1" applyFont="1" applyBorder="1" applyAlignment="1">
      <alignment/>
    </xf>
    <xf numFmtId="49" fontId="27" fillId="0" borderId="44" xfId="0" applyNumberFormat="1" applyFont="1" applyBorder="1" applyAlignment="1">
      <alignment wrapText="1"/>
    </xf>
    <xf numFmtId="49" fontId="28" fillId="0" borderId="44" xfId="0" applyNumberFormat="1" applyFont="1" applyBorder="1" applyAlignment="1">
      <alignment/>
    </xf>
    <xf numFmtId="0" fontId="22" fillId="37" borderId="44" xfId="0" applyFont="1" applyFill="1" applyBorder="1" applyAlignment="1">
      <alignment vertical="center"/>
    </xf>
    <xf numFmtId="49" fontId="14" fillId="38" borderId="44" xfId="0" applyNumberFormat="1" applyFont="1" applyFill="1" applyBorder="1" applyAlignment="1">
      <alignment vertical="center" wrapText="1"/>
    </xf>
    <xf numFmtId="0" fontId="14" fillId="38" borderId="11" xfId="0" applyFont="1" applyFill="1" applyBorder="1" applyAlignment="1">
      <alignment/>
    </xf>
    <xf numFmtId="49" fontId="27" fillId="0" borderId="44" xfId="0" applyNumberFormat="1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2" fillId="5" borderId="11" xfId="0" applyFont="1" applyFill="1" applyBorder="1" applyAlignment="1">
      <alignment vertical="center"/>
    </xf>
    <xf numFmtId="49" fontId="66" fillId="38" borderId="44" xfId="0" applyNumberFormat="1" applyFont="1" applyFill="1" applyBorder="1" applyAlignment="1">
      <alignment vertical="center" wrapText="1"/>
    </xf>
    <xf numFmtId="0" fontId="66" fillId="38" borderId="11" xfId="0" applyFont="1" applyFill="1" applyBorder="1" applyAlignment="1">
      <alignment/>
    </xf>
    <xf numFmtId="49" fontId="27" fillId="35" borderId="44" xfId="0" applyNumberFormat="1" applyFont="1" applyFill="1" applyBorder="1" applyAlignment="1">
      <alignment/>
    </xf>
    <xf numFmtId="0" fontId="27" fillId="35" borderId="11" xfId="0" applyFont="1" applyFill="1" applyBorder="1" applyAlignment="1">
      <alignment/>
    </xf>
    <xf numFmtId="0" fontId="22" fillId="5" borderId="44" xfId="0" applyFont="1" applyFill="1" applyBorder="1" applyAlignment="1">
      <alignment vertical="center" wrapText="1"/>
    </xf>
    <xf numFmtId="166" fontId="6" fillId="35" borderId="75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63" applyFont="1" applyAlignment="1">
      <alignment horizont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44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72" xfId="63" applyFont="1" applyBorder="1" applyAlignment="1">
      <alignment horizontal="center" vertical="center" wrapText="1"/>
      <protection/>
    </xf>
    <xf numFmtId="3" fontId="14" fillId="0" borderId="0" xfId="63" applyNumberFormat="1">
      <alignment/>
      <protection/>
    </xf>
    <xf numFmtId="3" fontId="2" fillId="0" borderId="0" xfId="63" applyNumberFormat="1" applyFont="1">
      <alignment/>
      <protection/>
    </xf>
    <xf numFmtId="3" fontId="1" fillId="0" borderId="0" xfId="63" applyNumberFormat="1" applyFont="1">
      <alignment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44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22" fillId="0" borderId="11" xfId="63" applyFont="1" applyBorder="1">
      <alignment/>
      <protection/>
    </xf>
    <xf numFmtId="0" fontId="22" fillId="0" borderId="10" xfId="63" applyFont="1" applyBorder="1" applyAlignment="1">
      <alignment wrapText="1"/>
      <protection/>
    </xf>
    <xf numFmtId="3" fontId="22" fillId="0" borderId="0" xfId="63" applyNumberFormat="1" applyFont="1">
      <alignment/>
      <protection/>
    </xf>
    <xf numFmtId="0" fontId="22" fillId="0" borderId="10" xfId="63" applyFont="1" applyBorder="1">
      <alignment/>
      <protection/>
    </xf>
    <xf numFmtId="3" fontId="22" fillId="0" borderId="0" xfId="63" applyNumberFormat="1" applyFont="1" applyAlignment="1">
      <alignment vertical="center"/>
      <protection/>
    </xf>
    <xf numFmtId="0" fontId="22" fillId="39" borderId="11" xfId="63" applyFont="1" applyFill="1" applyBorder="1" applyAlignment="1">
      <alignment vertical="center"/>
      <protection/>
    </xf>
    <xf numFmtId="0" fontId="22" fillId="39" borderId="10" xfId="63" applyFont="1" applyFill="1" applyBorder="1" applyAlignment="1">
      <alignment vertical="center" wrapText="1"/>
      <protection/>
    </xf>
    <xf numFmtId="3" fontId="22" fillId="39" borderId="44" xfId="63" applyNumberFormat="1" applyFont="1" applyFill="1" applyBorder="1" applyAlignment="1">
      <alignment vertical="center"/>
      <protection/>
    </xf>
    <xf numFmtId="3" fontId="22" fillId="39" borderId="11" xfId="63" applyNumberFormat="1" applyFont="1" applyFill="1" applyBorder="1" applyAlignment="1">
      <alignment vertical="center"/>
      <protection/>
    </xf>
    <xf numFmtId="3" fontId="22" fillId="39" borderId="72" xfId="63" applyNumberFormat="1" applyFont="1" applyFill="1" applyBorder="1" applyAlignment="1">
      <alignment vertical="center"/>
      <protection/>
    </xf>
    <xf numFmtId="3" fontId="22" fillId="39" borderId="13" xfId="63" applyNumberFormat="1" applyFont="1" applyFill="1" applyBorder="1" applyAlignment="1">
      <alignment vertical="center"/>
      <protection/>
    </xf>
    <xf numFmtId="0" fontId="14" fillId="39" borderId="11" xfId="63" applyFill="1" applyBorder="1">
      <alignment/>
      <protection/>
    </xf>
    <xf numFmtId="0" fontId="22" fillId="39" borderId="11" xfId="63" applyFont="1" applyFill="1" applyBorder="1">
      <alignment/>
      <protection/>
    </xf>
    <xf numFmtId="0" fontId="37" fillId="0" borderId="26" xfId="63" applyFont="1" applyBorder="1" applyAlignment="1">
      <alignment horizontal="center" vertical="center" wrapText="1"/>
      <protection/>
    </xf>
    <xf numFmtId="3" fontId="22" fillId="39" borderId="28" xfId="63" applyNumberFormat="1" applyFont="1" applyFill="1" applyBorder="1" applyAlignment="1">
      <alignment vertical="center"/>
      <protection/>
    </xf>
    <xf numFmtId="3" fontId="122" fillId="0" borderId="0" xfId="63" applyNumberFormat="1" applyFont="1">
      <alignment/>
      <protection/>
    </xf>
    <xf numFmtId="3" fontId="122" fillId="0" borderId="0" xfId="63" applyNumberFormat="1" applyFont="1" applyAlignment="1">
      <alignment vertical="center"/>
      <protection/>
    </xf>
    <xf numFmtId="4" fontId="22" fillId="0" borderId="44" xfId="63" applyNumberFormat="1" applyFont="1" applyBorder="1" applyAlignment="1">
      <alignment vertical="center"/>
      <protection/>
    </xf>
    <xf numFmtId="3" fontId="22" fillId="0" borderId="11" xfId="63" applyNumberFormat="1" applyFont="1" applyBorder="1" applyAlignment="1">
      <alignment vertical="center"/>
      <protection/>
    </xf>
    <xf numFmtId="3" fontId="22" fillId="0" borderId="72" xfId="63" applyNumberFormat="1" applyFont="1" applyBorder="1" applyAlignment="1">
      <alignment vertical="center"/>
      <protection/>
    </xf>
    <xf numFmtId="3" fontId="22" fillId="0" borderId="44" xfId="63" applyNumberFormat="1" applyFont="1" applyBorder="1" applyAlignment="1">
      <alignment vertical="center"/>
      <protection/>
    </xf>
    <xf numFmtId="3" fontId="22" fillId="0" borderId="13" xfId="63" applyNumberFormat="1" applyFont="1" applyBorder="1" applyAlignment="1">
      <alignment vertical="center"/>
      <protection/>
    </xf>
    <xf numFmtId="3" fontId="22" fillId="0" borderId="28" xfId="63" applyNumberFormat="1" applyFont="1" applyBorder="1" applyAlignment="1">
      <alignment vertical="center"/>
      <protection/>
    </xf>
    <xf numFmtId="3" fontId="14" fillId="0" borderId="44" xfId="63" applyNumberFormat="1" applyBorder="1" applyAlignment="1">
      <alignment vertical="center"/>
      <protection/>
    </xf>
    <xf numFmtId="3" fontId="14" fillId="0" borderId="11" xfId="63" applyNumberFormat="1" applyBorder="1" applyAlignment="1">
      <alignment vertical="center"/>
      <protection/>
    </xf>
    <xf numFmtId="3" fontId="14" fillId="0" borderId="72" xfId="63" applyNumberFormat="1" applyBorder="1" applyAlignment="1">
      <alignment vertical="center"/>
      <protection/>
    </xf>
    <xf numFmtId="3" fontId="14" fillId="0" borderId="13" xfId="63" applyNumberFormat="1" applyBorder="1" applyAlignment="1">
      <alignment vertical="center"/>
      <protection/>
    </xf>
    <xf numFmtId="3" fontId="14" fillId="0" borderId="28" xfId="63" applyNumberFormat="1" applyBorder="1" applyAlignment="1">
      <alignment vertical="center"/>
      <protection/>
    </xf>
    <xf numFmtId="3" fontId="14" fillId="39" borderId="44" xfId="63" applyNumberFormat="1" applyFill="1" applyBorder="1" applyAlignment="1">
      <alignment vertical="center"/>
      <protection/>
    </xf>
    <xf numFmtId="3" fontId="14" fillId="39" borderId="11" xfId="63" applyNumberFormat="1" applyFill="1" applyBorder="1" applyAlignment="1">
      <alignment vertical="center"/>
      <protection/>
    </xf>
    <xf numFmtId="3" fontId="14" fillId="39" borderId="13" xfId="63" applyNumberFormat="1" applyFill="1" applyBorder="1" applyAlignment="1">
      <alignment vertical="center"/>
      <protection/>
    </xf>
    <xf numFmtId="171" fontId="14" fillId="0" borderId="44" xfId="63" applyNumberFormat="1" applyBorder="1" applyAlignment="1">
      <alignment vertical="center"/>
      <protection/>
    </xf>
    <xf numFmtId="171" fontId="14" fillId="0" borderId="13" xfId="63" applyNumberFormat="1" applyBorder="1" applyAlignment="1">
      <alignment vertical="center"/>
      <protection/>
    </xf>
    <xf numFmtId="171" fontId="22" fillId="0" borderId="44" xfId="63" applyNumberFormat="1" applyFont="1" applyBorder="1" applyAlignment="1">
      <alignment vertical="center"/>
      <protection/>
    </xf>
    <xf numFmtId="171" fontId="22" fillId="0" borderId="13" xfId="63" applyNumberFormat="1" applyFont="1" applyBorder="1" applyAlignment="1">
      <alignment vertical="center"/>
      <protection/>
    </xf>
    <xf numFmtId="4" fontId="22" fillId="39" borderId="44" xfId="63" applyNumberFormat="1" applyFont="1" applyFill="1" applyBorder="1" applyAlignment="1">
      <alignment vertical="center"/>
      <protection/>
    </xf>
    <xf numFmtId="4" fontId="22" fillId="39" borderId="13" xfId="63" applyNumberFormat="1" applyFont="1" applyFill="1" applyBorder="1" applyAlignment="1">
      <alignment vertical="center"/>
      <protection/>
    </xf>
    <xf numFmtId="2" fontId="14" fillId="0" borderId="44" xfId="63" applyNumberFormat="1" applyBorder="1" applyAlignment="1">
      <alignment vertical="center"/>
      <protection/>
    </xf>
    <xf numFmtId="2" fontId="14" fillId="0" borderId="13" xfId="63" applyNumberFormat="1" applyBorder="1" applyAlignment="1">
      <alignment vertical="center"/>
      <protection/>
    </xf>
    <xf numFmtId="4" fontId="14" fillId="0" borderId="44" xfId="63" applyNumberFormat="1" applyBorder="1" applyAlignment="1">
      <alignment vertical="center"/>
      <protection/>
    </xf>
    <xf numFmtId="3" fontId="2" fillId="39" borderId="44" xfId="63" applyNumberFormat="1" applyFont="1" applyFill="1" applyBorder="1" applyAlignment="1">
      <alignment horizontal="center" vertical="center"/>
      <protection/>
    </xf>
    <xf numFmtId="3" fontId="2" fillId="39" borderId="11" xfId="63" applyNumberFormat="1" applyFont="1" applyFill="1" applyBorder="1" applyAlignment="1">
      <alignment horizontal="center" vertical="center"/>
      <protection/>
    </xf>
    <xf numFmtId="3" fontId="1" fillId="39" borderId="72" xfId="63" applyNumberFormat="1" applyFont="1" applyFill="1" applyBorder="1" applyAlignment="1">
      <alignment vertical="center"/>
      <protection/>
    </xf>
    <xf numFmtId="3" fontId="2" fillId="39" borderId="13" xfId="63" applyNumberFormat="1" applyFont="1" applyFill="1" applyBorder="1" applyAlignment="1">
      <alignment horizontal="center" vertical="center"/>
      <protection/>
    </xf>
    <xf numFmtId="3" fontId="22" fillId="39" borderId="28" xfId="63" applyNumberFormat="1" applyFont="1" applyFill="1" applyBorder="1" applyAlignment="1">
      <alignment vertical="center"/>
      <protection/>
    </xf>
    <xf numFmtId="3" fontId="14" fillId="35" borderId="72" xfId="63" applyNumberFormat="1" applyFill="1" applyBorder="1" applyAlignment="1">
      <alignment vertical="center"/>
      <protection/>
    </xf>
    <xf numFmtId="49" fontId="22" fillId="39" borderId="44" xfId="63" applyNumberFormat="1" applyFont="1" applyFill="1" applyBorder="1" applyAlignment="1">
      <alignment horizontal="center" vertical="center"/>
      <protection/>
    </xf>
    <xf numFmtId="49" fontId="22" fillId="0" borderId="44" xfId="63" applyNumberFormat="1" applyFont="1" applyBorder="1" applyAlignment="1">
      <alignment vertical="center"/>
      <protection/>
    </xf>
    <xf numFmtId="49" fontId="14" fillId="0" borderId="44" xfId="63" applyNumberFormat="1" applyBorder="1" applyAlignment="1">
      <alignment vertical="center"/>
      <protection/>
    </xf>
    <xf numFmtId="3" fontId="39" fillId="39" borderId="54" xfId="63" applyNumberFormat="1" applyFont="1" applyFill="1" applyBorder="1" applyAlignment="1">
      <alignment horizontal="center" vertical="center"/>
      <protection/>
    </xf>
    <xf numFmtId="3" fontId="39" fillId="39" borderId="34" xfId="63" applyNumberFormat="1" applyFont="1" applyFill="1" applyBorder="1" applyAlignment="1">
      <alignment horizontal="center" vertical="center"/>
      <protection/>
    </xf>
    <xf numFmtId="3" fontId="39" fillId="39" borderId="51" xfId="63" applyNumberFormat="1" applyFont="1" applyFill="1" applyBorder="1" applyAlignment="1">
      <alignment vertical="center"/>
      <protection/>
    </xf>
    <xf numFmtId="3" fontId="39" fillId="39" borderId="61" xfId="63" applyNumberFormat="1" applyFont="1" applyFill="1" applyBorder="1" applyAlignment="1">
      <alignment horizontal="center" vertical="center"/>
      <protection/>
    </xf>
    <xf numFmtId="3" fontId="40" fillId="39" borderId="59" xfId="63" applyNumberFormat="1" applyFont="1" applyFill="1" applyBorder="1" applyAlignment="1">
      <alignment vertical="center"/>
      <protection/>
    </xf>
    <xf numFmtId="0" fontId="49" fillId="0" borderId="11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2" fillId="0" borderId="11" xfId="0" applyFont="1" applyBorder="1" applyAlignment="1">
      <alignment horizontal="left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1" xfId="0" applyFont="1" applyBorder="1" applyAlignment="1">
      <alignment horizontal="left" wrapText="1"/>
    </xf>
    <xf numFmtId="0" fontId="42" fillId="0" borderId="11" xfId="58" applyFont="1" applyBorder="1" applyAlignment="1">
      <alignment horizontal="left"/>
      <protection/>
    </xf>
    <xf numFmtId="0" fontId="42" fillId="0" borderId="10" xfId="58" applyFont="1" applyBorder="1" applyAlignment="1">
      <alignment horizontal="left" wrapText="1"/>
      <protection/>
    </xf>
    <xf numFmtId="0" fontId="42" fillId="0" borderId="13" xfId="58" applyFont="1" applyBorder="1" applyAlignment="1">
      <alignment horizontal="left" wrapText="1"/>
      <protection/>
    </xf>
    <xf numFmtId="0" fontId="42" fillId="0" borderId="10" xfId="58" applyFont="1" applyBorder="1" applyAlignment="1">
      <alignment horizontal="left"/>
      <protection/>
    </xf>
    <xf numFmtId="0" fontId="42" fillId="0" borderId="13" xfId="58" applyFont="1" applyBorder="1" applyAlignment="1">
      <alignment horizontal="left"/>
      <protection/>
    </xf>
    <xf numFmtId="0" fontId="42" fillId="0" borderId="12" xfId="58" applyFont="1" applyBorder="1" applyAlignment="1">
      <alignment horizontal="left"/>
      <protection/>
    </xf>
    <xf numFmtId="0" fontId="19" fillId="0" borderId="0" xfId="58" applyFont="1" applyAlignment="1">
      <alignment horizontal="right" vertical="center"/>
      <protection/>
    </xf>
    <xf numFmtId="0" fontId="17" fillId="0" borderId="12" xfId="58" applyFont="1" applyBorder="1" applyAlignment="1">
      <alignment horizontal="center" vertical="center" wrapText="1"/>
      <protection/>
    </xf>
    <xf numFmtId="0" fontId="17" fillId="0" borderId="13" xfId="58" applyFont="1" applyBorder="1" applyAlignment="1">
      <alignment horizontal="center" vertical="center" wrapText="1"/>
      <protection/>
    </xf>
    <xf numFmtId="0" fontId="20" fillId="0" borderId="11" xfId="58" applyFont="1" applyBorder="1" applyAlignment="1">
      <alignment horizontal="left"/>
      <protection/>
    </xf>
    <xf numFmtId="0" fontId="20" fillId="0" borderId="10" xfId="58" applyFont="1" applyBorder="1" applyAlignment="1">
      <alignment horizontal="left"/>
      <protection/>
    </xf>
    <xf numFmtId="0" fontId="20" fillId="0" borderId="12" xfId="58" applyFont="1" applyBorder="1" applyAlignment="1">
      <alignment horizontal="left"/>
      <protection/>
    </xf>
    <xf numFmtId="0" fontId="20" fillId="0" borderId="13" xfId="58" applyFont="1" applyBorder="1" applyAlignment="1">
      <alignment horizontal="left"/>
      <protection/>
    </xf>
    <xf numFmtId="0" fontId="43" fillId="0" borderId="10" xfId="58" applyFont="1" applyBorder="1" applyAlignment="1">
      <alignment horizontal="left" wrapText="1"/>
      <protection/>
    </xf>
    <xf numFmtId="0" fontId="43" fillId="0" borderId="13" xfId="58" applyFont="1" applyBorder="1" applyAlignment="1">
      <alignment horizontal="left" wrapText="1"/>
      <protection/>
    </xf>
    <xf numFmtId="0" fontId="42" fillId="0" borderId="10" xfId="58" applyFont="1" applyBorder="1" applyAlignment="1">
      <alignment horizontal="left" vertical="center" wrapText="1"/>
      <protection/>
    </xf>
    <xf numFmtId="0" fontId="42" fillId="0" borderId="13" xfId="58" applyFont="1" applyBorder="1" applyAlignment="1">
      <alignment horizontal="left" vertical="center" wrapText="1"/>
      <protection/>
    </xf>
    <xf numFmtId="0" fontId="16" fillId="0" borderId="10" xfId="58" applyFont="1" applyBorder="1" applyAlignment="1">
      <alignment horizontal="left"/>
      <protection/>
    </xf>
    <xf numFmtId="0" fontId="16" fillId="0" borderId="12" xfId="58" applyFont="1" applyBorder="1" applyAlignment="1">
      <alignment horizontal="left"/>
      <protection/>
    </xf>
    <xf numFmtId="0" fontId="16" fillId="0" borderId="13" xfId="58" applyFont="1" applyBorder="1" applyAlignment="1">
      <alignment horizontal="left"/>
      <protection/>
    </xf>
    <xf numFmtId="0" fontId="6" fillId="0" borderId="0" xfId="0" applyFont="1" applyFill="1" applyAlignment="1">
      <alignment horizontal="right" vertical="center"/>
    </xf>
    <xf numFmtId="0" fontId="41" fillId="0" borderId="0" xfId="0" applyFont="1" applyAlignment="1">
      <alignment horizontal="right"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2" xfId="57" applyFont="1" applyBorder="1" applyAlignment="1">
      <alignment horizontal="center" vertical="center" wrapText="1"/>
      <protection/>
    </xf>
    <xf numFmtId="0" fontId="21" fillId="0" borderId="13" xfId="57" applyFont="1" applyBorder="1" applyAlignment="1">
      <alignment horizontal="center" vertical="center" wrapText="1"/>
      <protection/>
    </xf>
    <xf numFmtId="0" fontId="16" fillId="0" borderId="0" xfId="57" applyFont="1" applyAlignment="1">
      <alignment horizontal="center"/>
      <protection/>
    </xf>
    <xf numFmtId="0" fontId="16" fillId="0" borderId="11" xfId="57" applyFont="1" applyBorder="1" applyAlignment="1">
      <alignment horizontal="center" vertical="center"/>
      <protection/>
    </xf>
    <xf numFmtId="0" fontId="21" fillId="0" borderId="11" xfId="57" applyFont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18" fillId="0" borderId="10" xfId="57" applyFont="1" applyBorder="1" applyAlignment="1">
      <alignment horizontal="right" vertical="center"/>
      <protection/>
    </xf>
    <xf numFmtId="0" fontId="18" fillId="0" borderId="12" xfId="57" applyFont="1" applyBorder="1" applyAlignment="1">
      <alignment horizontal="right" vertical="center"/>
      <protection/>
    </xf>
    <xf numFmtId="0" fontId="4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19" fillId="0" borderId="0" xfId="61" applyFont="1" applyFill="1" applyAlignment="1">
      <alignment horizontal="right" vertical="center"/>
      <protection/>
    </xf>
    <xf numFmtId="0" fontId="19" fillId="0" borderId="0" xfId="61" applyFont="1" applyAlignment="1">
      <alignment horizontal="right"/>
      <protection/>
    </xf>
    <xf numFmtId="0" fontId="20" fillId="0" borderId="0" xfId="60" applyFont="1" applyAlignment="1">
      <alignment horizontal="center"/>
      <protection/>
    </xf>
    <xf numFmtId="3" fontId="16" fillId="0" borderId="76" xfId="60" applyNumberFormat="1" applyFont="1" applyBorder="1" applyAlignment="1">
      <alignment horizontal="center" vertical="center"/>
      <protection/>
    </xf>
    <xf numFmtId="3" fontId="16" fillId="0" borderId="19" xfId="60" applyNumberFormat="1" applyFont="1" applyBorder="1" applyAlignment="1">
      <alignment horizontal="center" vertical="center"/>
      <protection/>
    </xf>
    <xf numFmtId="0" fontId="23" fillId="0" borderId="20" xfId="60" applyFont="1" applyBorder="1" applyAlignment="1">
      <alignment horizontal="left" vertical="center" wrapText="1"/>
      <protection/>
    </xf>
    <xf numFmtId="0" fontId="23" fillId="0" borderId="125" xfId="60" applyFont="1" applyBorder="1" applyAlignment="1">
      <alignment horizontal="left" wrapText="1"/>
      <protection/>
    </xf>
    <xf numFmtId="0" fontId="23" fillId="0" borderId="82" xfId="60" applyFont="1" applyBorder="1" applyAlignment="1">
      <alignment horizontal="left" wrapText="1"/>
      <protection/>
    </xf>
    <xf numFmtId="0" fontId="23" fillId="0" borderId="133" xfId="60" applyFont="1" applyBorder="1" applyAlignment="1">
      <alignment horizontal="left" wrapText="1"/>
      <protection/>
    </xf>
    <xf numFmtId="0" fontId="23" fillId="0" borderId="14" xfId="60" applyFont="1" applyBorder="1" applyAlignment="1">
      <alignment horizontal="left" wrapText="1"/>
      <protection/>
    </xf>
    <xf numFmtId="3" fontId="16" fillId="0" borderId="125" xfId="60" applyNumberFormat="1" applyFont="1" applyBorder="1" applyAlignment="1">
      <alignment horizontal="center" vertical="center"/>
      <protection/>
    </xf>
    <xf numFmtId="3" fontId="16" fillId="0" borderId="133" xfId="60" applyNumberFormat="1" applyFont="1" applyBorder="1" applyAlignment="1">
      <alignment horizontal="center" vertical="center"/>
      <protection/>
    </xf>
    <xf numFmtId="0" fontId="60" fillId="36" borderId="115" xfId="60" applyFont="1" applyFill="1" applyBorder="1" applyAlignment="1">
      <alignment vertical="center"/>
      <protection/>
    </xf>
    <xf numFmtId="0" fontId="60" fillId="36" borderId="134" xfId="60" applyFont="1" applyFill="1" applyBorder="1" applyAlignment="1">
      <alignment vertical="center"/>
      <protection/>
    </xf>
    <xf numFmtId="3" fontId="16" fillId="0" borderId="76" xfId="60" applyNumberFormat="1" applyFont="1" applyBorder="1" applyAlignment="1">
      <alignment horizontal="right" vertical="center"/>
      <protection/>
    </xf>
    <xf numFmtId="3" fontId="16" fillId="0" borderId="20" xfId="60" applyNumberFormat="1" applyFont="1" applyBorder="1" applyAlignment="1">
      <alignment horizontal="right" vertical="center"/>
      <protection/>
    </xf>
    <xf numFmtId="3" fontId="16" fillId="0" borderId="77" xfId="60" applyNumberFormat="1" applyFont="1" applyBorder="1" applyAlignment="1">
      <alignment horizontal="right" vertical="center"/>
      <protection/>
    </xf>
    <xf numFmtId="3" fontId="16" fillId="0" borderId="126" xfId="60" applyNumberFormat="1" applyFont="1" applyBorder="1" applyAlignment="1">
      <alignment horizontal="right" vertical="center"/>
      <protection/>
    </xf>
    <xf numFmtId="3" fontId="16" fillId="0" borderId="130" xfId="60" applyNumberFormat="1" applyFont="1" applyBorder="1" applyAlignment="1">
      <alignment horizontal="right" vertical="center"/>
      <protection/>
    </xf>
    <xf numFmtId="0" fontId="23" fillId="0" borderId="20" xfId="60" applyFont="1" applyBorder="1" applyAlignment="1">
      <alignment horizontal="left" wrapText="1"/>
      <protection/>
    </xf>
    <xf numFmtId="3" fontId="16" fillId="0" borderId="135" xfId="60" applyNumberFormat="1" applyFont="1" applyBorder="1" applyAlignment="1">
      <alignment horizontal="right" vertical="center"/>
      <protection/>
    </xf>
    <xf numFmtId="3" fontId="16" fillId="0" borderId="19" xfId="60" applyNumberFormat="1" applyFont="1" applyBorder="1" applyAlignment="1">
      <alignment horizontal="right" vertical="center"/>
      <protection/>
    </xf>
    <xf numFmtId="0" fontId="23" fillId="0" borderId="20" xfId="60" applyFont="1" applyBorder="1" applyAlignment="1">
      <alignment horizontal="left" vertical="center"/>
      <protection/>
    </xf>
    <xf numFmtId="0" fontId="23" fillId="0" borderId="125" xfId="60" applyFont="1" applyBorder="1" applyAlignment="1">
      <alignment horizontal="left" vertical="center" wrapText="1"/>
      <protection/>
    </xf>
    <xf numFmtId="0" fontId="23" fillId="0" borderId="82" xfId="60" applyFont="1" applyBorder="1" applyAlignment="1">
      <alignment horizontal="left" vertical="center" wrapText="1"/>
      <protection/>
    </xf>
    <xf numFmtId="3" fontId="23" fillId="0" borderId="86" xfId="60" applyNumberFormat="1" applyFont="1" applyBorder="1" applyAlignment="1">
      <alignment horizontal="right" vertical="center"/>
      <protection/>
    </xf>
    <xf numFmtId="3" fontId="23" fillId="0" borderId="27" xfId="60" applyNumberFormat="1" applyFont="1" applyBorder="1" applyAlignment="1">
      <alignment horizontal="right" vertical="center"/>
      <protection/>
    </xf>
    <xf numFmtId="0" fontId="23" fillId="0" borderId="63" xfId="60" applyFont="1" applyBorder="1" applyAlignment="1">
      <alignment horizontal="left" vertical="center"/>
      <protection/>
    </xf>
    <xf numFmtId="0" fontId="23" fillId="0" borderId="64" xfId="60" applyFont="1" applyBorder="1" applyAlignment="1">
      <alignment horizontal="left" vertical="center"/>
      <protection/>
    </xf>
    <xf numFmtId="0" fontId="23" fillId="0" borderId="125" xfId="60" applyFont="1" applyBorder="1" applyAlignment="1">
      <alignment horizontal="left" vertical="center"/>
      <protection/>
    </xf>
    <xf numFmtId="0" fontId="23" fillId="0" borderId="82" xfId="60" applyFont="1" applyBorder="1" applyAlignment="1">
      <alignment horizontal="left" vertical="center"/>
      <protection/>
    </xf>
    <xf numFmtId="3" fontId="16" fillId="0" borderId="100" xfId="60" applyNumberFormat="1" applyFont="1" applyBorder="1" applyAlignment="1">
      <alignment horizontal="right" vertical="center"/>
      <protection/>
    </xf>
    <xf numFmtId="0" fontId="23" fillId="0" borderId="36" xfId="60" applyFont="1" applyBorder="1" applyAlignment="1">
      <alignment horizontal="left" vertical="center"/>
      <protection/>
    </xf>
    <xf numFmtId="0" fontId="23" fillId="0" borderId="124" xfId="60" applyFont="1" applyBorder="1" applyAlignment="1">
      <alignment horizontal="left" vertical="center"/>
      <protection/>
    </xf>
    <xf numFmtId="0" fontId="23" fillId="0" borderId="20" xfId="60" applyFont="1" applyBorder="1" applyAlignment="1">
      <alignment horizontal="left"/>
      <protection/>
    </xf>
    <xf numFmtId="3" fontId="16" fillId="0" borderId="125" xfId="60" applyNumberFormat="1" applyFont="1" applyBorder="1" applyAlignment="1">
      <alignment horizontal="right" vertical="center"/>
      <protection/>
    </xf>
    <xf numFmtId="3" fontId="16" fillId="0" borderId="126" xfId="60" applyNumberFormat="1" applyFont="1" applyBorder="1" applyAlignment="1">
      <alignment horizontal="center" vertical="center"/>
      <protection/>
    </xf>
    <xf numFmtId="3" fontId="16" fillId="0" borderId="130" xfId="60" applyNumberFormat="1" applyFont="1" applyBorder="1" applyAlignment="1">
      <alignment horizontal="center" vertical="center"/>
      <protection/>
    </xf>
    <xf numFmtId="0" fontId="23" fillId="0" borderId="89" xfId="60" applyFont="1" applyBorder="1" applyAlignment="1">
      <alignment horizontal="left" vertical="center"/>
      <protection/>
    </xf>
    <xf numFmtId="0" fontId="23" fillId="0" borderId="15" xfId="60" applyFont="1" applyBorder="1" applyAlignment="1">
      <alignment horizontal="left" vertical="center"/>
      <protection/>
    </xf>
    <xf numFmtId="3" fontId="16" fillId="0" borderId="89" xfId="60" applyNumberFormat="1" applyFont="1" applyBorder="1" applyAlignment="1">
      <alignment horizontal="right" vertical="center"/>
      <protection/>
    </xf>
    <xf numFmtId="3" fontId="16" fillId="0" borderId="133" xfId="60" applyNumberFormat="1" applyFont="1" applyBorder="1" applyAlignment="1">
      <alignment horizontal="right" vertical="center"/>
      <protection/>
    </xf>
    <xf numFmtId="3" fontId="16" fillId="0" borderId="76" xfId="60" applyNumberFormat="1" applyFont="1" applyBorder="1" applyAlignment="1">
      <alignment horizontal="right" vertical="center" wrapText="1"/>
      <protection/>
    </xf>
    <xf numFmtId="3" fontId="16" fillId="0" borderId="19" xfId="60" applyNumberFormat="1" applyFont="1" applyBorder="1" applyAlignment="1">
      <alignment horizontal="right" vertical="center" wrapText="1"/>
      <protection/>
    </xf>
    <xf numFmtId="0" fontId="61" fillId="0" borderId="98" xfId="60" applyFont="1" applyBorder="1" applyAlignment="1">
      <alignment horizontal="left" vertical="center"/>
      <protection/>
    </xf>
    <xf numFmtId="0" fontId="61" fillId="0" borderId="64" xfId="60" applyFont="1" applyBorder="1" applyAlignment="1">
      <alignment horizontal="left" vertical="center"/>
      <protection/>
    </xf>
    <xf numFmtId="0" fontId="23" fillId="0" borderId="83" xfId="60" applyFont="1" applyBorder="1" applyAlignment="1">
      <alignment horizontal="center" vertical="center"/>
      <protection/>
    </xf>
    <xf numFmtId="0" fontId="23" fillId="0" borderId="82" xfId="60" applyFont="1" applyBorder="1" applyAlignment="1">
      <alignment horizontal="center" vertical="center"/>
      <protection/>
    </xf>
    <xf numFmtId="0" fontId="23" fillId="0" borderId="79" xfId="60" applyFont="1" applyBorder="1" applyAlignment="1">
      <alignment horizontal="center" vertical="center"/>
      <protection/>
    </xf>
    <xf numFmtId="3" fontId="23" fillId="0" borderId="86" xfId="0" applyNumberFormat="1" applyFont="1" applyBorder="1" applyAlignment="1">
      <alignment horizontal="center" vertical="center"/>
    </xf>
    <xf numFmtId="3" fontId="23" fillId="0" borderId="27" xfId="0" applyNumberFormat="1" applyFont="1" applyBorder="1" applyAlignment="1">
      <alignment horizontal="center" vertical="center"/>
    </xf>
    <xf numFmtId="0" fontId="23" fillId="0" borderId="79" xfId="60" applyFont="1" applyBorder="1" applyAlignment="1">
      <alignment horizontal="left" wrapText="1"/>
      <protection/>
    </xf>
    <xf numFmtId="0" fontId="16" fillId="36" borderId="115" xfId="60" applyFont="1" applyFill="1" applyBorder="1" applyAlignment="1">
      <alignment vertical="center"/>
      <protection/>
    </xf>
    <xf numFmtId="0" fontId="16" fillId="36" borderId="115" xfId="0" applyFont="1" applyFill="1" applyBorder="1" applyAlignment="1">
      <alignment vertical="center"/>
    </xf>
    <xf numFmtId="0" fontId="16" fillId="36" borderId="134" xfId="0" applyFont="1" applyFill="1" applyBorder="1" applyAlignment="1">
      <alignment vertical="center"/>
    </xf>
    <xf numFmtId="0" fontId="23" fillId="0" borderId="90" xfId="60" applyFont="1" applyBorder="1" applyAlignment="1">
      <alignment horizontal="left"/>
      <protection/>
    </xf>
    <xf numFmtId="0" fontId="23" fillId="0" borderId="15" xfId="60" applyFont="1" applyBorder="1" applyAlignment="1">
      <alignment horizontal="left"/>
      <protection/>
    </xf>
    <xf numFmtId="0" fontId="60" fillId="0" borderId="90" xfId="60" applyFont="1" applyBorder="1" applyAlignment="1">
      <alignment horizontal="center" wrapText="1"/>
      <protection/>
    </xf>
    <xf numFmtId="0" fontId="60" fillId="0" borderId="15" xfId="60" applyFont="1" applyBorder="1" applyAlignment="1">
      <alignment horizontal="center" wrapText="1"/>
      <protection/>
    </xf>
    <xf numFmtId="0" fontId="60" fillId="0" borderId="107" xfId="60" applyFont="1" applyBorder="1" applyAlignment="1">
      <alignment horizontal="center" wrapText="1"/>
      <protection/>
    </xf>
    <xf numFmtId="0" fontId="60" fillId="0" borderId="14" xfId="60" applyFont="1" applyBorder="1" applyAlignment="1">
      <alignment horizontal="center" wrapText="1"/>
      <protection/>
    </xf>
    <xf numFmtId="0" fontId="23" fillId="0" borderId="83" xfId="60" applyFont="1" applyBorder="1" applyAlignment="1">
      <alignment horizontal="left" wrapText="1"/>
      <protection/>
    </xf>
    <xf numFmtId="0" fontId="23" fillId="0" borderId="125" xfId="60" applyFont="1" applyBorder="1" applyAlignment="1">
      <alignment horizontal="left"/>
      <protection/>
    </xf>
    <xf numFmtId="0" fontId="23" fillId="0" borderId="82" xfId="60" applyFont="1" applyBorder="1" applyAlignment="1">
      <alignment horizontal="left"/>
      <protection/>
    </xf>
    <xf numFmtId="0" fontId="60" fillId="0" borderId="90" xfId="60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57" xfId="60" applyFont="1" applyBorder="1" applyAlignment="1">
      <alignment horizontal="center" vertical="center"/>
      <protection/>
    </xf>
    <xf numFmtId="0" fontId="19" fillId="0" borderId="107" xfId="60" applyFont="1" applyBorder="1" applyAlignment="1">
      <alignment horizontal="center" vertical="center"/>
      <protection/>
    </xf>
    <xf numFmtId="0" fontId="19" fillId="0" borderId="14" xfId="60" applyFont="1" applyBorder="1" applyAlignment="1">
      <alignment horizontal="center" vertical="center"/>
      <protection/>
    </xf>
    <xf numFmtId="0" fontId="19" fillId="0" borderId="108" xfId="60" applyFont="1" applyBorder="1" applyAlignment="1">
      <alignment horizontal="center" vertical="center"/>
      <protection/>
    </xf>
    <xf numFmtId="0" fontId="17" fillId="0" borderId="0" xfId="61" applyFont="1" applyFill="1" applyAlignment="1">
      <alignment horizontal="right" vertical="center"/>
      <protection/>
    </xf>
    <xf numFmtId="0" fontId="17" fillId="0" borderId="0" xfId="61" applyFont="1" applyAlignment="1">
      <alignment horizontal="right"/>
      <protection/>
    </xf>
    <xf numFmtId="0" fontId="17" fillId="0" borderId="0" xfId="0" applyFont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19" fillId="0" borderId="136" xfId="0" applyFont="1" applyBorder="1" applyAlignment="1">
      <alignment horizontal="center" vertical="center" wrapText="1"/>
    </xf>
    <xf numFmtId="0" fontId="19" fillId="0" borderId="137" xfId="0" applyFont="1" applyBorder="1" applyAlignment="1">
      <alignment horizontal="center" vertical="center" wrapText="1"/>
    </xf>
    <xf numFmtId="0" fontId="24" fillId="0" borderId="79" xfId="60" applyFont="1" applyBorder="1" applyAlignment="1">
      <alignment horizontal="right"/>
      <protection/>
    </xf>
    <xf numFmtId="0" fontId="24" fillId="0" borderId="70" xfId="60" applyFont="1" applyBorder="1" applyAlignment="1">
      <alignment horizontal="right"/>
      <protection/>
    </xf>
    <xf numFmtId="0" fontId="16" fillId="36" borderId="118" xfId="60" applyFont="1" applyFill="1" applyBorder="1" applyAlignment="1">
      <alignment horizontal="right" vertical="center" wrapText="1"/>
      <protection/>
    </xf>
    <xf numFmtId="0" fontId="19" fillId="36" borderId="115" xfId="0" applyFont="1" applyFill="1" applyBorder="1" applyAlignment="1">
      <alignment horizontal="right" vertical="center" wrapText="1"/>
    </xf>
    <xf numFmtId="0" fontId="19" fillId="36" borderId="127" xfId="0" applyFont="1" applyFill="1" applyBorder="1" applyAlignment="1">
      <alignment horizontal="right" vertical="center" wrapText="1"/>
    </xf>
    <xf numFmtId="0" fontId="24" fillId="0" borderId="64" xfId="60" applyFont="1" applyBorder="1" applyAlignment="1">
      <alignment horizontal="right" vertical="center"/>
      <protection/>
    </xf>
    <xf numFmtId="0" fontId="24" fillId="0" borderId="138" xfId="60" applyFont="1" applyBorder="1" applyAlignment="1">
      <alignment horizontal="right" vertical="center"/>
      <protection/>
    </xf>
    <xf numFmtId="0" fontId="60" fillId="0" borderId="90" xfId="60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vertical="center"/>
    </xf>
    <xf numFmtId="0" fontId="19" fillId="0" borderId="87" xfId="0" applyFont="1" applyBorder="1" applyAlignment="1">
      <alignment vertical="center"/>
    </xf>
    <xf numFmtId="0" fontId="19" fillId="0" borderId="10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9" xfId="0" applyFont="1" applyBorder="1" applyAlignment="1">
      <alignment vertical="center"/>
    </xf>
    <xf numFmtId="3" fontId="16" fillId="0" borderId="86" xfId="60" applyNumberFormat="1" applyFont="1" applyBorder="1" applyAlignment="1">
      <alignment horizontal="right" vertical="center"/>
      <protection/>
    </xf>
    <xf numFmtId="0" fontId="23" fillId="0" borderId="79" xfId="60" applyFont="1" applyBorder="1" applyAlignment="1">
      <alignment horizontal="left" vertical="center" wrapText="1"/>
      <protection/>
    </xf>
    <xf numFmtId="0" fontId="23" fillId="0" borderId="79" xfId="60" applyFont="1" applyBorder="1" applyAlignment="1">
      <alignment horizontal="left" vertical="center"/>
      <protection/>
    </xf>
    <xf numFmtId="0" fontId="60" fillId="0" borderId="15" xfId="60" applyFont="1" applyBorder="1" applyAlignment="1">
      <alignment horizontal="center" vertical="center"/>
      <protection/>
    </xf>
    <xf numFmtId="0" fontId="60" fillId="0" borderId="57" xfId="60" applyFont="1" applyBorder="1" applyAlignment="1">
      <alignment horizontal="center" vertical="center"/>
      <protection/>
    </xf>
    <xf numFmtId="0" fontId="60" fillId="0" borderId="107" xfId="60" applyFont="1" applyBorder="1" applyAlignment="1">
      <alignment horizontal="center" vertical="center"/>
      <protection/>
    </xf>
    <xf numFmtId="0" fontId="60" fillId="0" borderId="14" xfId="60" applyFont="1" applyBorder="1" applyAlignment="1">
      <alignment horizontal="center" vertical="center"/>
      <protection/>
    </xf>
    <xf numFmtId="0" fontId="60" fillId="0" borderId="108" xfId="60" applyFont="1" applyBorder="1" applyAlignment="1">
      <alignment horizontal="center" vertical="center"/>
      <protection/>
    </xf>
    <xf numFmtId="0" fontId="19" fillId="0" borderId="70" xfId="0" applyFont="1" applyBorder="1" applyAlignment="1">
      <alignment horizontal="right"/>
    </xf>
    <xf numFmtId="0" fontId="61" fillId="0" borderId="20" xfId="60" applyFont="1" applyBorder="1" applyAlignment="1">
      <alignment horizontal="left" wrapText="1"/>
      <protection/>
    </xf>
    <xf numFmtId="0" fontId="24" fillId="0" borderId="79" xfId="60" applyFont="1" applyBorder="1" applyAlignment="1">
      <alignment horizontal="right" vertical="center"/>
      <protection/>
    </xf>
    <xf numFmtId="0" fontId="24" fillId="0" borderId="70" xfId="60" applyFont="1" applyBorder="1" applyAlignment="1">
      <alignment horizontal="right" vertical="center"/>
      <protection/>
    </xf>
    <xf numFmtId="0" fontId="46" fillId="0" borderId="140" xfId="60" applyFont="1" applyBorder="1" applyAlignment="1">
      <alignment horizontal="center"/>
      <protection/>
    </xf>
    <xf numFmtId="0" fontId="19" fillId="0" borderId="16" xfId="0" applyFont="1" applyBorder="1" applyAlignment="1">
      <alignment horizontal="center"/>
    </xf>
    <xf numFmtId="0" fontId="19" fillId="0" borderId="117" xfId="0" applyFont="1" applyBorder="1" applyAlignment="1">
      <alignment horizontal="center"/>
    </xf>
    <xf numFmtId="0" fontId="60" fillId="36" borderId="118" xfId="60" applyFont="1" applyFill="1" applyBorder="1" applyAlignment="1">
      <alignment vertical="center" wrapText="1"/>
      <protection/>
    </xf>
    <xf numFmtId="0" fontId="15" fillId="36" borderId="115" xfId="0" applyFont="1" applyFill="1" applyBorder="1" applyAlignment="1">
      <alignment vertical="center" wrapText="1"/>
    </xf>
    <xf numFmtId="0" fontId="15" fillId="36" borderId="127" xfId="0" applyFont="1" applyFill="1" applyBorder="1" applyAlignment="1">
      <alignment vertical="center" wrapText="1"/>
    </xf>
    <xf numFmtId="0" fontId="23" fillId="0" borderId="79" xfId="60" applyFont="1" applyBorder="1" applyAlignment="1">
      <alignment horizontal="left"/>
      <protection/>
    </xf>
    <xf numFmtId="0" fontId="19" fillId="0" borderId="0" xfId="60" applyFont="1" applyAlignment="1">
      <alignment horizontal="center"/>
      <protection/>
    </xf>
    <xf numFmtId="0" fontId="24" fillId="0" borderId="78" xfId="60" applyFont="1" applyBorder="1" applyAlignment="1">
      <alignment horizontal="right"/>
      <protection/>
    </xf>
    <xf numFmtId="0" fontId="24" fillId="0" borderId="124" xfId="60" applyFont="1" applyBorder="1" applyAlignment="1">
      <alignment horizontal="right"/>
      <protection/>
    </xf>
    <xf numFmtId="0" fontId="24" fillId="0" borderId="141" xfId="60" applyFont="1" applyBorder="1" applyAlignment="1">
      <alignment horizontal="right"/>
      <protection/>
    </xf>
    <xf numFmtId="0" fontId="23" fillId="0" borderId="83" xfId="60" applyFont="1" applyBorder="1" applyAlignment="1">
      <alignment horizontal="left"/>
      <protection/>
    </xf>
    <xf numFmtId="0" fontId="46" fillId="0" borderId="15" xfId="60" applyFont="1" applyBorder="1" applyAlignment="1">
      <alignment horizontal="center"/>
      <protection/>
    </xf>
    <xf numFmtId="0" fontId="19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1" fillId="0" borderId="0" xfId="0" applyFont="1" applyAlignment="1">
      <alignment/>
    </xf>
    <xf numFmtId="0" fontId="21" fillId="0" borderId="73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9" fillId="39" borderId="54" xfId="63" applyFont="1" applyFill="1" applyBorder="1" applyAlignment="1">
      <alignment horizontal="left"/>
      <protection/>
    </xf>
    <xf numFmtId="0" fontId="39" fillId="39" borderId="34" xfId="63" applyFont="1" applyFill="1" applyBorder="1" applyAlignment="1">
      <alignment horizontal="left"/>
      <protection/>
    </xf>
    <xf numFmtId="0" fontId="39" fillId="39" borderId="60" xfId="63" applyFont="1" applyFill="1" applyBorder="1" applyAlignment="1">
      <alignment horizontal="left"/>
      <protection/>
    </xf>
    <xf numFmtId="0" fontId="1" fillId="0" borderId="76" xfId="63" applyFont="1" applyBorder="1" applyAlignment="1">
      <alignment horizontal="center" vertical="center" wrapText="1"/>
      <protection/>
    </xf>
    <xf numFmtId="0" fontId="14" fillId="0" borderId="26" xfId="63" applyBorder="1" applyAlignment="1">
      <alignment horizontal="center" vertical="center" wrapText="1"/>
      <protection/>
    </xf>
    <xf numFmtId="0" fontId="1" fillId="0" borderId="68" xfId="63" applyFont="1" applyBorder="1" applyAlignment="1">
      <alignment horizontal="center" vertical="center"/>
      <protection/>
    </xf>
    <xf numFmtId="0" fontId="1" fillId="0" borderId="142" xfId="63" applyFont="1" applyBorder="1" applyAlignment="1">
      <alignment horizontal="center" vertical="center"/>
      <protection/>
    </xf>
    <xf numFmtId="0" fontId="1" fillId="0" borderId="44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0" xfId="63" applyFont="1" applyAlignment="1">
      <alignment horizontal="center" wrapText="1"/>
      <protection/>
    </xf>
    <xf numFmtId="0" fontId="1" fillId="0" borderId="0" xfId="63" applyFont="1" applyAlignment="1">
      <alignment horizontal="center"/>
      <protection/>
    </xf>
    <xf numFmtId="0" fontId="1" fillId="0" borderId="42" xfId="63" applyFont="1" applyBorder="1" applyAlignment="1">
      <alignment horizontal="center" vertical="center"/>
      <protection/>
    </xf>
    <xf numFmtId="0" fontId="1" fillId="0" borderId="30" xfId="63" applyFont="1" applyBorder="1" applyAlignment="1">
      <alignment horizontal="center" vertical="center"/>
      <protection/>
    </xf>
    <xf numFmtId="0" fontId="1" fillId="0" borderId="143" xfId="63" applyFont="1" applyBorder="1" applyAlignment="1">
      <alignment horizontal="center" vertical="center"/>
      <protection/>
    </xf>
    <xf numFmtId="0" fontId="1" fillId="0" borderId="71" xfId="63" applyFont="1" applyBorder="1" applyAlignment="1">
      <alignment horizontal="center" vertical="center"/>
      <protection/>
    </xf>
    <xf numFmtId="0" fontId="1" fillId="0" borderId="42" xfId="63" applyFont="1" applyBorder="1" applyAlignment="1">
      <alignment horizontal="center" vertical="center" wrapText="1"/>
      <protection/>
    </xf>
    <xf numFmtId="0" fontId="1" fillId="0" borderId="49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0" fontId="1" fillId="0" borderId="71" xfId="63" applyFont="1" applyBorder="1" applyAlignment="1">
      <alignment horizontal="center" vertical="center" wrapText="1"/>
      <protection/>
    </xf>
    <xf numFmtId="0" fontId="2" fillId="39" borderId="44" xfId="63" applyFont="1" applyFill="1" applyBorder="1" applyAlignment="1">
      <alignment horizontal="right"/>
      <protection/>
    </xf>
    <xf numFmtId="0" fontId="2" fillId="39" borderId="11" xfId="63" applyFont="1" applyFill="1" applyBorder="1" applyAlignment="1">
      <alignment horizontal="right"/>
      <protection/>
    </xf>
    <xf numFmtId="0" fontId="2" fillId="39" borderId="10" xfId="63" applyFont="1" applyFill="1" applyBorder="1" applyAlignment="1">
      <alignment horizontal="right"/>
      <protection/>
    </xf>
    <xf numFmtId="0" fontId="0" fillId="0" borderId="0" xfId="0" applyBorder="1" applyAlignment="1">
      <alignment horizontal="center"/>
    </xf>
    <xf numFmtId="3" fontId="22" fillId="35" borderId="140" xfId="0" applyNumberFormat="1" applyFont="1" applyFill="1" applyBorder="1" applyAlignment="1">
      <alignment horizontal="center"/>
    </xf>
    <xf numFmtId="3" fontId="22" fillId="35" borderId="16" xfId="0" applyNumberFormat="1" applyFont="1" applyFill="1" applyBorder="1" applyAlignment="1">
      <alignment horizontal="center"/>
    </xf>
    <xf numFmtId="3" fontId="22" fillId="35" borderId="113" xfId="0" applyNumberFormat="1" applyFont="1" applyFill="1" applyBorder="1" applyAlignment="1">
      <alignment horizontal="center"/>
    </xf>
    <xf numFmtId="0" fontId="69" fillId="0" borderId="89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left" vertical="center" wrapText="1"/>
    </xf>
    <xf numFmtId="0" fontId="69" fillId="0" borderId="57" xfId="0" applyFont="1" applyBorder="1" applyAlignment="1">
      <alignment horizontal="left" vertical="center" wrapText="1"/>
    </xf>
    <xf numFmtId="3" fontId="0" fillId="32" borderId="76" xfId="0" applyNumberFormat="1" applyFill="1" applyBorder="1" applyAlignment="1">
      <alignment horizontal="center"/>
    </xf>
    <xf numFmtId="3" fontId="0" fillId="32" borderId="19" xfId="0" applyNumberFormat="1" applyFill="1" applyBorder="1" applyAlignment="1">
      <alignment horizontal="center"/>
    </xf>
    <xf numFmtId="3" fontId="0" fillId="32" borderId="77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32" borderId="100" xfId="0" applyNumberFormat="1" applyFill="1" applyBorder="1" applyAlignment="1">
      <alignment horizontal="center"/>
    </xf>
    <xf numFmtId="0" fontId="68" fillId="40" borderId="112" xfId="0" applyFont="1" applyFill="1" applyBorder="1" applyAlignment="1">
      <alignment horizontal="center" vertical="center"/>
    </xf>
    <xf numFmtId="0" fontId="68" fillId="40" borderId="16" xfId="0" applyFont="1" applyFill="1" applyBorder="1" applyAlignment="1">
      <alignment horizontal="center" vertical="center"/>
    </xf>
    <xf numFmtId="0" fontId="68" fillId="40" borderId="144" xfId="0" applyFont="1" applyFill="1" applyBorder="1" applyAlignment="1">
      <alignment horizontal="center" vertical="center"/>
    </xf>
    <xf numFmtId="0" fontId="0" fillId="35" borderId="112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44" xfId="0" applyFill="1" applyBorder="1" applyAlignment="1">
      <alignment horizontal="center"/>
    </xf>
    <xf numFmtId="0" fontId="22" fillId="0" borderId="8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69" fillId="0" borderId="145" xfId="0" applyFont="1" applyBorder="1" applyAlignment="1">
      <alignment horizontal="left" vertical="center" wrapText="1"/>
    </xf>
    <xf numFmtId="0" fontId="69" fillId="0" borderId="136" xfId="0" applyFont="1" applyBorder="1" applyAlignment="1">
      <alignment horizontal="left" vertical="center" wrapText="1"/>
    </xf>
    <xf numFmtId="0" fontId="69" fillId="0" borderId="146" xfId="0" applyFont="1" applyBorder="1" applyAlignment="1">
      <alignment horizontal="left" vertical="center"/>
    </xf>
    <xf numFmtId="0" fontId="69" fillId="0" borderId="147" xfId="0" applyFont="1" applyBorder="1" applyAlignment="1">
      <alignment horizontal="left" vertical="center"/>
    </xf>
    <xf numFmtId="0" fontId="69" fillId="0" borderId="148" xfId="0" applyFont="1" applyBorder="1" applyAlignment="1">
      <alignment horizontal="left" vertical="center"/>
    </xf>
    <xf numFmtId="3" fontId="0" fillId="32" borderId="86" xfId="0" applyNumberFormat="1" applyFill="1" applyBorder="1" applyAlignment="1">
      <alignment horizontal="center"/>
    </xf>
    <xf numFmtId="3" fontId="0" fillId="32" borderId="27" xfId="0" applyNumberFormat="1" applyFill="1" applyBorder="1" applyAlignment="1">
      <alignment horizontal="center"/>
    </xf>
    <xf numFmtId="0" fontId="69" fillId="0" borderId="146" xfId="0" applyFont="1" applyBorder="1" applyAlignment="1">
      <alignment horizontal="left" vertical="center" wrapText="1"/>
    </xf>
    <xf numFmtId="0" fontId="69" fillId="0" borderId="147" xfId="0" applyFont="1" applyBorder="1" applyAlignment="1">
      <alignment horizontal="left" vertical="center" wrapText="1"/>
    </xf>
    <xf numFmtId="0" fontId="69" fillId="0" borderId="148" xfId="0" applyFont="1" applyBorder="1" applyAlignment="1">
      <alignment horizontal="left" vertical="center" wrapText="1"/>
    </xf>
    <xf numFmtId="3" fontId="0" fillId="4" borderId="62" xfId="0" applyNumberFormat="1" applyFill="1" applyBorder="1" applyAlignment="1">
      <alignment horizontal="right" vertical="center"/>
    </xf>
    <xf numFmtId="3" fontId="0" fillId="4" borderId="41" xfId="0" applyNumberFormat="1" applyFill="1" applyBorder="1" applyAlignment="1">
      <alignment horizontal="right" vertical="center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6" xfId="0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46" fillId="0" borderId="0" xfId="0" applyFont="1" applyAlignment="1">
      <alignment horizont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66" fillId="0" borderId="125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143" xfId="0" applyFont="1" applyBorder="1" applyAlignment="1">
      <alignment horizontal="center" vertical="center" wrapText="1"/>
    </xf>
    <xf numFmtId="0" fontId="67" fillId="0" borderId="76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48" fillId="0" borderId="84" xfId="0" applyNumberFormat="1" applyFont="1" applyBorder="1" applyAlignment="1">
      <alignment/>
    </xf>
    <xf numFmtId="0" fontId="45" fillId="0" borderId="0" xfId="58" applyFont="1" applyAlignment="1">
      <alignment horizontal="center" vertical="center"/>
      <protection/>
    </xf>
    <xf numFmtId="0" fontId="42" fillId="0" borderId="0" xfId="58" applyFont="1" applyAlignment="1">
      <alignment horizontal="center" vertical="center"/>
      <protection/>
    </xf>
    <xf numFmtId="0" fontId="19" fillId="0" borderId="0" xfId="58" applyFont="1" applyAlignment="1">
      <alignment vertical="center"/>
      <protection/>
    </xf>
    <xf numFmtId="0" fontId="46" fillId="0" borderId="10" xfId="58" applyFont="1" applyBorder="1" applyAlignment="1">
      <alignment horizontal="center" vertical="center" wrapText="1"/>
      <protection/>
    </xf>
    <xf numFmtId="0" fontId="20" fillId="0" borderId="12" xfId="58" applyFont="1" applyBorder="1" applyAlignment="1">
      <alignment horizontal="center" vertical="center" wrapText="1"/>
      <protection/>
    </xf>
    <xf numFmtId="0" fontId="20" fillId="0" borderId="13" xfId="58" applyFont="1" applyBorder="1" applyAlignment="1">
      <alignment horizontal="center" vertical="center" wrapText="1"/>
      <protection/>
    </xf>
    <xf numFmtId="0" fontId="21" fillId="0" borderId="11" xfId="58" applyFont="1" applyBorder="1" applyAlignment="1">
      <alignment horizontal="center" vertical="center" wrapText="1"/>
      <protection/>
    </xf>
    <xf numFmtId="0" fontId="17" fillId="0" borderId="10" xfId="58" applyFont="1" applyBorder="1" applyAlignment="1">
      <alignment horizontal="center" vertical="center" wrapText="1"/>
      <protection/>
    </xf>
    <xf numFmtId="0" fontId="17" fillId="0" borderId="10" xfId="58" applyFont="1" applyBorder="1" applyAlignment="1">
      <alignment horizontal="center" vertical="center" wrapText="1"/>
      <protection/>
    </xf>
    <xf numFmtId="0" fontId="17" fillId="0" borderId="11" xfId="58" applyFont="1" applyBorder="1" applyAlignment="1">
      <alignment horizontal="center" vertical="center" wrapText="1"/>
      <protection/>
    </xf>
    <xf numFmtId="0" fontId="123" fillId="0" borderId="0" xfId="57" applyFont="1" applyAlignment="1">
      <alignment horizontal="right"/>
      <protection/>
    </xf>
    <xf numFmtId="49" fontId="123" fillId="0" borderId="0" xfId="0" applyNumberFormat="1" applyFont="1" applyFill="1" applyAlignment="1">
      <alignment horizontal="right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Alignment="1">
      <alignment vertical="center" wrapText="1"/>
    </xf>
    <xf numFmtId="49" fontId="16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0" fontId="58" fillId="0" borderId="0" xfId="0" applyFont="1" applyAlignment="1">
      <alignment vertical="center"/>
    </xf>
    <xf numFmtId="0" fontId="43" fillId="0" borderId="14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62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 wrapText="1"/>
    </xf>
    <xf numFmtId="0" fontId="21" fillId="0" borderId="143" xfId="0" applyFont="1" applyBorder="1" applyAlignment="1">
      <alignment horizontal="center" vertical="center"/>
    </xf>
    <xf numFmtId="0" fontId="21" fillId="0" borderId="149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150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52" xfId="0" applyNumberFormat="1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 wrapText="1"/>
    </xf>
    <xf numFmtId="0" fontId="47" fillId="0" borderId="7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2" xfId="0" applyFont="1" applyBorder="1" applyAlignment="1">
      <alignment horizontal="center" vertical="center" wrapText="1"/>
    </xf>
    <xf numFmtId="0" fontId="21" fillId="0" borderId="151" xfId="0" applyFont="1" applyBorder="1" applyAlignment="1">
      <alignment horizontal="center" vertical="center" wrapText="1"/>
    </xf>
    <xf numFmtId="0" fontId="64" fillId="0" borderId="15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58" fillId="0" borderId="153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3" fontId="43" fillId="0" borderId="66" xfId="0" applyNumberFormat="1" applyFont="1" applyBorder="1" applyAlignment="1">
      <alignment horizontal="center" vertical="center"/>
    </xf>
    <xf numFmtId="0" fontId="43" fillId="0" borderId="152" xfId="0" applyFont="1" applyBorder="1" applyAlignment="1">
      <alignment horizontal="center" vertical="center" wrapText="1"/>
    </xf>
    <xf numFmtId="0" fontId="42" fillId="0" borderId="72" xfId="0" applyFont="1" applyBorder="1" applyAlignment="1">
      <alignment horizontal="center" vertical="center" wrapText="1"/>
    </xf>
    <xf numFmtId="49" fontId="42" fillId="0" borderId="41" xfId="0" applyNumberFormat="1" applyFont="1" applyBorder="1" applyAlignment="1">
      <alignment horizontal="center" vertical="center"/>
    </xf>
    <xf numFmtId="0" fontId="21" fillId="0" borderId="66" xfId="0" applyFont="1" applyBorder="1" applyAlignment="1">
      <alignment vertical="center" wrapText="1"/>
    </xf>
    <xf numFmtId="3" fontId="58" fillId="0" borderId="153" xfId="0" applyNumberFormat="1" applyFont="1" applyBorder="1" applyAlignment="1">
      <alignment vertical="center"/>
    </xf>
    <xf numFmtId="3" fontId="43" fillId="0" borderId="69" xfId="0" applyNumberFormat="1" applyFont="1" applyBorder="1" applyAlignment="1">
      <alignment vertical="center"/>
    </xf>
    <xf numFmtId="3" fontId="43" fillId="0" borderId="66" xfId="0" applyNumberFormat="1" applyFont="1" applyBorder="1" applyAlignment="1">
      <alignment vertical="center"/>
    </xf>
    <xf numFmtId="3" fontId="21" fillId="0" borderId="72" xfId="0" applyNumberFormat="1" applyFont="1" applyBorder="1" applyAlignment="1">
      <alignment vertical="center"/>
    </xf>
    <xf numFmtId="49" fontId="42" fillId="0" borderId="44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3" fontId="58" fillId="0" borderId="154" xfId="0" applyNumberFormat="1" applyFont="1" applyBorder="1" applyAlignment="1">
      <alignment vertical="center"/>
    </xf>
    <xf numFmtId="3" fontId="43" fillId="0" borderId="13" xfId="0" applyNumberFormat="1" applyFont="1" applyBorder="1" applyAlignment="1">
      <alignment vertical="center"/>
    </xf>
    <xf numFmtId="3" fontId="58" fillId="0" borderId="12" xfId="0" applyNumberFormat="1" applyFont="1" applyBorder="1" applyAlignment="1">
      <alignment vertical="center"/>
    </xf>
    <xf numFmtId="49" fontId="43" fillId="0" borderId="44" xfId="0" applyNumberFormat="1" applyFont="1" applyBorder="1" applyAlignment="1">
      <alignment horizontal="center" textRotation="90"/>
    </xf>
    <xf numFmtId="3" fontId="58" fillId="0" borderId="11" xfId="0" applyNumberFormat="1" applyFont="1" applyBorder="1" applyAlignment="1">
      <alignment vertical="center"/>
    </xf>
    <xf numFmtId="3" fontId="58" fillId="0" borderId="11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left" vertical="center" wrapText="1"/>
    </xf>
    <xf numFmtId="49" fontId="42" fillId="0" borderId="43" xfId="0" applyNumberFormat="1" applyFont="1" applyBorder="1" applyAlignment="1">
      <alignment horizontal="center" vertical="center"/>
    </xf>
    <xf numFmtId="3" fontId="43" fillId="0" borderId="11" xfId="0" applyNumberFormat="1" applyFont="1" applyBorder="1" applyAlignment="1">
      <alignment horizontal="right" vertical="center"/>
    </xf>
    <xf numFmtId="3" fontId="43" fillId="0" borderId="73" xfId="0" applyNumberFormat="1" applyFont="1" applyBorder="1" applyAlignment="1">
      <alignment vertical="center"/>
    </xf>
    <xf numFmtId="3" fontId="58" fillId="0" borderId="155" xfId="0" applyNumberFormat="1" applyFont="1" applyBorder="1" applyAlignment="1">
      <alignment vertical="center"/>
    </xf>
    <xf numFmtId="3" fontId="43" fillId="0" borderId="142" xfId="0" applyNumberFormat="1" applyFont="1" applyBorder="1" applyAlignment="1">
      <alignment vertical="center"/>
    </xf>
    <xf numFmtId="0" fontId="21" fillId="0" borderId="73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49" fontId="20" fillId="0" borderId="54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3" fontId="65" fillId="0" borderId="51" xfId="0" applyNumberFormat="1" applyFont="1" applyBorder="1" applyAlignment="1">
      <alignment vertical="center"/>
    </xf>
    <xf numFmtId="3" fontId="20" fillId="0" borderId="61" xfId="0" applyNumberFormat="1" applyFont="1" applyBorder="1" applyAlignment="1">
      <alignment vertical="center"/>
    </xf>
    <xf numFmtId="3" fontId="20" fillId="0" borderId="51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42" fillId="0" borderId="84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 wrapText="1"/>
    </xf>
    <xf numFmtId="0" fontId="43" fillId="0" borderId="84" xfId="0" applyFont="1" applyBorder="1" applyAlignment="1">
      <alignment horizontal="center" vertical="center" wrapText="1"/>
    </xf>
    <xf numFmtId="0" fontId="42" fillId="0" borderId="74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6" fillId="0" borderId="29" xfId="0" applyNumberFormat="1" applyFont="1" applyBorder="1" applyAlignment="1">
      <alignment horizontal="left" vertical="center"/>
    </xf>
    <xf numFmtId="49" fontId="46" fillId="0" borderId="149" xfId="0" applyNumberFormat="1" applyFont="1" applyBorder="1" applyAlignment="1">
      <alignment horizontal="left" vertical="center"/>
    </xf>
    <xf numFmtId="49" fontId="46" fillId="0" borderId="156" xfId="0" applyNumberFormat="1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49" fontId="17" fillId="0" borderId="4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3" fontId="18" fillId="0" borderId="72" xfId="0" applyNumberFormat="1" applyFont="1" applyBorder="1" applyAlignment="1">
      <alignment vertical="center"/>
    </xf>
    <xf numFmtId="0" fontId="18" fillId="0" borderId="73" xfId="0" applyFont="1" applyBorder="1" applyAlignment="1">
      <alignment vertical="center" wrapText="1"/>
    </xf>
    <xf numFmtId="49" fontId="17" fillId="0" borderId="43" xfId="0" applyNumberFormat="1" applyFont="1" applyBorder="1" applyAlignment="1">
      <alignment horizontal="center" vertical="center"/>
    </xf>
    <xf numFmtId="3" fontId="17" fillId="0" borderId="142" xfId="0" applyNumberFormat="1" applyFont="1" applyBorder="1" applyAlignment="1">
      <alignment vertical="center"/>
    </xf>
    <xf numFmtId="3" fontId="18" fillId="0" borderId="74" xfId="0" applyNumberFormat="1" applyFont="1" applyBorder="1" applyAlignment="1">
      <alignment vertical="center"/>
    </xf>
    <xf numFmtId="49" fontId="18" fillId="0" borderId="39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3" fontId="18" fillId="0" borderId="141" xfId="0" applyNumberFormat="1" applyFont="1" applyBorder="1" applyAlignment="1">
      <alignment vertical="center"/>
    </xf>
    <xf numFmtId="3" fontId="18" fillId="0" borderId="38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49" fontId="46" fillId="0" borderId="32" xfId="0" applyNumberFormat="1" applyFont="1" applyBorder="1" applyAlignment="1">
      <alignment horizontal="left" vertical="center"/>
    </xf>
    <xf numFmtId="49" fontId="46" fillId="0" borderId="12" xfId="0" applyNumberFormat="1" applyFont="1" applyBorder="1" applyAlignment="1">
      <alignment horizontal="left" vertical="center"/>
    </xf>
    <xf numFmtId="49" fontId="46" fillId="0" borderId="154" xfId="0" applyNumberFormat="1" applyFont="1" applyBorder="1" applyAlignment="1">
      <alignment horizontal="left" vertical="center"/>
    </xf>
    <xf numFmtId="3" fontId="17" fillId="0" borderId="13" xfId="0" applyNumberFormat="1" applyFont="1" applyBorder="1" applyAlignment="1">
      <alignment vertical="center"/>
    </xf>
    <xf numFmtId="49" fontId="46" fillId="0" borderId="53" xfId="0" applyNumberFormat="1" applyFont="1" applyBorder="1" applyAlignment="1">
      <alignment horizontal="left" vertical="center"/>
    </xf>
    <xf numFmtId="49" fontId="46" fillId="0" borderId="17" xfId="0" applyNumberFormat="1" applyFont="1" applyBorder="1" applyAlignment="1">
      <alignment horizontal="left" vertical="center"/>
    </xf>
    <xf numFmtId="49" fontId="46" fillId="0" borderId="153" xfId="0" applyNumberFormat="1" applyFont="1" applyBorder="1" applyAlignment="1">
      <alignment horizontal="left" vertical="center"/>
    </xf>
    <xf numFmtId="3" fontId="18" fillId="0" borderId="129" xfId="0" applyNumberFormat="1" applyFont="1" applyBorder="1" applyAlignment="1">
      <alignment vertical="center"/>
    </xf>
    <xf numFmtId="0" fontId="19" fillId="0" borderId="0" xfId="0" applyFont="1" applyAlignment="1">
      <alignment horizontal="right"/>
    </xf>
    <xf numFmtId="0" fontId="118" fillId="0" borderId="0" xfId="0" applyFont="1" applyAlignment="1">
      <alignment horizontal="right"/>
    </xf>
    <xf numFmtId="0" fontId="16" fillId="0" borderId="0" xfId="62" applyFont="1" applyAlignment="1">
      <alignment horizontal="center" vertical="center" wrapText="1"/>
      <protection/>
    </xf>
    <xf numFmtId="49" fontId="21" fillId="0" borderId="62" xfId="62" applyNumberFormat="1" applyFont="1" applyBorder="1" applyAlignment="1">
      <alignment horizontal="center" vertical="center"/>
      <protection/>
    </xf>
    <xf numFmtId="0" fontId="21" fillId="0" borderId="50" xfId="62" applyFont="1" applyBorder="1" applyAlignment="1">
      <alignment horizontal="center" vertical="center"/>
      <protection/>
    </xf>
    <xf numFmtId="0" fontId="16" fillId="0" borderId="124" xfId="62" applyFont="1" applyBorder="1" applyAlignment="1">
      <alignment horizontal="center" vertical="center"/>
      <protection/>
    </xf>
    <xf numFmtId="0" fontId="16" fillId="0" borderId="129" xfId="62" applyFont="1" applyBorder="1" applyAlignment="1">
      <alignment horizontal="center" vertical="center"/>
      <protection/>
    </xf>
    <xf numFmtId="49" fontId="21" fillId="0" borderId="52" xfId="62" applyNumberFormat="1" applyFont="1" applyBorder="1" applyAlignment="1">
      <alignment horizontal="center" vertical="center"/>
      <protection/>
    </xf>
    <xf numFmtId="0" fontId="21" fillId="0" borderId="84" xfId="62" applyFont="1" applyBorder="1" applyAlignment="1">
      <alignment horizontal="center" vertical="center"/>
      <protection/>
    </xf>
    <xf numFmtId="0" fontId="21" fillId="0" borderId="86" xfId="62" applyFont="1" applyBorder="1" applyAlignment="1">
      <alignment horizontal="center" vertical="center" wrapText="1"/>
      <protection/>
    </xf>
    <xf numFmtId="0" fontId="21" fillId="0" borderId="69" xfId="62" applyFont="1" applyBorder="1" applyAlignment="1">
      <alignment horizontal="center" vertical="center" wrapText="1"/>
      <protection/>
    </xf>
    <xf numFmtId="0" fontId="21" fillId="0" borderId="66" xfId="62" applyFont="1" applyBorder="1" applyAlignment="1">
      <alignment horizontal="center" vertical="center" wrapText="1"/>
      <protection/>
    </xf>
    <xf numFmtId="0" fontId="21" fillId="0" borderId="75" xfId="62" applyFont="1" applyBorder="1" applyAlignment="1">
      <alignment horizontal="center" vertical="center" wrapText="1"/>
      <protection/>
    </xf>
    <xf numFmtId="0" fontId="18" fillId="0" borderId="76" xfId="62" applyFont="1" applyBorder="1" applyAlignment="1">
      <alignment horizontal="center" vertical="center" wrapText="1"/>
      <protection/>
    </xf>
    <xf numFmtId="0" fontId="21" fillId="0" borderId="27" xfId="62" applyFont="1" applyBorder="1" applyAlignment="1">
      <alignment horizontal="center" vertical="center" wrapText="1"/>
      <protection/>
    </xf>
    <xf numFmtId="0" fontId="21" fillId="0" borderId="13" xfId="62" applyFont="1" applyBorder="1" applyAlignment="1">
      <alignment horizontal="center" vertical="center" wrapText="1"/>
      <protection/>
    </xf>
    <xf numFmtId="0" fontId="21" fillId="0" borderId="11" xfId="62" applyFont="1" applyBorder="1" applyAlignment="1">
      <alignment horizontal="center" vertical="center" wrapText="1"/>
      <protection/>
    </xf>
    <xf numFmtId="0" fontId="21" fillId="0" borderId="72" xfId="62" applyFont="1" applyBorder="1" applyAlignment="1">
      <alignment horizontal="center" vertical="center" wrapText="1"/>
      <protection/>
    </xf>
    <xf numFmtId="0" fontId="18" fillId="0" borderId="19" xfId="62" applyFont="1" applyBorder="1" applyAlignment="1">
      <alignment horizontal="center" vertical="center" wrapText="1"/>
      <protection/>
    </xf>
    <xf numFmtId="49" fontId="21" fillId="0" borderId="157" xfId="62" applyNumberFormat="1" applyFont="1" applyBorder="1" applyAlignment="1">
      <alignment horizontal="center" vertical="center"/>
      <protection/>
    </xf>
    <xf numFmtId="0" fontId="21" fillId="0" borderId="109" xfId="62" applyFont="1" applyBorder="1" applyAlignment="1">
      <alignment horizontal="center" vertical="center"/>
      <protection/>
    </xf>
    <xf numFmtId="0" fontId="21" fillId="0" borderId="108" xfId="62" applyFont="1" applyBorder="1" applyAlignment="1">
      <alignment horizontal="center" vertical="center" wrapText="1"/>
      <protection/>
    </xf>
    <xf numFmtId="0" fontId="21" fillId="0" borderId="54" xfId="62" applyFont="1" applyBorder="1" applyAlignment="1">
      <alignment horizontal="center" vertical="center" wrapText="1"/>
      <protection/>
    </xf>
    <xf numFmtId="0" fontId="21" fillId="0" borderId="34" xfId="62" applyFont="1" applyBorder="1" applyAlignment="1">
      <alignment horizontal="center" vertical="center" wrapText="1"/>
      <protection/>
    </xf>
    <xf numFmtId="0" fontId="21" fillId="0" borderId="51" xfId="62" applyFont="1" applyBorder="1" applyAlignment="1">
      <alignment horizontal="center" vertical="center" wrapText="1"/>
      <protection/>
    </xf>
    <xf numFmtId="0" fontId="21" fillId="0" borderId="61" xfId="62" applyFont="1" applyBorder="1" applyAlignment="1">
      <alignment horizontal="center" vertical="center" wrapText="1"/>
      <protection/>
    </xf>
    <xf numFmtId="0" fontId="18" fillId="0" borderId="77" xfId="62" applyFont="1" applyBorder="1" applyAlignment="1">
      <alignment horizontal="center" vertical="center" wrapText="1"/>
      <protection/>
    </xf>
    <xf numFmtId="49" fontId="42" fillId="0" borderId="42" xfId="62" applyNumberFormat="1" applyFont="1" applyBorder="1" applyAlignment="1">
      <alignment horizontal="center" vertical="center"/>
      <protection/>
    </xf>
    <xf numFmtId="0" fontId="21" fillId="0" borderId="30" xfId="62" applyFont="1" applyBorder="1" applyAlignment="1">
      <alignment vertical="center" wrapText="1"/>
      <protection/>
    </xf>
    <xf numFmtId="3" fontId="43" fillId="0" borderId="71" xfId="62" applyNumberFormat="1" applyFont="1" applyBorder="1" applyAlignment="1">
      <alignment vertical="center" wrapText="1"/>
      <protection/>
    </xf>
    <xf numFmtId="3" fontId="43" fillId="0" borderId="41" xfId="62" applyNumberFormat="1" applyFont="1" applyBorder="1" applyAlignment="1">
      <alignment vertical="center" wrapText="1"/>
      <protection/>
    </xf>
    <xf numFmtId="3" fontId="121" fillId="0" borderId="66" xfId="62" applyNumberFormat="1" applyFont="1" applyBorder="1" applyAlignment="1">
      <alignment vertical="center" wrapText="1"/>
      <protection/>
    </xf>
    <xf numFmtId="3" fontId="43" fillId="0" borderId="72" xfId="62" applyNumberFormat="1" applyFont="1" applyBorder="1" applyAlignment="1">
      <alignment vertical="center" wrapText="1"/>
      <protection/>
    </xf>
    <xf numFmtId="3" fontId="121" fillId="0" borderId="69" xfId="62" applyNumberFormat="1" applyFont="1" applyBorder="1" applyAlignment="1">
      <alignment vertical="center" wrapText="1"/>
      <protection/>
    </xf>
    <xf numFmtId="3" fontId="42" fillId="0" borderId="69" xfId="62" applyNumberFormat="1" applyFont="1" applyBorder="1" applyAlignment="1">
      <alignment vertical="center"/>
      <protection/>
    </xf>
    <xf numFmtId="3" fontId="42" fillId="0" borderId="66" xfId="62" applyNumberFormat="1" applyFont="1" applyBorder="1" applyAlignment="1">
      <alignment vertical="center"/>
      <protection/>
    </xf>
    <xf numFmtId="3" fontId="21" fillId="0" borderId="28" xfId="62" applyNumberFormat="1" applyFont="1" applyBorder="1" applyAlignment="1">
      <alignment vertical="center"/>
      <protection/>
    </xf>
    <xf numFmtId="49" fontId="42" fillId="0" borderId="41" xfId="62" applyNumberFormat="1" applyFont="1" applyBorder="1" applyAlignment="1">
      <alignment horizontal="center" vertical="center"/>
      <protection/>
    </xf>
    <xf numFmtId="0" fontId="21" fillId="0" borderId="10" xfId="62" applyFont="1" applyBorder="1" applyAlignment="1">
      <alignment vertical="center" wrapText="1"/>
      <protection/>
    </xf>
    <xf numFmtId="3" fontId="43" fillId="0" borderId="75" xfId="62" applyNumberFormat="1" applyFont="1" applyBorder="1" applyAlignment="1">
      <alignment vertical="center" wrapText="1"/>
      <protection/>
    </xf>
    <xf numFmtId="3" fontId="43" fillId="0" borderId="66" xfId="62" applyNumberFormat="1" applyFont="1" applyBorder="1" applyAlignment="1">
      <alignment vertical="center" wrapText="1"/>
      <protection/>
    </xf>
    <xf numFmtId="3" fontId="43" fillId="0" borderId="69" xfId="62" applyNumberFormat="1" applyFont="1" applyBorder="1" applyAlignment="1">
      <alignment vertical="center" wrapText="1"/>
      <protection/>
    </xf>
    <xf numFmtId="0" fontId="21" fillId="0" borderId="10" xfId="62" applyFont="1" applyBorder="1" applyAlignment="1">
      <alignment horizontal="left" vertical="center" wrapText="1"/>
      <protection/>
    </xf>
    <xf numFmtId="3" fontId="43" fillId="0" borderId="44" xfId="62" applyNumberFormat="1" applyFont="1" applyBorder="1" applyAlignment="1">
      <alignment vertical="center" wrapText="1"/>
      <protection/>
    </xf>
    <xf numFmtId="3" fontId="121" fillId="0" borderId="11" xfId="62" applyNumberFormat="1" applyFont="1" applyBorder="1" applyAlignment="1">
      <alignment vertical="center" wrapText="1"/>
      <protection/>
    </xf>
    <xf numFmtId="3" fontId="121" fillId="0" borderId="13" xfId="62" applyNumberFormat="1" applyFont="1" applyBorder="1" applyAlignment="1">
      <alignment vertical="center" wrapText="1"/>
      <protection/>
    </xf>
    <xf numFmtId="3" fontId="42" fillId="0" borderId="13" xfId="62" applyNumberFormat="1" applyFont="1" applyBorder="1" applyAlignment="1">
      <alignment vertical="center"/>
      <protection/>
    </xf>
    <xf numFmtId="3" fontId="42" fillId="0" borderId="11" xfId="62" applyNumberFormat="1" applyFont="1" applyBorder="1" applyAlignment="1">
      <alignment vertical="center"/>
      <protection/>
    </xf>
    <xf numFmtId="3" fontId="121" fillId="0" borderId="41" xfId="62" applyNumberFormat="1" applyFont="1" applyBorder="1" applyAlignment="1">
      <alignment vertical="center" wrapText="1"/>
      <protection/>
    </xf>
    <xf numFmtId="3" fontId="121" fillId="0" borderId="44" xfId="62" applyNumberFormat="1" applyFont="1" applyBorder="1" applyAlignment="1">
      <alignment vertical="center" wrapText="1"/>
      <protection/>
    </xf>
    <xf numFmtId="3" fontId="43" fillId="0" borderId="11" xfId="62" applyNumberFormat="1" applyFont="1" applyBorder="1" applyAlignment="1">
      <alignment vertical="center" wrapText="1"/>
      <protection/>
    </xf>
    <xf numFmtId="49" fontId="42" fillId="0" borderId="44" xfId="62" applyNumberFormat="1" applyFont="1" applyBorder="1" applyAlignment="1">
      <alignment horizontal="center" vertical="center"/>
      <protection/>
    </xf>
    <xf numFmtId="3" fontId="43" fillId="0" borderId="13" xfId="62" applyNumberFormat="1" applyFont="1" applyBorder="1" applyAlignment="1">
      <alignment vertical="center" wrapText="1"/>
      <protection/>
    </xf>
    <xf numFmtId="3" fontId="43" fillId="0" borderId="72" xfId="62" applyNumberFormat="1" applyFont="1" applyBorder="1" applyAlignment="1">
      <alignment horizontal="left" vertical="center" wrapText="1"/>
      <protection/>
    </xf>
    <xf numFmtId="3" fontId="53" fillId="0" borderId="72" xfId="62" applyNumberFormat="1" applyFont="1" applyBorder="1" applyAlignment="1">
      <alignment horizontal="left" vertical="center" wrapText="1"/>
      <protection/>
    </xf>
    <xf numFmtId="0" fontId="21" fillId="0" borderId="155" xfId="62" applyFont="1" applyBorder="1" applyAlignment="1">
      <alignment vertical="center" wrapText="1"/>
      <protection/>
    </xf>
    <xf numFmtId="0" fontId="21" fillId="0" borderId="11" xfId="62" applyFont="1" applyBorder="1" applyAlignment="1">
      <alignment vertical="center" wrapText="1"/>
      <protection/>
    </xf>
    <xf numFmtId="3" fontId="43" fillId="0" borderId="13" xfId="62" applyNumberFormat="1" applyFont="1" applyBorder="1" applyAlignment="1">
      <alignment horizontal="right" vertical="center" wrapText="1"/>
      <protection/>
    </xf>
    <xf numFmtId="3" fontId="121" fillId="0" borderId="44" xfId="62" applyNumberFormat="1" applyFont="1" applyBorder="1" applyAlignment="1">
      <alignment vertical="center"/>
      <protection/>
    </xf>
    <xf numFmtId="3" fontId="121" fillId="0" borderId="11" xfId="62" applyNumberFormat="1" applyFont="1" applyBorder="1" applyAlignment="1">
      <alignment vertical="center"/>
      <protection/>
    </xf>
    <xf numFmtId="3" fontId="43" fillId="0" borderId="13" xfId="62" applyNumberFormat="1" applyFont="1" applyBorder="1" applyAlignment="1">
      <alignment vertical="center"/>
      <protection/>
    </xf>
    <xf numFmtId="3" fontId="43" fillId="0" borderId="11" xfId="62" applyNumberFormat="1" applyFont="1" applyBorder="1" applyAlignment="1">
      <alignment vertical="center"/>
      <protection/>
    </xf>
    <xf numFmtId="3" fontId="43" fillId="0" borderId="72" xfId="62" applyNumberFormat="1" applyFont="1" applyBorder="1" applyAlignment="1">
      <alignment vertical="center"/>
      <protection/>
    </xf>
    <xf numFmtId="3" fontId="43" fillId="0" borderId="44" xfId="62" applyNumberFormat="1" applyFont="1" applyBorder="1" applyAlignment="1">
      <alignment vertical="center"/>
      <protection/>
    </xf>
    <xf numFmtId="3" fontId="121" fillId="0" borderId="13" xfId="62" applyNumberFormat="1" applyFont="1" applyBorder="1" applyAlignment="1">
      <alignment vertical="center"/>
      <protection/>
    </xf>
    <xf numFmtId="3" fontId="57" fillId="0" borderId="13" xfId="62" applyNumberFormat="1" applyFont="1" applyBorder="1" applyAlignment="1">
      <alignment vertical="center"/>
      <protection/>
    </xf>
    <xf numFmtId="3" fontId="53" fillId="0" borderId="51" xfId="62" applyNumberFormat="1" applyFont="1" applyBorder="1" applyAlignment="1">
      <alignment vertical="center"/>
      <protection/>
    </xf>
    <xf numFmtId="3" fontId="121" fillId="0" borderId="43" xfId="62" applyNumberFormat="1" applyFont="1" applyBorder="1" applyAlignment="1">
      <alignment vertical="center"/>
      <protection/>
    </xf>
    <xf numFmtId="3" fontId="121" fillId="0" borderId="73" xfId="62" applyNumberFormat="1" applyFont="1" applyBorder="1" applyAlignment="1">
      <alignment vertical="center"/>
      <protection/>
    </xf>
    <xf numFmtId="3" fontId="43" fillId="0" borderId="142" xfId="62" applyNumberFormat="1" applyFont="1" applyBorder="1" applyAlignment="1">
      <alignment vertical="center"/>
      <protection/>
    </xf>
    <xf numFmtId="3" fontId="42" fillId="0" borderId="142" xfId="62" applyNumberFormat="1" applyFont="1" applyBorder="1" applyAlignment="1">
      <alignment vertical="center"/>
      <protection/>
    </xf>
    <xf numFmtId="3" fontId="21" fillId="0" borderId="40" xfId="62" applyNumberFormat="1" applyFont="1" applyBorder="1" applyAlignment="1">
      <alignment vertical="center"/>
      <protection/>
    </xf>
    <xf numFmtId="0" fontId="124" fillId="0" borderId="36" xfId="62" applyFont="1" applyBorder="1" applyAlignment="1">
      <alignment horizontal="left" vertical="center"/>
      <protection/>
    </xf>
    <xf numFmtId="0" fontId="124" fillId="0" borderId="124" xfId="62" applyFont="1" applyBorder="1" applyAlignment="1">
      <alignment horizontal="left" vertical="center"/>
      <protection/>
    </xf>
    <xf numFmtId="0" fontId="124" fillId="0" borderId="129" xfId="62" applyFont="1" applyBorder="1" applyAlignment="1">
      <alignment horizontal="left" vertical="center"/>
      <protection/>
    </xf>
    <xf numFmtId="3" fontId="124" fillId="0" borderId="39" xfId="62" applyNumberFormat="1" applyFont="1" applyBorder="1" applyAlignment="1">
      <alignment vertical="center"/>
      <protection/>
    </xf>
    <xf numFmtId="3" fontId="124" fillId="0" borderId="141" xfId="62" applyNumberFormat="1" applyFont="1" applyBorder="1" applyAlignment="1">
      <alignment vertical="center"/>
      <protection/>
    </xf>
    <xf numFmtId="3" fontId="124" fillId="0" borderId="38" xfId="62" applyNumberFormat="1" applyFont="1" applyBorder="1" applyAlignment="1">
      <alignment vertical="center"/>
      <protection/>
    </xf>
    <xf numFmtId="3" fontId="43" fillId="0" borderId="42" xfId="62" applyNumberFormat="1" applyFont="1" applyBorder="1" applyAlignment="1">
      <alignment vertical="center" wrapText="1"/>
      <protection/>
    </xf>
    <xf numFmtId="3" fontId="43" fillId="0" borderId="30" xfId="62" applyNumberFormat="1" applyFont="1" applyBorder="1" applyAlignment="1">
      <alignment vertical="center" wrapText="1"/>
      <protection/>
    </xf>
    <xf numFmtId="0" fontId="21" fillId="0" borderId="34" xfId="62" applyFont="1" applyBorder="1" applyAlignment="1">
      <alignment vertical="center" wrapText="1"/>
      <protection/>
    </xf>
    <xf numFmtId="3" fontId="43" fillId="0" borderId="154" xfId="62" applyNumberFormat="1" applyFont="1" applyBorder="1" applyAlignment="1">
      <alignment vertical="center" wrapText="1"/>
      <protection/>
    </xf>
    <xf numFmtId="0" fontId="21" fillId="0" borderId="73" xfId="62" applyFont="1" applyBorder="1" applyAlignment="1">
      <alignment vertical="center" wrapText="1"/>
      <protection/>
    </xf>
    <xf numFmtId="3" fontId="43" fillId="0" borderId="43" xfId="62" applyNumberFormat="1" applyFont="1" applyBorder="1" applyAlignment="1">
      <alignment vertical="center" wrapText="1"/>
      <protection/>
    </xf>
    <xf numFmtId="3" fontId="43" fillId="0" borderId="73" xfId="62" applyNumberFormat="1" applyFont="1" applyBorder="1" applyAlignment="1">
      <alignment vertical="center" wrapText="1"/>
      <protection/>
    </xf>
    <xf numFmtId="3" fontId="43" fillId="0" borderId="74" xfId="62" applyNumberFormat="1" applyFont="1" applyBorder="1" applyAlignment="1">
      <alignment vertical="center" wrapText="1"/>
      <protection/>
    </xf>
    <xf numFmtId="3" fontId="43" fillId="0" borderId="74" xfId="62" applyNumberFormat="1" applyFont="1" applyBorder="1" applyAlignment="1">
      <alignment horizontal="center" vertical="center"/>
      <protection/>
    </xf>
    <xf numFmtId="3" fontId="59" fillId="0" borderId="13" xfId="62" applyNumberFormat="1" applyFont="1" applyBorder="1" applyAlignment="1">
      <alignment vertical="center"/>
      <protection/>
    </xf>
    <xf numFmtId="3" fontId="59" fillId="0" borderId="11" xfId="62" applyNumberFormat="1" applyFont="1" applyBorder="1" applyAlignment="1">
      <alignment vertical="center"/>
      <protection/>
    </xf>
    <xf numFmtId="3" fontId="43" fillId="0" borderId="75" xfId="62" applyNumberFormat="1" applyFont="1" applyBorder="1" applyAlignment="1">
      <alignment horizontal="center" vertical="center"/>
      <protection/>
    </xf>
    <xf numFmtId="3" fontId="43" fillId="0" borderId="74" xfId="62" applyNumberFormat="1" applyFont="1" applyBorder="1" applyAlignment="1">
      <alignment vertical="center"/>
      <protection/>
    </xf>
    <xf numFmtId="3" fontId="43" fillId="0" borderId="43" xfId="62" applyNumberFormat="1" applyFont="1" applyBorder="1" applyAlignment="1">
      <alignment vertical="center"/>
      <protection/>
    </xf>
    <xf numFmtId="3" fontId="43" fillId="0" borderId="73" xfId="62" applyNumberFormat="1" applyFont="1" applyBorder="1" applyAlignment="1">
      <alignment vertical="center"/>
      <protection/>
    </xf>
    <xf numFmtId="49" fontId="42" fillId="0" borderId="54" xfId="62" applyNumberFormat="1" applyFont="1" applyBorder="1" applyAlignment="1">
      <alignment horizontal="center" vertical="center"/>
      <protection/>
    </xf>
    <xf numFmtId="0" fontId="124" fillId="0" borderId="36" xfId="62" applyFont="1" applyBorder="1" applyAlignment="1">
      <alignment horizontal="left" vertical="center" wrapText="1"/>
      <protection/>
    </xf>
    <xf numFmtId="0" fontId="124" fillId="0" borderId="124" xfId="62" applyFont="1" applyBorder="1" applyAlignment="1">
      <alignment horizontal="left" vertical="center" wrapText="1"/>
      <protection/>
    </xf>
    <xf numFmtId="0" fontId="124" fillId="0" borderId="129" xfId="62" applyFont="1" applyBorder="1" applyAlignment="1">
      <alignment horizontal="left" vertical="center" wrapText="1"/>
      <protection/>
    </xf>
    <xf numFmtId="3" fontId="124" fillId="0" borderId="36" xfId="62" applyNumberFormat="1" applyFont="1" applyBorder="1" applyAlignment="1">
      <alignment horizontal="right" vertical="center"/>
      <protection/>
    </xf>
    <xf numFmtId="3" fontId="124" fillId="0" borderId="37" xfId="62" applyNumberFormat="1" applyFont="1" applyBorder="1" applyAlignment="1">
      <alignment horizontal="right" vertical="center"/>
      <protection/>
    </xf>
    <xf numFmtId="3" fontId="124" fillId="0" borderId="124" xfId="62" applyNumberFormat="1" applyFont="1" applyBorder="1" applyAlignment="1">
      <alignment horizontal="right" vertical="center"/>
      <protection/>
    </xf>
    <xf numFmtId="3" fontId="124" fillId="0" borderId="35" xfId="62" applyNumberFormat="1" applyFont="1" applyBorder="1" applyAlignment="1">
      <alignment vertical="center"/>
      <protection/>
    </xf>
    <xf numFmtId="0" fontId="60" fillId="0" borderId="33" xfId="62" applyFont="1" applyBorder="1" applyAlignment="1">
      <alignment horizontal="left" vertical="center"/>
      <protection/>
    </xf>
    <xf numFmtId="0" fontId="60" fillId="0" borderId="158" xfId="62" applyFont="1" applyBorder="1" applyAlignment="1">
      <alignment horizontal="left" vertical="center"/>
      <protection/>
    </xf>
    <xf numFmtId="0" fontId="60" fillId="0" borderId="159" xfId="62" applyFont="1" applyBorder="1" applyAlignment="1">
      <alignment horizontal="left" vertical="center"/>
      <protection/>
    </xf>
    <xf numFmtId="3" fontId="60" fillId="0" borderId="139" xfId="62" applyNumberFormat="1" applyFont="1" applyBorder="1" applyAlignment="1">
      <alignment vertical="center"/>
      <protection/>
    </xf>
    <xf numFmtId="3" fontId="60" fillId="0" borderId="38" xfId="62" applyNumberFormat="1" applyFont="1" applyBorder="1" applyAlignment="1">
      <alignment vertical="center"/>
      <protection/>
    </xf>
    <xf numFmtId="3" fontId="60" fillId="0" borderId="14" xfId="62" applyNumberFormat="1" applyFont="1" applyBorder="1" applyAlignment="1">
      <alignment vertical="center"/>
      <protection/>
    </xf>
    <xf numFmtId="3" fontId="60" fillId="0" borderId="39" xfId="62" applyNumberFormat="1" applyFont="1" applyBorder="1" applyAlignment="1">
      <alignment vertical="center"/>
      <protection/>
    </xf>
    <xf numFmtId="3" fontId="60" fillId="0" borderId="141" xfId="62" applyNumberFormat="1" applyFont="1" applyBorder="1" applyAlignment="1">
      <alignment vertical="center"/>
      <protection/>
    </xf>
    <xf numFmtId="3" fontId="60" fillId="0" borderId="129" xfId="62" applyNumberFormat="1" applyFont="1" applyBorder="1" applyAlignment="1">
      <alignment vertical="center"/>
      <protection/>
    </xf>
    <xf numFmtId="3" fontId="60" fillId="0" borderId="35" xfId="62" applyNumberFormat="1" applyFont="1" applyBorder="1" applyAlignment="1">
      <alignment vertical="center"/>
      <protection/>
    </xf>
    <xf numFmtId="0" fontId="60" fillId="0" borderId="0" xfId="62" applyFont="1" applyBorder="1" applyAlignment="1">
      <alignment horizontal="left" vertical="center"/>
      <protection/>
    </xf>
    <xf numFmtId="3" fontId="60" fillId="0" borderId="0" xfId="62" applyNumberFormat="1" applyFont="1" applyBorder="1" applyAlignment="1">
      <alignment vertical="center"/>
      <protection/>
    </xf>
    <xf numFmtId="0" fontId="45" fillId="0" borderId="0" xfId="62" applyFont="1" applyAlignment="1">
      <alignment horizontal="center" vertical="center" wrapText="1"/>
      <protection/>
    </xf>
    <xf numFmtId="0" fontId="45" fillId="0" borderId="0" xfId="62" applyFont="1" applyAlignment="1">
      <alignment vertical="center" wrapText="1"/>
      <protection/>
    </xf>
    <xf numFmtId="0" fontId="45" fillId="0" borderId="64" xfId="62" applyFont="1" applyBorder="1" applyAlignment="1">
      <alignment vertical="center" wrapText="1"/>
      <protection/>
    </xf>
    <xf numFmtId="0" fontId="16" fillId="0" borderId="95" xfId="62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/>
    </xf>
    <xf numFmtId="0" fontId="19" fillId="0" borderId="92" xfId="0" applyFont="1" applyBorder="1" applyAlignment="1">
      <alignment/>
    </xf>
    <xf numFmtId="0" fontId="60" fillId="0" borderId="89" xfId="62" applyFont="1" applyBorder="1" applyAlignment="1">
      <alignment horizontal="center" vertical="center" wrapText="1"/>
      <protection/>
    </xf>
    <xf numFmtId="0" fontId="60" fillId="0" borderId="15" xfId="62" applyFont="1" applyBorder="1" applyAlignment="1">
      <alignment horizontal="center" vertical="center" wrapText="1"/>
      <protection/>
    </xf>
    <xf numFmtId="0" fontId="60" fillId="0" borderId="57" xfId="62" applyFont="1" applyBorder="1" applyAlignment="1">
      <alignment horizontal="center" vertical="center" wrapText="1"/>
      <protection/>
    </xf>
    <xf numFmtId="0" fontId="16" fillId="0" borderId="90" xfId="62" applyFont="1" applyBorder="1" applyAlignment="1">
      <alignment horizontal="center" vertical="center" wrapText="1"/>
      <protection/>
    </xf>
    <xf numFmtId="0" fontId="16" fillId="0" borderId="160" xfId="62" applyFont="1" applyBorder="1" applyAlignment="1">
      <alignment horizontal="center" vertical="center" wrapText="1"/>
      <protection/>
    </xf>
    <xf numFmtId="0" fontId="20" fillId="0" borderId="131" xfId="62" applyFont="1" applyBorder="1" applyAlignment="1">
      <alignment horizontal="center" vertical="center" wrapText="1"/>
      <protection/>
    </xf>
    <xf numFmtId="0" fontId="60" fillId="0" borderId="133" xfId="62" applyFont="1" applyBorder="1" applyAlignment="1">
      <alignment horizontal="center" vertical="center" wrapText="1"/>
      <protection/>
    </xf>
    <xf numFmtId="0" fontId="60" fillId="0" borderId="14" xfId="62" applyFont="1" applyBorder="1" applyAlignment="1">
      <alignment horizontal="center" vertical="center" wrapText="1"/>
      <protection/>
    </xf>
    <xf numFmtId="0" fontId="60" fillId="0" borderId="108" xfId="62" applyFont="1" applyBorder="1" applyAlignment="1">
      <alignment horizontal="center" vertical="center" wrapText="1"/>
      <protection/>
    </xf>
    <xf numFmtId="0" fontId="20" fillId="0" borderId="161" xfId="62" applyFont="1" applyBorder="1" applyAlignment="1">
      <alignment horizontal="center" vertical="center" wrapText="1"/>
      <protection/>
    </xf>
    <xf numFmtId="0" fontId="23" fillId="0" borderId="0" xfId="60" applyFont="1">
      <alignment/>
      <protection/>
    </xf>
    <xf numFmtId="3" fontId="23" fillId="0" borderId="0" xfId="60" applyNumberFormat="1" applyFont="1" applyAlignment="1">
      <alignment vertical="center"/>
      <protection/>
    </xf>
    <xf numFmtId="0" fontId="23" fillId="0" borderId="0" xfId="60" applyFont="1" applyAlignment="1">
      <alignment horizontal="left" vertical="center"/>
      <protection/>
    </xf>
    <xf numFmtId="3" fontId="16" fillId="0" borderId="0" xfId="60" applyNumberFormat="1" applyFont="1" applyAlignment="1">
      <alignment horizontal="right" vertical="center"/>
      <protection/>
    </xf>
    <xf numFmtId="0" fontId="16" fillId="0" borderId="83" xfId="62" applyFont="1" applyBorder="1" applyAlignment="1">
      <alignment horizontal="center" vertical="center" wrapText="1"/>
      <protection/>
    </xf>
    <xf numFmtId="0" fontId="16" fillId="0" borderId="84" xfId="62" applyFont="1" applyBorder="1" applyAlignment="1">
      <alignment horizontal="center" vertical="center" wrapText="1"/>
      <protection/>
    </xf>
    <xf numFmtId="0" fontId="16" fillId="0" borderId="104" xfId="62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wrapText="1"/>
      <protection/>
    </xf>
    <xf numFmtId="0" fontId="23" fillId="0" borderId="0" xfId="60" applyFont="1" applyAlignment="1">
      <alignment horizontal="left" vertical="center" wrapText="1"/>
      <protection/>
    </xf>
    <xf numFmtId="0" fontId="24" fillId="0" borderId="0" xfId="60" applyFont="1" applyAlignment="1">
      <alignment horizontal="right"/>
      <protection/>
    </xf>
    <xf numFmtId="3" fontId="23" fillId="35" borderId="0" xfId="60" applyNumberFormat="1" applyFont="1" applyFill="1" applyAlignment="1">
      <alignment vertical="center"/>
      <protection/>
    </xf>
    <xf numFmtId="0" fontId="23" fillId="0" borderId="0" xfId="60" applyFont="1" applyAlignment="1">
      <alignment horizontal="left" vertical="center" wrapText="1"/>
      <protection/>
    </xf>
    <xf numFmtId="0" fontId="23" fillId="0" borderId="0" xfId="60" applyFont="1" applyAlignment="1">
      <alignment horizontal="right"/>
      <protection/>
    </xf>
    <xf numFmtId="0" fontId="23" fillId="0" borderId="0" xfId="60" applyFont="1" applyAlignment="1">
      <alignment horizontal="left"/>
      <protection/>
    </xf>
    <xf numFmtId="0" fontId="23" fillId="0" borderId="0" xfId="60" applyFont="1" applyAlignment="1">
      <alignment horizontal="left" vertical="center"/>
      <protection/>
    </xf>
    <xf numFmtId="3" fontId="23" fillId="0" borderId="0" xfId="60" applyNumberFormat="1" applyFont="1">
      <alignment/>
      <protection/>
    </xf>
    <xf numFmtId="0" fontId="23" fillId="0" borderId="0" xfId="60" applyFont="1" applyAlignment="1">
      <alignment horizontal="left"/>
      <protection/>
    </xf>
    <xf numFmtId="0" fontId="61" fillId="0" borderId="0" xfId="60" applyFont="1" applyAlignment="1">
      <alignment horizontal="left"/>
      <protection/>
    </xf>
    <xf numFmtId="0" fontId="61" fillId="0" borderId="0" xfId="60" applyFont="1">
      <alignment/>
      <protection/>
    </xf>
    <xf numFmtId="3" fontId="61" fillId="0" borderId="15" xfId="60" applyNumberFormat="1" applyFont="1" applyBorder="1">
      <alignment/>
      <protection/>
    </xf>
    <xf numFmtId="3" fontId="24" fillId="0" borderId="64" xfId="60" applyNumberFormat="1" applyFont="1" applyBorder="1" applyAlignment="1">
      <alignment vertical="center"/>
      <protection/>
    </xf>
    <xf numFmtId="3" fontId="61" fillId="0" borderId="27" xfId="60" applyNumberFormat="1" applyFont="1" applyBorder="1">
      <alignment/>
      <protection/>
    </xf>
    <xf numFmtId="0" fontId="24" fillId="0" borderId="0" xfId="60" applyFont="1" applyAlignment="1">
      <alignment horizontal="right"/>
      <protection/>
    </xf>
    <xf numFmtId="0" fontId="23" fillId="0" borderId="0" xfId="60" applyFont="1" applyAlignment="1">
      <alignment horizontal="left" wrapText="1"/>
      <protection/>
    </xf>
    <xf numFmtId="0" fontId="19" fillId="0" borderId="57" xfId="0" applyFont="1" applyBorder="1" applyAlignment="1">
      <alignment/>
    </xf>
    <xf numFmtId="0" fontId="16" fillId="0" borderId="89" xfId="62" applyFont="1" applyBorder="1" applyAlignment="1">
      <alignment horizontal="center" vertical="center" wrapText="1"/>
      <protection/>
    </xf>
    <xf numFmtId="0" fontId="19" fillId="0" borderId="107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0" fontId="19" fillId="0" borderId="108" xfId="0" applyFont="1" applyBorder="1" applyAlignment="1">
      <alignment/>
    </xf>
    <xf numFmtId="0" fontId="19" fillId="0" borderId="133" xfId="0" applyFont="1" applyBorder="1" applyAlignment="1">
      <alignment/>
    </xf>
    <xf numFmtId="0" fontId="19" fillId="0" borderId="97" xfId="0" applyFont="1" applyBorder="1" applyAlignment="1">
      <alignment/>
    </xf>
    <xf numFmtId="0" fontId="16" fillId="0" borderId="0" xfId="60" applyFont="1" applyAlignment="1">
      <alignment horizontal="right" vertical="center"/>
      <protection/>
    </xf>
    <xf numFmtId="0" fontId="23" fillId="0" borderId="0" xfId="60" applyFont="1" applyAlignment="1">
      <alignment horizontal="center" vertical="center"/>
      <protection/>
    </xf>
    <xf numFmtId="3" fontId="60" fillId="0" borderId="0" xfId="60" applyNumberFormat="1" applyFont="1" applyAlignment="1">
      <alignment horizontal="right" vertical="center"/>
      <protection/>
    </xf>
    <xf numFmtId="0" fontId="23" fillId="0" borderId="0" xfId="60" applyFont="1" applyAlignment="1">
      <alignment horizontal="center" vertical="center"/>
      <protection/>
    </xf>
    <xf numFmtId="3" fontId="23" fillId="0" borderId="0" xfId="60" applyNumberFormat="1" applyFont="1" applyAlignment="1">
      <alignment horizontal="right" vertical="center"/>
      <protection/>
    </xf>
    <xf numFmtId="0" fontId="23" fillId="0" borderId="124" xfId="0" applyFont="1" applyBorder="1" applyAlignment="1">
      <alignment/>
    </xf>
    <xf numFmtId="3" fontId="61" fillId="0" borderId="0" xfId="60" applyNumberFormat="1" applyFont="1">
      <alignment/>
      <protection/>
    </xf>
    <xf numFmtId="0" fontId="60" fillId="0" borderId="92" xfId="62" applyFont="1" applyBorder="1" applyAlignment="1">
      <alignment horizontal="center" vertical="center" wrapText="1"/>
      <protection/>
    </xf>
    <xf numFmtId="0" fontId="60" fillId="0" borderId="97" xfId="62" applyFont="1" applyBorder="1" applyAlignment="1">
      <alignment horizontal="center" vertical="center" wrapText="1"/>
      <protection/>
    </xf>
    <xf numFmtId="0" fontId="61" fillId="0" borderId="0" xfId="60" applyFont="1" applyAlignment="1">
      <alignment horizontal="left" wrapText="1"/>
      <protection/>
    </xf>
    <xf numFmtId="3" fontId="23" fillId="35" borderId="27" xfId="60" applyNumberFormat="1" applyFont="1" applyFill="1" applyBorder="1">
      <alignment/>
      <protection/>
    </xf>
    <xf numFmtId="0" fontId="61" fillId="0" borderId="0" xfId="60" applyFont="1" applyAlignment="1">
      <alignment horizontal="left" wrapText="1"/>
      <protection/>
    </xf>
    <xf numFmtId="0" fontId="19" fillId="0" borderId="0" xfId="0" applyFont="1" applyAlignment="1">
      <alignment horizontal="right"/>
    </xf>
    <xf numFmtId="3" fontId="60" fillId="0" borderId="0" xfId="60" applyNumberFormat="1" applyFont="1">
      <alignment/>
      <protection/>
    </xf>
    <xf numFmtId="3" fontId="23" fillId="35" borderId="86" xfId="60" applyNumberFormat="1" applyFont="1" applyFill="1" applyBorder="1">
      <alignment/>
      <protection/>
    </xf>
    <xf numFmtId="0" fontId="24" fillId="0" borderId="0" xfId="60" applyFont="1" applyAlignment="1">
      <alignment horizontal="right" vertical="center"/>
      <protection/>
    </xf>
    <xf numFmtId="0" fontId="16" fillId="0" borderId="64" xfId="60" applyFont="1" applyBorder="1">
      <alignment/>
      <protection/>
    </xf>
    <xf numFmtId="0" fontId="16" fillId="0" borderId="64" xfId="0" applyFont="1" applyBorder="1" applyAlignment="1">
      <alignment/>
    </xf>
    <xf numFmtId="0" fontId="16" fillId="0" borderId="65" xfId="0" applyFont="1" applyBorder="1" applyAlignment="1">
      <alignment/>
    </xf>
    <xf numFmtId="0" fontId="60" fillId="0" borderId="64" xfId="60" applyFont="1" applyBorder="1">
      <alignment/>
      <protection/>
    </xf>
    <xf numFmtId="0" fontId="60" fillId="0" borderId="65" xfId="60" applyFont="1" applyBorder="1">
      <alignment/>
      <protection/>
    </xf>
    <xf numFmtId="0" fontId="22" fillId="0" borderId="44" xfId="0" applyFont="1" applyBorder="1" applyAlignment="1">
      <alignment/>
    </xf>
    <xf numFmtId="0" fontId="22" fillId="0" borderId="11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4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6" fontId="7" fillId="0" borderId="72" xfId="0" applyNumberFormat="1" applyFont="1" applyBorder="1" applyAlignment="1">
      <alignment vertical="center"/>
    </xf>
    <xf numFmtId="0" fontId="8" fillId="0" borderId="142" xfId="0" applyFont="1" applyBorder="1" applyAlignment="1">
      <alignment vertical="center"/>
    </xf>
    <xf numFmtId="0" fontId="8" fillId="0" borderId="155" xfId="0" applyFont="1" applyBorder="1" applyAlignment="1">
      <alignment vertical="center"/>
    </xf>
    <xf numFmtId="166" fontId="8" fillId="0" borderId="7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66" fontId="6" fillId="0" borderId="75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/>
    </xf>
    <xf numFmtId="166" fontId="8" fillId="0" borderId="72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54" xfId="0" applyFont="1" applyBorder="1" applyAlignment="1">
      <alignment horizontal="left" vertical="center"/>
    </xf>
    <xf numFmtId="0" fontId="12" fillId="0" borderId="54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166" fontId="7" fillId="0" borderId="162" xfId="0" applyNumberFormat="1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5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3" fontId="8" fillId="0" borderId="154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66" fontId="8" fillId="0" borderId="75" xfId="0" applyNumberFormat="1" applyFont="1" applyBorder="1" applyAlignment="1">
      <alignment horizontal="right" vertical="center"/>
    </xf>
    <xf numFmtId="0" fontId="7" fillId="0" borderId="139" xfId="0" applyFont="1" applyBorder="1" applyAlignment="1">
      <alignment vertical="center"/>
    </xf>
    <xf numFmtId="166" fontId="7" fillId="0" borderId="108" xfId="0" applyNumberFormat="1" applyFont="1" applyBorder="1" applyAlignment="1">
      <alignment vertical="center"/>
    </xf>
    <xf numFmtId="0" fontId="8" fillId="0" borderId="163" xfId="0" applyFont="1" applyBorder="1" applyAlignment="1">
      <alignment horizontal="left" vertical="center"/>
    </xf>
    <xf numFmtId="3" fontId="8" fillId="0" borderId="164" xfId="0" applyNumberFormat="1" applyFont="1" applyBorder="1" applyAlignment="1">
      <alignment horizontal="left" vertical="center"/>
    </xf>
    <xf numFmtId="166" fontId="6" fillId="0" borderId="72" xfId="0" applyNumberFormat="1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166" fontId="7" fillId="0" borderId="159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3" fontId="6" fillId="0" borderId="164" xfId="0" applyNumberFormat="1" applyFont="1" applyBorder="1" applyAlignment="1">
      <alignment horizontal="right" vertical="center"/>
    </xf>
    <xf numFmtId="3" fontId="7" fillId="0" borderId="159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53" xfId="0" applyFont="1" applyBorder="1" applyAlignment="1">
      <alignment horizontal="left" vertical="center"/>
    </xf>
    <xf numFmtId="0" fontId="7" fillId="0" borderId="158" xfId="0" applyFont="1" applyBorder="1" applyAlignment="1">
      <alignment vertical="center"/>
    </xf>
    <xf numFmtId="0" fontId="118" fillId="0" borderId="0" xfId="0" applyFont="1" applyAlignment="1">
      <alignment vertical="center"/>
    </xf>
    <xf numFmtId="166" fontId="125" fillId="0" borderId="11" xfId="0" applyNumberFormat="1" applyFont="1" applyBorder="1" applyAlignment="1">
      <alignment vertical="center"/>
    </xf>
    <xf numFmtId="0" fontId="14" fillId="0" borderId="11" xfId="63" applyBorder="1">
      <alignment/>
      <protection/>
    </xf>
    <xf numFmtId="0" fontId="14" fillId="0" borderId="10" xfId="63" applyBorder="1">
      <alignment/>
      <protection/>
    </xf>
    <xf numFmtId="0" fontId="14" fillId="0" borderId="10" xfId="63" applyBorder="1" applyAlignment="1">
      <alignment wrapText="1"/>
      <protection/>
    </xf>
    <xf numFmtId="0" fontId="0" fillId="0" borderId="0" xfId="0" applyAlignment="1">
      <alignment horizontal="center"/>
    </xf>
    <xf numFmtId="3" fontId="0" fillId="32" borderId="84" xfId="0" applyNumberFormat="1" applyFill="1" applyBorder="1" applyAlignment="1">
      <alignment/>
    </xf>
    <xf numFmtId="3" fontId="0" fillId="32" borderId="18" xfId="0" applyNumberFormat="1" applyFill="1" applyBorder="1" applyAlignment="1">
      <alignment/>
    </xf>
    <xf numFmtId="3" fontId="14" fillId="4" borderId="52" xfId="0" applyNumberFormat="1" applyFont="1" applyFill="1" applyBorder="1" applyAlignment="1">
      <alignment horizontal="right"/>
    </xf>
    <xf numFmtId="3" fontId="0" fillId="32" borderId="69" xfId="0" applyNumberFormat="1" applyFill="1" applyBorder="1" applyAlignment="1">
      <alignment horizontal="right" vertical="center"/>
    </xf>
    <xf numFmtId="3" fontId="22" fillId="4" borderId="0" xfId="0" applyNumberFormat="1" applyFont="1" applyFill="1" applyAlignment="1">
      <alignment/>
    </xf>
    <xf numFmtId="3" fontId="0" fillId="32" borderId="0" xfId="0" applyNumberFormat="1" applyFill="1" applyAlignment="1">
      <alignment/>
    </xf>
    <xf numFmtId="3" fontId="22" fillId="33" borderId="0" xfId="0" applyNumberFormat="1" applyFont="1" applyFill="1" applyAlignment="1">
      <alignment/>
    </xf>
    <xf numFmtId="3" fontId="0" fillId="32" borderId="0" xfId="0" applyNumberFormat="1" applyFill="1" applyAlignment="1">
      <alignment horizontal="center"/>
    </xf>
    <xf numFmtId="0" fontId="19" fillId="0" borderId="55" xfId="0" applyFont="1" applyBorder="1" applyAlignment="1">
      <alignment horizontal="center"/>
    </xf>
    <xf numFmtId="3" fontId="0" fillId="32" borderId="66" xfId="0" applyNumberFormat="1" applyFill="1" applyBorder="1" applyAlignment="1">
      <alignment/>
    </xf>
    <xf numFmtId="3" fontId="0" fillId="32" borderId="75" xfId="0" applyNumberFormat="1" applyFill="1" applyBorder="1" applyAlignment="1">
      <alignment/>
    </xf>
    <xf numFmtId="0" fontId="0" fillId="0" borderId="69" xfId="0" applyBorder="1" applyAlignment="1">
      <alignment horizontal="right"/>
    </xf>
    <xf numFmtId="0" fontId="7" fillId="0" borderId="143" xfId="0" applyFont="1" applyBorder="1" applyAlignment="1">
      <alignment horizontal="left" vertical="center"/>
    </xf>
    <xf numFmtId="0" fontId="7" fillId="0" borderId="149" xfId="0" applyFont="1" applyBorder="1" applyAlignment="1">
      <alignment horizontal="left" vertical="center"/>
    </xf>
    <xf numFmtId="0" fontId="7" fillId="0" borderId="156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3" fontId="119" fillId="0" borderId="0" xfId="0" applyNumberFormat="1" applyFont="1" applyBorder="1" applyAlignment="1">
      <alignment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Kötelező, önként vállalt, állami feladatok szerinti bontás 2" xfId="60"/>
    <cellStyle name="Normál_Munka1" xfId="61"/>
    <cellStyle name="Normál_Munka1 2" xfId="62"/>
    <cellStyle name="Normál_NORM09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2%202020.%20&#233;vi%20KV.%20mell&#233;kletei%20II.%20m&#243;d.%20-%20elfogado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bevételek"/>
      <sheetName val="2. kiadások "/>
      <sheetName val="3.műk.-felh."/>
      <sheetName val="4.önkorm.kiad.feladat"/>
      <sheetName val="5. Óvoda, Kult. kiad. feladat"/>
      <sheetName val="6. kiadások megbontása"/>
      <sheetName val="7. források sz. bontás"/>
      <sheetName val="8. létszámok"/>
      <sheetName val="9.felhki"/>
      <sheetName val="10.Tartalékok"/>
      <sheetName val="11.normatívák"/>
      <sheetName val="12. EU projektek"/>
    </sheetNames>
    <sheetDataSet>
      <sheetData sheetId="5">
        <row r="51">
          <cell r="D51">
            <v>549144418</v>
          </cell>
          <cell r="E51">
            <v>287581998</v>
          </cell>
          <cell r="G51">
            <v>270247451</v>
          </cell>
          <cell r="H51">
            <v>633001001</v>
          </cell>
          <cell r="J51">
            <v>12311385</v>
          </cell>
          <cell r="K51">
            <v>0</v>
          </cell>
        </row>
        <row r="55">
          <cell r="D55">
            <v>136378897</v>
          </cell>
          <cell r="E55">
            <v>1934590</v>
          </cell>
          <cell r="G55">
            <v>8450747</v>
          </cell>
        </row>
        <row r="66">
          <cell r="D66">
            <v>241334476</v>
          </cell>
          <cell r="E66">
            <v>1618615</v>
          </cell>
          <cell r="G66">
            <v>24644277</v>
          </cell>
          <cell r="H66">
            <v>111425</v>
          </cell>
        </row>
        <row r="72">
          <cell r="D72">
            <v>35814630</v>
          </cell>
          <cell r="E72">
            <v>1627000</v>
          </cell>
          <cell r="G72">
            <v>11862203</v>
          </cell>
          <cell r="H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04"/>
  <sheetViews>
    <sheetView tabSelected="1" zoomScale="120" zoomScaleNormal="120" zoomScalePageLayoutView="0" workbookViewId="0" topLeftCell="A1">
      <selection activeCell="G204" sqref="G204"/>
    </sheetView>
  </sheetViews>
  <sheetFormatPr defaultColWidth="9.00390625" defaultRowHeight="12.75"/>
  <cols>
    <col min="1" max="1" width="5.125" style="65" customWidth="1"/>
    <col min="2" max="3" width="9.125" style="65" customWidth="1"/>
    <col min="4" max="4" width="5.875" style="65" customWidth="1"/>
    <col min="5" max="5" width="49.875" style="65" customWidth="1"/>
    <col min="6" max="6" width="16.125" style="65" bestFit="1" customWidth="1"/>
    <col min="7" max="7" width="13.625" style="65" customWidth="1"/>
    <col min="8" max="9" width="15.125" style="65" customWidth="1"/>
    <col min="10" max="10" width="15.875" style="65" bestFit="1" customWidth="1"/>
    <col min="11" max="11" width="9.125" style="85" customWidth="1"/>
    <col min="12" max="16384" width="9.125" style="65" customWidth="1"/>
  </cols>
  <sheetData>
    <row r="1" spans="1:10" ht="15.75">
      <c r="A1" s="39"/>
      <c r="B1" s="71"/>
      <c r="C1" s="71"/>
      <c r="D1" s="71"/>
      <c r="E1" s="72"/>
      <c r="F1" s="694" t="s">
        <v>1042</v>
      </c>
      <c r="G1" s="695"/>
      <c r="H1" s="695"/>
      <c r="I1" s="695"/>
      <c r="J1" s="695"/>
    </row>
    <row r="2" spans="1:10" ht="15.75">
      <c r="A2" s="696" t="s">
        <v>888</v>
      </c>
      <c r="B2" s="696"/>
      <c r="C2" s="696"/>
      <c r="D2" s="696"/>
      <c r="E2" s="696"/>
      <c r="F2" s="696"/>
      <c r="G2" s="696"/>
      <c r="H2" s="696"/>
      <c r="I2" s="696"/>
      <c r="J2" s="696"/>
    </row>
    <row r="3" spans="1:10" ht="12.75">
      <c r="A3" s="39"/>
      <c r="B3" s="39"/>
      <c r="C3" s="39"/>
      <c r="D3" s="39"/>
      <c r="E3" s="39"/>
      <c r="F3" s="71"/>
      <c r="G3" s="71"/>
      <c r="H3" s="71"/>
      <c r="I3" s="71"/>
      <c r="J3" s="71"/>
    </row>
    <row r="4" spans="1:10" ht="12.75">
      <c r="A4" s="39"/>
      <c r="B4" s="71"/>
      <c r="C4" s="71"/>
      <c r="D4" s="71"/>
      <c r="E4" s="71"/>
      <c r="F4" s="71"/>
      <c r="G4" s="71"/>
      <c r="H4" s="71"/>
      <c r="I4" s="71"/>
      <c r="J4" s="72" t="s">
        <v>626</v>
      </c>
    </row>
    <row r="5" spans="1:10" ht="60" customHeight="1">
      <c r="A5" s="942" t="s">
        <v>0</v>
      </c>
      <c r="B5" s="943"/>
      <c r="C5" s="943"/>
      <c r="D5" s="943"/>
      <c r="E5" s="944"/>
      <c r="F5" s="945" t="s">
        <v>86</v>
      </c>
      <c r="G5" s="945" t="s">
        <v>372</v>
      </c>
      <c r="H5" s="945" t="s">
        <v>746</v>
      </c>
      <c r="I5" s="945" t="s">
        <v>796</v>
      </c>
      <c r="J5" s="945" t="s">
        <v>365</v>
      </c>
    </row>
    <row r="6" spans="1:11" s="70" customFormat="1" ht="15">
      <c r="A6" s="946" t="s">
        <v>433</v>
      </c>
      <c r="B6" s="947" t="s">
        <v>434</v>
      </c>
      <c r="C6" s="697"/>
      <c r="D6" s="697"/>
      <c r="E6" s="698"/>
      <c r="F6" s="948" t="s">
        <v>435</v>
      </c>
      <c r="G6" s="948" t="s">
        <v>436</v>
      </c>
      <c r="H6" s="948" t="s">
        <v>437</v>
      </c>
      <c r="I6" s="948" t="s">
        <v>438</v>
      </c>
      <c r="J6" s="948" t="s">
        <v>440</v>
      </c>
      <c r="K6" s="116"/>
    </row>
    <row r="7" spans="1:11" s="73" customFormat="1" ht="12.75">
      <c r="A7" s="278" t="s">
        <v>209</v>
      </c>
      <c r="B7" s="691" t="s">
        <v>210</v>
      </c>
      <c r="C7" s="691"/>
      <c r="D7" s="691"/>
      <c r="E7" s="691"/>
      <c r="F7" s="279">
        <f>SUM(F8+F16+F17+F18+F29+F30)</f>
        <v>781347945</v>
      </c>
      <c r="G7" s="279">
        <f>SUM(G8+G16+G17+G18+G29+G30)</f>
        <v>1484730</v>
      </c>
      <c r="H7" s="279">
        <f>SUM(H8+H16+H17+H18+H29+H30)</f>
        <v>5354163</v>
      </c>
      <c r="I7" s="279">
        <f>SUM(I8+I16+I17+I18+I29+I30)</f>
        <v>2576000</v>
      </c>
      <c r="J7" s="279">
        <f>SUM(F7:I7)</f>
        <v>790762838</v>
      </c>
      <c r="K7" s="117"/>
    </row>
    <row r="8" spans="1:11" ht="12.75">
      <c r="A8" s="280"/>
      <c r="B8" s="280" t="s">
        <v>211</v>
      </c>
      <c r="C8" s="692" t="s">
        <v>212</v>
      </c>
      <c r="D8" s="692"/>
      <c r="E8" s="692"/>
      <c r="F8" s="281">
        <f>SUM(F9:F15)</f>
        <v>525869524</v>
      </c>
      <c r="G8" s="281">
        <f>SUM(G9:G15)</f>
        <v>0</v>
      </c>
      <c r="H8" s="281">
        <f>SUM(H9:H15)</f>
        <v>0</v>
      </c>
      <c r="I8" s="281">
        <f>SUM(I9:I15)</f>
        <v>0</v>
      </c>
      <c r="J8" s="282">
        <f aca="true" t="shared" si="0" ref="J8:J73">SUM(F8:I8)</f>
        <v>525869524</v>
      </c>
      <c r="K8" s="118"/>
    </row>
    <row r="9" spans="1:11" ht="12.75">
      <c r="A9" s="283"/>
      <c r="B9" s="283"/>
      <c r="C9" s="283" t="s">
        <v>213</v>
      </c>
      <c r="D9" s="283"/>
      <c r="E9" s="283" t="s">
        <v>646</v>
      </c>
      <c r="F9" s="284">
        <f>186857281+22486700+426173</f>
        <v>209770154</v>
      </c>
      <c r="G9" s="284">
        <v>0</v>
      </c>
      <c r="H9" s="284">
        <v>0</v>
      </c>
      <c r="I9" s="284">
        <v>0</v>
      </c>
      <c r="J9" s="285">
        <f t="shared" si="0"/>
        <v>209770154</v>
      </c>
      <c r="K9" s="119"/>
    </row>
    <row r="10" spans="1:11" ht="12.75">
      <c r="A10" s="283"/>
      <c r="B10" s="286"/>
      <c r="C10" s="283" t="s">
        <v>214</v>
      </c>
      <c r="D10" s="283"/>
      <c r="E10" s="283" t="s">
        <v>652</v>
      </c>
      <c r="F10" s="284">
        <v>118098200</v>
      </c>
      <c r="G10" s="284">
        <v>0</v>
      </c>
      <c r="H10" s="284">
        <v>0</v>
      </c>
      <c r="I10" s="284">
        <v>0</v>
      </c>
      <c r="J10" s="285">
        <f t="shared" si="0"/>
        <v>118098200</v>
      </c>
      <c r="K10" s="119"/>
    </row>
    <row r="11" spans="1:11" ht="12.75">
      <c r="A11" s="283"/>
      <c r="B11" s="283"/>
      <c r="C11" s="283" t="s">
        <v>1038</v>
      </c>
      <c r="D11" s="283"/>
      <c r="E11" s="283" t="s">
        <v>1039</v>
      </c>
      <c r="F11" s="284">
        <f>90378059+1038000+10068391+8095006</f>
        <v>109579456</v>
      </c>
      <c r="G11" s="284">
        <v>0</v>
      </c>
      <c r="H11" s="284">
        <v>0</v>
      </c>
      <c r="I11" s="284">
        <v>0</v>
      </c>
      <c r="J11" s="285">
        <f t="shared" si="0"/>
        <v>109579456</v>
      </c>
      <c r="K11" s="119"/>
    </row>
    <row r="12" spans="1:11" ht="12.75">
      <c r="A12" s="283"/>
      <c r="B12" s="283"/>
      <c r="C12" s="283" t="s">
        <v>1040</v>
      </c>
      <c r="D12" s="283"/>
      <c r="E12" s="283" t="s">
        <v>1041</v>
      </c>
      <c r="F12" s="284">
        <v>76751744</v>
      </c>
      <c r="G12" s="284"/>
      <c r="H12" s="284"/>
      <c r="I12" s="284"/>
      <c r="J12" s="285">
        <f t="shared" si="0"/>
        <v>76751744</v>
      </c>
      <c r="K12" s="119"/>
    </row>
    <row r="13" spans="1:11" ht="12.75">
      <c r="A13" s="283"/>
      <c r="B13" s="283"/>
      <c r="C13" s="283" t="s">
        <v>215</v>
      </c>
      <c r="D13" s="283"/>
      <c r="E13" s="283" t="s">
        <v>653</v>
      </c>
      <c r="F13" s="284">
        <f>10821150+848820</f>
        <v>11669970</v>
      </c>
      <c r="G13" s="284">
        <v>0</v>
      </c>
      <c r="H13" s="284">
        <v>0</v>
      </c>
      <c r="I13" s="284">
        <v>0</v>
      </c>
      <c r="J13" s="285">
        <f t="shared" si="0"/>
        <v>11669970</v>
      </c>
      <c r="K13" s="119"/>
    </row>
    <row r="14" spans="1:11" ht="12.75">
      <c r="A14" s="283"/>
      <c r="B14" s="283"/>
      <c r="C14" s="283" t="s">
        <v>216</v>
      </c>
      <c r="D14" s="283"/>
      <c r="E14" s="283" t="s">
        <v>647</v>
      </c>
      <c r="F14" s="284">
        <f>383873+10959511-11343384</f>
        <v>0</v>
      </c>
      <c r="G14" s="284">
        <v>0</v>
      </c>
      <c r="H14" s="284">
        <v>0</v>
      </c>
      <c r="I14" s="284">
        <v>0</v>
      </c>
      <c r="J14" s="285">
        <f t="shared" si="0"/>
        <v>0</v>
      </c>
      <c r="K14" s="119"/>
    </row>
    <row r="15" spans="1:11" ht="2.25" customHeight="1" hidden="1">
      <c r="A15" s="287"/>
      <c r="B15" s="287"/>
      <c r="C15" s="283" t="s">
        <v>217</v>
      </c>
      <c r="D15" s="287"/>
      <c r="E15" s="283" t="s">
        <v>541</v>
      </c>
      <c r="F15" s="284">
        <v>0</v>
      </c>
      <c r="G15" s="284">
        <v>0</v>
      </c>
      <c r="H15" s="284">
        <v>0</v>
      </c>
      <c r="I15" s="284">
        <v>0</v>
      </c>
      <c r="J15" s="285">
        <f t="shared" si="0"/>
        <v>0</v>
      </c>
      <c r="K15" s="118"/>
    </row>
    <row r="16" spans="1:11" ht="12.75">
      <c r="A16" s="280"/>
      <c r="B16" s="280" t="s">
        <v>218</v>
      </c>
      <c r="C16" s="692" t="s">
        <v>219</v>
      </c>
      <c r="D16" s="692"/>
      <c r="E16" s="692"/>
      <c r="F16" s="281">
        <v>0</v>
      </c>
      <c r="G16" s="281">
        <v>0</v>
      </c>
      <c r="H16" s="281">
        <v>0</v>
      </c>
      <c r="I16" s="281">
        <v>0</v>
      </c>
      <c r="J16" s="282">
        <f t="shared" si="0"/>
        <v>0</v>
      </c>
      <c r="K16" s="118"/>
    </row>
    <row r="17" spans="1:11" ht="12.75">
      <c r="A17" s="280"/>
      <c r="B17" s="280" t="s">
        <v>220</v>
      </c>
      <c r="C17" s="692" t="s">
        <v>648</v>
      </c>
      <c r="D17" s="692"/>
      <c r="E17" s="692"/>
      <c r="F17" s="281">
        <v>0</v>
      </c>
      <c r="G17" s="281">
        <v>0</v>
      </c>
      <c r="H17" s="281">
        <v>0</v>
      </c>
      <c r="I17" s="281">
        <v>0</v>
      </c>
      <c r="J17" s="282">
        <f t="shared" si="0"/>
        <v>0</v>
      </c>
      <c r="K17" s="118"/>
    </row>
    <row r="18" spans="1:11" ht="14.25" customHeight="1">
      <c r="A18" s="280"/>
      <c r="B18" s="280" t="s">
        <v>221</v>
      </c>
      <c r="C18" s="692" t="s">
        <v>649</v>
      </c>
      <c r="D18" s="692"/>
      <c r="E18" s="692"/>
      <c r="F18" s="281">
        <f>SUM(F19:F28)</f>
        <v>0</v>
      </c>
      <c r="G18" s="281">
        <f>SUM(G19:G28)</f>
        <v>0</v>
      </c>
      <c r="H18" s="281">
        <f>SUM(H19:H28)</f>
        <v>0</v>
      </c>
      <c r="I18" s="281">
        <f>SUM(I19:I28)</f>
        <v>0</v>
      </c>
      <c r="J18" s="282">
        <f t="shared" si="0"/>
        <v>0</v>
      </c>
      <c r="K18" s="120"/>
    </row>
    <row r="19" spans="1:11" ht="1.5" customHeight="1" hidden="1">
      <c r="A19" s="288"/>
      <c r="B19" s="288"/>
      <c r="C19" s="289" t="s">
        <v>2</v>
      </c>
      <c r="D19" s="289" t="s">
        <v>147</v>
      </c>
      <c r="E19" s="289" t="s">
        <v>148</v>
      </c>
      <c r="F19" s="290">
        <v>0</v>
      </c>
      <c r="G19" s="290">
        <v>0</v>
      </c>
      <c r="H19" s="290">
        <v>0</v>
      </c>
      <c r="I19" s="290">
        <v>0</v>
      </c>
      <c r="J19" s="291">
        <f t="shared" si="0"/>
        <v>0</v>
      </c>
      <c r="K19" s="120"/>
    </row>
    <row r="20" spans="1:11" ht="12.75" hidden="1">
      <c r="A20" s="288"/>
      <c r="B20" s="288"/>
      <c r="C20" s="289"/>
      <c r="D20" s="289" t="s">
        <v>149</v>
      </c>
      <c r="E20" s="289" t="s">
        <v>150</v>
      </c>
      <c r="F20" s="290">
        <v>0</v>
      </c>
      <c r="G20" s="290">
        <v>0</v>
      </c>
      <c r="H20" s="290">
        <v>0</v>
      </c>
      <c r="I20" s="290">
        <v>0</v>
      </c>
      <c r="J20" s="291">
        <f t="shared" si="0"/>
        <v>0</v>
      </c>
      <c r="K20" s="120"/>
    </row>
    <row r="21" spans="1:11" ht="12.75" hidden="1">
      <c r="A21" s="288"/>
      <c r="B21" s="288"/>
      <c r="C21" s="289"/>
      <c r="D21" s="289" t="s">
        <v>151</v>
      </c>
      <c r="E21" s="289" t="s">
        <v>222</v>
      </c>
      <c r="F21" s="290">
        <v>0</v>
      </c>
      <c r="G21" s="290">
        <v>0</v>
      </c>
      <c r="H21" s="290">
        <v>0</v>
      </c>
      <c r="I21" s="290">
        <v>0</v>
      </c>
      <c r="J21" s="291">
        <f t="shared" si="0"/>
        <v>0</v>
      </c>
      <c r="K21" s="120"/>
    </row>
    <row r="22" spans="1:11" ht="12.75" hidden="1">
      <c r="A22" s="288"/>
      <c r="B22" s="288"/>
      <c r="C22" s="289"/>
      <c r="D22" s="289" t="s">
        <v>153</v>
      </c>
      <c r="E22" s="289" t="s">
        <v>154</v>
      </c>
      <c r="F22" s="290">
        <v>0</v>
      </c>
      <c r="G22" s="290">
        <v>0</v>
      </c>
      <c r="H22" s="290">
        <v>0</v>
      </c>
      <c r="I22" s="290">
        <v>0</v>
      </c>
      <c r="J22" s="291">
        <f t="shared" si="0"/>
        <v>0</v>
      </c>
      <c r="K22" s="120"/>
    </row>
    <row r="23" spans="1:11" ht="12.75" hidden="1">
      <c r="A23" s="288"/>
      <c r="B23" s="288"/>
      <c r="C23" s="289"/>
      <c r="D23" s="289" t="s">
        <v>155</v>
      </c>
      <c r="E23" s="289" t="s">
        <v>156</v>
      </c>
      <c r="F23" s="290">
        <v>0</v>
      </c>
      <c r="G23" s="290">
        <v>0</v>
      </c>
      <c r="H23" s="290">
        <v>0</v>
      </c>
      <c r="I23" s="290">
        <v>0</v>
      </c>
      <c r="J23" s="291">
        <f t="shared" si="0"/>
        <v>0</v>
      </c>
      <c r="K23" s="120"/>
    </row>
    <row r="24" spans="1:11" ht="0.75" customHeight="1">
      <c r="A24" s="288"/>
      <c r="B24" s="288"/>
      <c r="C24" s="289"/>
      <c r="D24" s="289" t="s">
        <v>157</v>
      </c>
      <c r="E24" s="289" t="s">
        <v>158</v>
      </c>
      <c r="F24" s="290">
        <v>0</v>
      </c>
      <c r="G24" s="290">
        <v>0</v>
      </c>
      <c r="H24" s="290">
        <v>0</v>
      </c>
      <c r="I24" s="290">
        <v>0</v>
      </c>
      <c r="J24" s="291">
        <f t="shared" si="0"/>
        <v>0</v>
      </c>
      <c r="K24" s="120"/>
    </row>
    <row r="25" spans="1:11" ht="12.75" hidden="1">
      <c r="A25" s="288"/>
      <c r="B25" s="288"/>
      <c r="C25" s="289"/>
      <c r="D25" s="289" t="s">
        <v>159</v>
      </c>
      <c r="E25" s="289" t="s">
        <v>160</v>
      </c>
      <c r="F25" s="290">
        <v>0</v>
      </c>
      <c r="G25" s="290">
        <v>0</v>
      </c>
      <c r="H25" s="290">
        <v>0</v>
      </c>
      <c r="I25" s="290">
        <v>0</v>
      </c>
      <c r="J25" s="291">
        <f t="shared" si="0"/>
        <v>0</v>
      </c>
      <c r="K25" s="120"/>
    </row>
    <row r="26" spans="1:11" ht="1.5" customHeight="1">
      <c r="A26" s="288"/>
      <c r="B26" s="288"/>
      <c r="C26" s="289"/>
      <c r="D26" s="289" t="s">
        <v>161</v>
      </c>
      <c r="E26" s="289" t="s">
        <v>162</v>
      </c>
      <c r="F26" s="290"/>
      <c r="G26" s="290">
        <v>0</v>
      </c>
      <c r="H26" s="290">
        <v>0</v>
      </c>
      <c r="I26" s="290">
        <v>0</v>
      </c>
      <c r="J26" s="291">
        <f t="shared" si="0"/>
        <v>0</v>
      </c>
      <c r="K26" s="120"/>
    </row>
    <row r="27" spans="1:11" ht="12.75" hidden="1">
      <c r="A27" s="288"/>
      <c r="B27" s="288"/>
      <c r="C27" s="289"/>
      <c r="D27" s="289" t="s">
        <v>163</v>
      </c>
      <c r="E27" s="289" t="s">
        <v>164</v>
      </c>
      <c r="F27" s="290">
        <v>0</v>
      </c>
      <c r="G27" s="290">
        <v>0</v>
      </c>
      <c r="H27" s="290">
        <v>0</v>
      </c>
      <c r="I27" s="290">
        <v>0</v>
      </c>
      <c r="J27" s="291">
        <f t="shared" si="0"/>
        <v>0</v>
      </c>
      <c r="K27" s="120"/>
    </row>
    <row r="28" spans="1:11" ht="0.75" customHeight="1">
      <c r="A28" s="288"/>
      <c r="B28" s="288"/>
      <c r="C28" s="289"/>
      <c r="D28" s="289" t="s">
        <v>165</v>
      </c>
      <c r="E28" s="289" t="s">
        <v>166</v>
      </c>
      <c r="F28" s="290">
        <v>0</v>
      </c>
      <c r="G28" s="290">
        <v>0</v>
      </c>
      <c r="H28" s="290">
        <v>0</v>
      </c>
      <c r="I28" s="290">
        <v>0</v>
      </c>
      <c r="J28" s="291">
        <f t="shared" si="0"/>
        <v>0</v>
      </c>
      <c r="K28" s="118"/>
    </row>
    <row r="29" spans="1:11" ht="12" customHeight="1">
      <c r="A29" s="280"/>
      <c r="B29" s="280" t="s">
        <v>223</v>
      </c>
      <c r="C29" s="692" t="s">
        <v>650</v>
      </c>
      <c r="D29" s="692"/>
      <c r="E29" s="692"/>
      <c r="F29" s="281">
        <v>0</v>
      </c>
      <c r="G29" s="281">
        <v>0</v>
      </c>
      <c r="H29" s="281">
        <v>0</v>
      </c>
      <c r="I29" s="281">
        <v>0</v>
      </c>
      <c r="J29" s="282">
        <f t="shared" si="0"/>
        <v>0</v>
      </c>
      <c r="K29" s="118"/>
    </row>
    <row r="30" spans="1:11" ht="11.25" customHeight="1">
      <c r="A30" s="280"/>
      <c r="B30" s="280" t="s">
        <v>224</v>
      </c>
      <c r="C30" s="692" t="s">
        <v>651</v>
      </c>
      <c r="D30" s="692"/>
      <c r="E30" s="692"/>
      <c r="F30" s="281">
        <f>SUM(F31:F40)</f>
        <v>255478421</v>
      </c>
      <c r="G30" s="281">
        <f>SUM(G31:G40)</f>
        <v>1484730</v>
      </c>
      <c r="H30" s="281">
        <f>SUM(H31:H40)</f>
        <v>5354163</v>
      </c>
      <c r="I30" s="281">
        <f>SUM(I31:I40)</f>
        <v>2576000</v>
      </c>
      <c r="J30" s="282">
        <f t="shared" si="0"/>
        <v>264893314</v>
      </c>
      <c r="K30" s="120"/>
    </row>
    <row r="31" spans="1:11" ht="0.75" customHeight="1">
      <c r="A31" s="288"/>
      <c r="B31" s="288"/>
      <c r="C31" s="289" t="s">
        <v>2</v>
      </c>
      <c r="D31" s="289" t="s">
        <v>147</v>
      </c>
      <c r="E31" s="289" t="s">
        <v>148</v>
      </c>
      <c r="F31" s="290">
        <v>0</v>
      </c>
      <c r="G31" s="290">
        <v>0</v>
      </c>
      <c r="H31" s="290">
        <v>0</v>
      </c>
      <c r="I31" s="290">
        <v>0</v>
      </c>
      <c r="J31" s="291">
        <f t="shared" si="0"/>
        <v>0</v>
      </c>
      <c r="K31" s="120"/>
    </row>
    <row r="32" spans="1:11" ht="10.5" customHeight="1" hidden="1">
      <c r="A32" s="288"/>
      <c r="B32" s="288"/>
      <c r="C32" s="289"/>
      <c r="D32" s="289" t="s">
        <v>149</v>
      </c>
      <c r="E32" s="289" t="s">
        <v>150</v>
      </c>
      <c r="F32" s="290">
        <v>0</v>
      </c>
      <c r="G32" s="290">
        <v>0</v>
      </c>
      <c r="H32" s="290">
        <v>0</v>
      </c>
      <c r="I32" s="290">
        <v>0</v>
      </c>
      <c r="J32" s="291">
        <f t="shared" si="0"/>
        <v>0</v>
      </c>
      <c r="K32" s="120"/>
    </row>
    <row r="33" spans="1:11" ht="12.75">
      <c r="A33" s="288"/>
      <c r="B33" s="288"/>
      <c r="C33" s="289" t="s">
        <v>2</v>
      </c>
      <c r="D33" s="289"/>
      <c r="E33" s="289" t="s">
        <v>654</v>
      </c>
      <c r="F33" s="290">
        <f>2100000+40118910+5788759+1092680+13881090+60657486+23938936</f>
        <v>147577861</v>
      </c>
      <c r="G33" s="290">
        <v>0</v>
      </c>
      <c r="H33" s="290">
        <v>5354163</v>
      </c>
      <c r="I33" s="290"/>
      <c r="J33" s="291">
        <f t="shared" si="0"/>
        <v>152932024</v>
      </c>
      <c r="K33" s="120"/>
    </row>
    <row r="34" spans="1:11" ht="12.75">
      <c r="A34" s="288"/>
      <c r="B34" s="288"/>
      <c r="C34" s="289"/>
      <c r="D34" s="289"/>
      <c r="E34" s="289" t="s">
        <v>154</v>
      </c>
      <c r="F34" s="290">
        <f>7411115+571500</f>
        <v>7982615</v>
      </c>
      <c r="G34" s="290">
        <v>0</v>
      </c>
      <c r="H34" s="290">
        <v>0</v>
      </c>
      <c r="I34" s="290">
        <v>0</v>
      </c>
      <c r="J34" s="291">
        <f t="shared" si="0"/>
        <v>7982615</v>
      </c>
      <c r="K34" s="120"/>
    </row>
    <row r="35" spans="1:11" ht="12.75">
      <c r="A35" s="288"/>
      <c r="B35" s="288"/>
      <c r="C35" s="289"/>
      <c r="D35" s="289"/>
      <c r="E35" s="289" t="s">
        <v>156</v>
      </c>
      <c r="F35" s="290">
        <f>21600000+7959000+2626200+2887500</f>
        <v>35072700</v>
      </c>
      <c r="G35" s="290">
        <v>0</v>
      </c>
      <c r="H35" s="290">
        <v>0</v>
      </c>
      <c r="I35" s="290">
        <v>0</v>
      </c>
      <c r="J35" s="291">
        <f t="shared" si="0"/>
        <v>35072700</v>
      </c>
      <c r="K35" s="120"/>
    </row>
    <row r="36" spans="1:11" ht="12.75">
      <c r="A36" s="288"/>
      <c r="B36" s="288"/>
      <c r="C36" s="289"/>
      <c r="D36" s="289"/>
      <c r="E36" s="289" t="s">
        <v>158</v>
      </c>
      <c r="F36" s="290">
        <f>13227888+4016545+26537427+16490993</f>
        <v>60272853</v>
      </c>
      <c r="G36" s="290">
        <v>1484730</v>
      </c>
      <c r="H36" s="290">
        <v>0</v>
      </c>
      <c r="I36" s="290">
        <v>2576000</v>
      </c>
      <c r="J36" s="291">
        <f t="shared" si="0"/>
        <v>64333583</v>
      </c>
      <c r="K36" s="120"/>
    </row>
    <row r="37" spans="1:11" ht="13.5" customHeight="1">
      <c r="A37" s="288"/>
      <c r="B37" s="288"/>
      <c r="C37" s="289"/>
      <c r="D37" s="289"/>
      <c r="E37" s="289" t="s">
        <v>160</v>
      </c>
      <c r="F37" s="290">
        <f>3386445+1185947</f>
        <v>4572392</v>
      </c>
      <c r="G37" s="290">
        <v>0</v>
      </c>
      <c r="H37" s="290">
        <v>0</v>
      </c>
      <c r="I37" s="290">
        <v>0</v>
      </c>
      <c r="J37" s="291">
        <f t="shared" si="0"/>
        <v>4572392</v>
      </c>
      <c r="K37" s="120"/>
    </row>
    <row r="38" spans="1:11" ht="0.75" customHeight="1">
      <c r="A38" s="288"/>
      <c r="B38" s="288"/>
      <c r="C38" s="289"/>
      <c r="D38" s="289"/>
      <c r="E38" s="289" t="s">
        <v>162</v>
      </c>
      <c r="F38" s="290">
        <v>0</v>
      </c>
      <c r="G38" s="290">
        <v>0</v>
      </c>
      <c r="H38" s="290">
        <v>0</v>
      </c>
      <c r="I38" s="290">
        <v>0</v>
      </c>
      <c r="J38" s="291">
        <f t="shared" si="0"/>
        <v>0</v>
      </c>
      <c r="K38" s="120"/>
    </row>
    <row r="39" spans="1:11" ht="0.75" customHeight="1">
      <c r="A39" s="288"/>
      <c r="B39" s="288"/>
      <c r="C39" s="289"/>
      <c r="D39" s="289"/>
      <c r="E39" s="289" t="s">
        <v>655</v>
      </c>
      <c r="F39" s="290">
        <v>0</v>
      </c>
      <c r="G39" s="290">
        <v>0</v>
      </c>
      <c r="H39" s="290">
        <v>0</v>
      </c>
      <c r="I39" s="290">
        <v>0</v>
      </c>
      <c r="J39" s="291">
        <f t="shared" si="0"/>
        <v>0</v>
      </c>
      <c r="K39" s="120"/>
    </row>
    <row r="40" spans="1:11" s="73" customFormat="1" ht="0.75" customHeight="1">
      <c r="A40" s="288"/>
      <c r="B40" s="288"/>
      <c r="C40" s="289"/>
      <c r="D40" s="289"/>
      <c r="E40" s="289" t="s">
        <v>656</v>
      </c>
      <c r="F40" s="290">
        <v>0</v>
      </c>
      <c r="G40" s="290">
        <v>0</v>
      </c>
      <c r="H40" s="290">
        <v>0</v>
      </c>
      <c r="I40" s="290">
        <v>0</v>
      </c>
      <c r="J40" s="291">
        <f t="shared" si="0"/>
        <v>0</v>
      </c>
      <c r="K40" s="117"/>
    </row>
    <row r="41" spans="1:11" ht="12.75" customHeight="1">
      <c r="A41" s="278" t="s">
        <v>225</v>
      </c>
      <c r="B41" s="691" t="s">
        <v>662</v>
      </c>
      <c r="C41" s="691"/>
      <c r="D41" s="691"/>
      <c r="E41" s="691"/>
      <c r="F41" s="279">
        <f>SUM(F42:F46)</f>
        <v>6264795</v>
      </c>
      <c r="G41" s="279">
        <f>SUM(G42:G46)</f>
        <v>0</v>
      </c>
      <c r="H41" s="279">
        <f>SUM(H42:H46)</f>
        <v>0</v>
      </c>
      <c r="I41" s="279">
        <f>SUM(I42:I46)</f>
        <v>0</v>
      </c>
      <c r="J41" s="279">
        <f t="shared" si="0"/>
        <v>6264795</v>
      </c>
      <c r="K41" s="118"/>
    </row>
    <row r="42" spans="1:11" ht="0.75" customHeight="1" hidden="1">
      <c r="A42" s="280"/>
      <c r="B42" s="280" t="s">
        <v>226</v>
      </c>
      <c r="C42" s="692" t="s">
        <v>657</v>
      </c>
      <c r="D42" s="692"/>
      <c r="E42" s="692"/>
      <c r="F42" s="281">
        <v>0</v>
      </c>
      <c r="G42" s="281">
        <v>0</v>
      </c>
      <c r="H42" s="281">
        <v>0</v>
      </c>
      <c r="I42" s="281">
        <v>0</v>
      </c>
      <c r="J42" s="282">
        <f t="shared" si="0"/>
        <v>0</v>
      </c>
      <c r="K42" s="118"/>
    </row>
    <row r="43" spans="1:11" ht="8.25" customHeight="1" hidden="1">
      <c r="A43" s="280"/>
      <c r="B43" s="280" t="s">
        <v>227</v>
      </c>
      <c r="C43" s="692" t="s">
        <v>658</v>
      </c>
      <c r="D43" s="692"/>
      <c r="E43" s="692"/>
      <c r="F43" s="281">
        <v>0</v>
      </c>
      <c r="G43" s="281">
        <v>0</v>
      </c>
      <c r="H43" s="281">
        <v>0</v>
      </c>
      <c r="I43" s="281">
        <v>0</v>
      </c>
      <c r="J43" s="282">
        <f t="shared" si="0"/>
        <v>0</v>
      </c>
      <c r="K43" s="118"/>
    </row>
    <row r="44" spans="1:11" ht="10.5" customHeight="1" hidden="1">
      <c r="A44" s="280"/>
      <c r="B44" s="280" t="s">
        <v>228</v>
      </c>
      <c r="C44" s="692" t="s">
        <v>659</v>
      </c>
      <c r="D44" s="692"/>
      <c r="E44" s="692"/>
      <c r="F44" s="281">
        <v>0</v>
      </c>
      <c r="G44" s="281">
        <v>0</v>
      </c>
      <c r="H44" s="281">
        <v>0</v>
      </c>
      <c r="I44" s="281">
        <v>0</v>
      </c>
      <c r="J44" s="282">
        <f t="shared" si="0"/>
        <v>0</v>
      </c>
      <c r="K44" s="118"/>
    </row>
    <row r="45" spans="1:11" ht="1.5" customHeight="1">
      <c r="A45" s="280"/>
      <c r="B45" s="280" t="s">
        <v>229</v>
      </c>
      <c r="C45" s="692" t="s">
        <v>660</v>
      </c>
      <c r="D45" s="692"/>
      <c r="E45" s="692"/>
      <c r="F45" s="281">
        <v>0</v>
      </c>
      <c r="G45" s="281">
        <v>0</v>
      </c>
      <c r="H45" s="281">
        <v>0</v>
      </c>
      <c r="I45" s="281">
        <v>0</v>
      </c>
      <c r="J45" s="282">
        <f t="shared" si="0"/>
        <v>0</v>
      </c>
      <c r="K45" s="118"/>
    </row>
    <row r="46" spans="1:11" ht="12.75" customHeight="1">
      <c r="A46" s="280"/>
      <c r="B46" s="280" t="s">
        <v>230</v>
      </c>
      <c r="C46" s="692" t="s">
        <v>661</v>
      </c>
      <c r="D46" s="692"/>
      <c r="E46" s="692"/>
      <c r="F46" s="281">
        <f>SUM(F47:F57)</f>
        <v>6264795</v>
      </c>
      <c r="G46" s="281">
        <f>SUM(G47:G57)</f>
        <v>0</v>
      </c>
      <c r="H46" s="281">
        <f>SUM(H47:H57)</f>
        <v>0</v>
      </c>
      <c r="I46" s="281">
        <f>SUM(I47:I57)</f>
        <v>0</v>
      </c>
      <c r="J46" s="282">
        <f t="shared" si="0"/>
        <v>6264795</v>
      </c>
      <c r="K46" s="120"/>
    </row>
    <row r="47" spans="1:11" ht="0.75" customHeight="1">
      <c r="A47" s="288"/>
      <c r="B47" s="288"/>
      <c r="C47" s="289" t="s">
        <v>2</v>
      </c>
      <c r="D47" s="289" t="s">
        <v>147</v>
      </c>
      <c r="E47" s="289" t="s">
        <v>148</v>
      </c>
      <c r="F47" s="290">
        <v>0</v>
      </c>
      <c r="G47" s="290">
        <v>0</v>
      </c>
      <c r="H47" s="290">
        <v>0</v>
      </c>
      <c r="I47" s="290">
        <v>0</v>
      </c>
      <c r="J47" s="291">
        <f t="shared" si="0"/>
        <v>0</v>
      </c>
      <c r="K47" s="120"/>
    </row>
    <row r="48" spans="1:11" ht="12" customHeight="1" hidden="1">
      <c r="A48" s="288"/>
      <c r="B48" s="288"/>
      <c r="C48" s="289"/>
      <c r="D48" s="289" t="s">
        <v>149</v>
      </c>
      <c r="E48" s="289" t="s">
        <v>150</v>
      </c>
      <c r="F48" s="290">
        <v>0</v>
      </c>
      <c r="G48" s="290">
        <v>0</v>
      </c>
      <c r="H48" s="290">
        <v>0</v>
      </c>
      <c r="I48" s="290">
        <v>0</v>
      </c>
      <c r="J48" s="291">
        <f t="shared" si="0"/>
        <v>0</v>
      </c>
      <c r="K48" s="120"/>
    </row>
    <row r="49" spans="1:11" ht="9.75" customHeight="1">
      <c r="A49" s="288"/>
      <c r="B49" s="288"/>
      <c r="C49" s="289" t="s">
        <v>2</v>
      </c>
      <c r="D49" s="289"/>
      <c r="E49" s="289" t="s">
        <v>222</v>
      </c>
      <c r="F49" s="290">
        <f>6000000-6000000+6000000</f>
        <v>6000000</v>
      </c>
      <c r="G49" s="290">
        <v>0</v>
      </c>
      <c r="H49" s="290">
        <v>0</v>
      </c>
      <c r="I49" s="290"/>
      <c r="J49" s="291">
        <f t="shared" si="0"/>
        <v>6000000</v>
      </c>
      <c r="K49" s="120"/>
    </row>
    <row r="50" spans="1:11" ht="13.5" customHeight="1" hidden="1">
      <c r="A50" s="288"/>
      <c r="B50" s="288"/>
      <c r="C50" s="289"/>
      <c r="D50" s="289" t="s">
        <v>153</v>
      </c>
      <c r="E50" s="289" t="s">
        <v>154</v>
      </c>
      <c r="F50" s="290"/>
      <c r="G50" s="290">
        <v>0</v>
      </c>
      <c r="H50" s="290">
        <v>0</v>
      </c>
      <c r="I50" s="290">
        <v>0</v>
      </c>
      <c r="J50" s="291">
        <f t="shared" si="0"/>
        <v>0</v>
      </c>
      <c r="K50" s="120"/>
    </row>
    <row r="51" spans="1:11" ht="5.25" customHeight="1" hidden="1">
      <c r="A51" s="288"/>
      <c r="B51" s="288"/>
      <c r="C51" s="289"/>
      <c r="D51" s="289" t="s">
        <v>155</v>
      </c>
      <c r="E51" s="289" t="s">
        <v>156</v>
      </c>
      <c r="F51" s="290"/>
      <c r="G51" s="290">
        <v>0</v>
      </c>
      <c r="H51" s="290">
        <v>0</v>
      </c>
      <c r="I51" s="290">
        <v>0</v>
      </c>
      <c r="J51" s="291">
        <f t="shared" si="0"/>
        <v>0</v>
      </c>
      <c r="K51" s="120"/>
    </row>
    <row r="52" spans="1:11" ht="11.25" customHeight="1">
      <c r="A52" s="288"/>
      <c r="B52" s="288"/>
      <c r="C52" s="289"/>
      <c r="D52" s="289"/>
      <c r="E52" s="289" t="s">
        <v>158</v>
      </c>
      <c r="F52" s="290"/>
      <c r="G52" s="290">
        <v>0</v>
      </c>
      <c r="H52" s="290">
        <v>0</v>
      </c>
      <c r="I52" s="290">
        <v>0</v>
      </c>
      <c r="J52" s="291">
        <f t="shared" si="0"/>
        <v>0</v>
      </c>
      <c r="K52" s="120"/>
    </row>
    <row r="53" spans="1:11" ht="6" customHeight="1" hidden="1">
      <c r="A53" s="288"/>
      <c r="B53" s="288"/>
      <c r="C53" s="289"/>
      <c r="D53" s="289" t="s">
        <v>159</v>
      </c>
      <c r="E53" s="289" t="s">
        <v>160</v>
      </c>
      <c r="F53" s="290"/>
      <c r="G53" s="290">
        <v>0</v>
      </c>
      <c r="H53" s="290">
        <v>0</v>
      </c>
      <c r="I53" s="290">
        <v>0</v>
      </c>
      <c r="J53" s="291">
        <f t="shared" si="0"/>
        <v>0</v>
      </c>
      <c r="K53" s="120"/>
    </row>
    <row r="54" spans="1:11" ht="13.5" customHeight="1" hidden="1">
      <c r="A54" s="288"/>
      <c r="B54" s="288"/>
      <c r="C54" s="289"/>
      <c r="D54" s="289" t="s">
        <v>161</v>
      </c>
      <c r="E54" s="289" t="s">
        <v>162</v>
      </c>
      <c r="F54" s="290"/>
      <c r="G54" s="290">
        <v>0</v>
      </c>
      <c r="H54" s="290">
        <v>0</v>
      </c>
      <c r="I54" s="290">
        <v>0</v>
      </c>
      <c r="J54" s="291">
        <f t="shared" si="0"/>
        <v>0</v>
      </c>
      <c r="K54" s="120"/>
    </row>
    <row r="55" spans="1:11" ht="15" customHeight="1" hidden="1">
      <c r="A55" s="288"/>
      <c r="B55" s="288"/>
      <c r="C55" s="289"/>
      <c r="D55" s="289" t="s">
        <v>163</v>
      </c>
      <c r="E55" s="289" t="s">
        <v>164</v>
      </c>
      <c r="F55" s="290"/>
      <c r="G55" s="290">
        <v>0</v>
      </c>
      <c r="H55" s="290">
        <v>0</v>
      </c>
      <c r="I55" s="290">
        <v>0</v>
      </c>
      <c r="J55" s="291">
        <f t="shared" si="0"/>
        <v>0</v>
      </c>
      <c r="K55" s="120"/>
    </row>
    <row r="56" spans="1:11" ht="12.75" hidden="1">
      <c r="A56" s="288"/>
      <c r="B56" s="288"/>
      <c r="C56" s="289"/>
      <c r="D56" s="289" t="s">
        <v>165</v>
      </c>
      <c r="E56" s="289" t="s">
        <v>166</v>
      </c>
      <c r="F56" s="290"/>
      <c r="G56" s="290">
        <v>0</v>
      </c>
      <c r="H56" s="290">
        <v>0</v>
      </c>
      <c r="I56" s="290">
        <v>0</v>
      </c>
      <c r="J56" s="291">
        <f t="shared" si="0"/>
        <v>0</v>
      </c>
      <c r="K56" s="120"/>
    </row>
    <row r="57" spans="1:11" s="73" customFormat="1" ht="12.75" hidden="1">
      <c r="A57" s="288"/>
      <c r="B57" s="288"/>
      <c r="C57" s="289"/>
      <c r="D57" s="289"/>
      <c r="E57" s="289" t="s">
        <v>158</v>
      </c>
      <c r="F57" s="290">
        <f>74295+190500</f>
        <v>264795</v>
      </c>
      <c r="G57" s="290">
        <v>0</v>
      </c>
      <c r="H57" s="290">
        <v>0</v>
      </c>
      <c r="I57" s="290">
        <v>0</v>
      </c>
      <c r="J57" s="291">
        <f t="shared" si="0"/>
        <v>264795</v>
      </c>
      <c r="K57" s="117"/>
    </row>
    <row r="58" spans="1:11" ht="12.75">
      <c r="A58" s="278" t="s">
        <v>231</v>
      </c>
      <c r="B58" s="691" t="s">
        <v>232</v>
      </c>
      <c r="C58" s="691"/>
      <c r="D58" s="691"/>
      <c r="E58" s="691"/>
      <c r="F58" s="279">
        <f>SUM(F59+F60+F61+F62+F65+F76)</f>
        <v>239700000</v>
      </c>
      <c r="G58" s="279">
        <f>SUM(G59+G60+G61+G62+G65+G76)</f>
        <v>0</v>
      </c>
      <c r="H58" s="279">
        <f>SUM(H59+H60+H61+H62+H65+H76)</f>
        <v>0</v>
      </c>
      <c r="I58" s="279">
        <f>SUM(I59+I60+I61+I62+I65+I76)</f>
        <v>0</v>
      </c>
      <c r="J58" s="279">
        <f t="shared" si="0"/>
        <v>239700000</v>
      </c>
      <c r="K58" s="118"/>
    </row>
    <row r="59" spans="1:11" ht="12.75">
      <c r="A59" s="280"/>
      <c r="B59" s="280" t="s">
        <v>233</v>
      </c>
      <c r="C59" s="692" t="s">
        <v>234</v>
      </c>
      <c r="D59" s="692"/>
      <c r="E59" s="692"/>
      <c r="F59" s="281">
        <v>50000</v>
      </c>
      <c r="G59" s="281">
        <v>0</v>
      </c>
      <c r="H59" s="281">
        <v>0</v>
      </c>
      <c r="I59" s="281">
        <v>0</v>
      </c>
      <c r="J59" s="282">
        <f t="shared" si="0"/>
        <v>50000</v>
      </c>
      <c r="K59" s="118"/>
    </row>
    <row r="60" spans="1:11" ht="12.75">
      <c r="A60" s="280"/>
      <c r="B60" s="280" t="s">
        <v>235</v>
      </c>
      <c r="C60" s="692" t="s">
        <v>236</v>
      </c>
      <c r="D60" s="692"/>
      <c r="E60" s="692"/>
      <c r="F60" s="281">
        <v>0</v>
      </c>
      <c r="G60" s="281">
        <v>0</v>
      </c>
      <c r="H60" s="281">
        <v>0</v>
      </c>
      <c r="I60" s="281">
        <v>0</v>
      </c>
      <c r="J60" s="282">
        <f t="shared" si="0"/>
        <v>0</v>
      </c>
      <c r="K60" s="118"/>
    </row>
    <row r="61" spans="1:11" ht="12.75">
      <c r="A61" s="280"/>
      <c r="B61" s="280" t="s">
        <v>237</v>
      </c>
      <c r="C61" s="692" t="s">
        <v>238</v>
      </c>
      <c r="D61" s="692"/>
      <c r="E61" s="692"/>
      <c r="F61" s="281">
        <v>0</v>
      </c>
      <c r="G61" s="281">
        <v>0</v>
      </c>
      <c r="H61" s="281">
        <v>0</v>
      </c>
      <c r="I61" s="281">
        <v>0</v>
      </c>
      <c r="J61" s="282">
        <f t="shared" si="0"/>
        <v>0</v>
      </c>
      <c r="K61" s="118"/>
    </row>
    <row r="62" spans="1:11" ht="12.75">
      <c r="A62" s="280"/>
      <c r="B62" s="280" t="s">
        <v>239</v>
      </c>
      <c r="C62" s="692" t="s">
        <v>240</v>
      </c>
      <c r="D62" s="692"/>
      <c r="E62" s="692"/>
      <c r="F62" s="281">
        <f>SUM(F63:F64)</f>
        <v>38850000</v>
      </c>
      <c r="G62" s="281">
        <f>SUM(G63:G64)</f>
        <v>0</v>
      </c>
      <c r="H62" s="281">
        <v>0</v>
      </c>
      <c r="I62" s="281">
        <v>0</v>
      </c>
      <c r="J62" s="282">
        <f t="shared" si="0"/>
        <v>38850000</v>
      </c>
      <c r="K62" s="120"/>
    </row>
    <row r="63" spans="1:11" ht="12.75">
      <c r="A63" s="288"/>
      <c r="B63" s="288"/>
      <c r="C63" s="289"/>
      <c r="D63" s="289"/>
      <c r="E63" s="289" t="s">
        <v>241</v>
      </c>
      <c r="F63" s="290">
        <v>38000000</v>
      </c>
      <c r="G63" s="290">
        <v>0</v>
      </c>
      <c r="H63" s="290">
        <v>0</v>
      </c>
      <c r="I63" s="290">
        <v>0</v>
      </c>
      <c r="J63" s="291">
        <f t="shared" si="0"/>
        <v>38000000</v>
      </c>
      <c r="K63" s="120"/>
    </row>
    <row r="64" spans="1:11" ht="12.75">
      <c r="A64" s="288"/>
      <c r="B64" s="288"/>
      <c r="C64" s="289"/>
      <c r="D64" s="289"/>
      <c r="E64" s="289" t="s">
        <v>242</v>
      </c>
      <c r="F64" s="290">
        <v>850000</v>
      </c>
      <c r="G64" s="290">
        <v>0</v>
      </c>
      <c r="H64" s="290">
        <v>0</v>
      </c>
      <c r="I64" s="290">
        <v>0</v>
      </c>
      <c r="J64" s="291">
        <f t="shared" si="0"/>
        <v>850000</v>
      </c>
      <c r="K64" s="118"/>
    </row>
    <row r="65" spans="1:11" ht="12.75">
      <c r="A65" s="280"/>
      <c r="B65" s="280" t="s">
        <v>243</v>
      </c>
      <c r="C65" s="692" t="s">
        <v>244</v>
      </c>
      <c r="D65" s="692"/>
      <c r="E65" s="692"/>
      <c r="F65" s="281">
        <f>SUM(F66+F69+F71+F72+F74)</f>
        <v>200150000</v>
      </c>
      <c r="G65" s="281">
        <f>SUM(G66+G69+G71+G72+G74)</f>
        <v>0</v>
      </c>
      <c r="H65" s="281">
        <v>0</v>
      </c>
      <c r="I65" s="281">
        <v>0</v>
      </c>
      <c r="J65" s="282">
        <f t="shared" si="0"/>
        <v>200150000</v>
      </c>
      <c r="K65" s="119"/>
    </row>
    <row r="66" spans="1:11" ht="12.75">
      <c r="A66" s="283"/>
      <c r="B66" s="283"/>
      <c r="C66" s="283" t="s">
        <v>245</v>
      </c>
      <c r="D66" s="283" t="s">
        <v>246</v>
      </c>
      <c r="E66" s="283"/>
      <c r="F66" s="284">
        <f>SUM(F67:F68)</f>
        <v>200150000</v>
      </c>
      <c r="G66" s="284">
        <f>SUM(G67:G68)</f>
        <v>0</v>
      </c>
      <c r="H66" s="284">
        <v>0</v>
      </c>
      <c r="I66" s="284">
        <v>0</v>
      </c>
      <c r="J66" s="285">
        <f t="shared" si="0"/>
        <v>200150000</v>
      </c>
      <c r="K66" s="120"/>
    </row>
    <row r="67" spans="1:11" ht="12.75">
      <c r="A67" s="288"/>
      <c r="B67" s="288"/>
      <c r="C67" s="289"/>
      <c r="D67" s="289"/>
      <c r="E67" s="289" t="s">
        <v>663</v>
      </c>
      <c r="F67" s="290">
        <v>200000000</v>
      </c>
      <c r="G67" s="290">
        <v>0</v>
      </c>
      <c r="H67" s="290">
        <v>0</v>
      </c>
      <c r="I67" s="290">
        <v>0</v>
      </c>
      <c r="J67" s="291">
        <f t="shared" si="0"/>
        <v>200000000</v>
      </c>
      <c r="K67" s="120"/>
    </row>
    <row r="68" spans="1:11" ht="12.75">
      <c r="A68" s="288"/>
      <c r="B68" s="288"/>
      <c r="C68" s="289"/>
      <c r="D68" s="289"/>
      <c r="E68" s="289" t="s">
        <v>664</v>
      </c>
      <c r="F68" s="290">
        <v>150000</v>
      </c>
      <c r="G68" s="290">
        <v>0</v>
      </c>
      <c r="H68" s="290">
        <v>0</v>
      </c>
      <c r="I68" s="290">
        <v>0</v>
      </c>
      <c r="J68" s="291">
        <f t="shared" si="0"/>
        <v>150000</v>
      </c>
      <c r="K68" s="119"/>
    </row>
    <row r="69" spans="1:11" ht="12" customHeight="1">
      <c r="A69" s="283"/>
      <c r="B69" s="283"/>
      <c r="C69" s="283" t="s">
        <v>247</v>
      </c>
      <c r="D69" s="283" t="s">
        <v>584</v>
      </c>
      <c r="E69" s="283"/>
      <c r="F69" s="284">
        <f>SUM(F70)</f>
        <v>0</v>
      </c>
      <c r="G69" s="284">
        <f>SUM(G70)</f>
        <v>0</v>
      </c>
      <c r="H69" s="284">
        <f>SUM(H70)</f>
        <v>0</v>
      </c>
      <c r="I69" s="284">
        <f>SUM(I70)</f>
        <v>0</v>
      </c>
      <c r="J69" s="285">
        <f t="shared" si="0"/>
        <v>0</v>
      </c>
      <c r="K69" s="119"/>
    </row>
    <row r="70" spans="1:11" ht="12.75" customHeight="1" hidden="1">
      <c r="A70" s="283"/>
      <c r="B70" s="283"/>
      <c r="C70" s="283"/>
      <c r="D70" s="283"/>
      <c r="E70" s="289" t="s">
        <v>585</v>
      </c>
      <c r="F70" s="284">
        <v>0</v>
      </c>
      <c r="G70" s="284">
        <v>0</v>
      </c>
      <c r="H70" s="284">
        <v>0</v>
      </c>
      <c r="I70" s="284">
        <v>0</v>
      </c>
      <c r="J70" s="285">
        <f t="shared" si="0"/>
        <v>0</v>
      </c>
      <c r="K70" s="119"/>
    </row>
    <row r="71" spans="1:11" ht="12.75">
      <c r="A71" s="283"/>
      <c r="B71" s="283"/>
      <c r="C71" s="283" t="s">
        <v>248</v>
      </c>
      <c r="D71" s="283" t="s">
        <v>249</v>
      </c>
      <c r="E71" s="283"/>
      <c r="F71" s="284">
        <v>0</v>
      </c>
      <c r="G71" s="284">
        <v>0</v>
      </c>
      <c r="H71" s="284">
        <v>0</v>
      </c>
      <c r="I71" s="284">
        <v>0</v>
      </c>
      <c r="J71" s="285">
        <f t="shared" si="0"/>
        <v>0</v>
      </c>
      <c r="K71" s="119"/>
    </row>
    <row r="72" spans="1:11" ht="12.75">
      <c r="A72" s="283"/>
      <c r="B72" s="283"/>
      <c r="C72" s="283" t="s">
        <v>250</v>
      </c>
      <c r="D72" s="283" t="s">
        <v>251</v>
      </c>
      <c r="E72" s="283"/>
      <c r="F72" s="284">
        <f>SUM(F73)</f>
        <v>0</v>
      </c>
      <c r="G72" s="284">
        <f>SUM(G73:G73)</f>
        <v>0</v>
      </c>
      <c r="H72" s="284">
        <v>0</v>
      </c>
      <c r="I72" s="284">
        <v>0</v>
      </c>
      <c r="J72" s="285">
        <f t="shared" si="0"/>
        <v>0</v>
      </c>
      <c r="K72" s="120"/>
    </row>
    <row r="73" spans="1:11" ht="12.75">
      <c r="A73" s="288"/>
      <c r="B73" s="288"/>
      <c r="C73" s="288"/>
      <c r="D73" s="289"/>
      <c r="E73" s="289" t="s">
        <v>665</v>
      </c>
      <c r="F73" s="290">
        <f>22000000-10269500-11730500</f>
        <v>0</v>
      </c>
      <c r="G73" s="290">
        <v>0</v>
      </c>
      <c r="H73" s="290">
        <v>0</v>
      </c>
      <c r="I73" s="290">
        <v>0</v>
      </c>
      <c r="J73" s="291">
        <f t="shared" si="0"/>
        <v>0</v>
      </c>
      <c r="K73" s="119"/>
    </row>
    <row r="74" spans="1:11" ht="10.5" customHeight="1">
      <c r="A74" s="283"/>
      <c r="B74" s="283"/>
      <c r="C74" s="283" t="s">
        <v>252</v>
      </c>
      <c r="D74" s="283" t="s">
        <v>253</v>
      </c>
      <c r="E74" s="283"/>
      <c r="F74" s="284">
        <f>SUM(F75:F75)</f>
        <v>0</v>
      </c>
      <c r="G74" s="284">
        <v>0</v>
      </c>
      <c r="H74" s="284">
        <v>0</v>
      </c>
      <c r="I74" s="284">
        <v>0</v>
      </c>
      <c r="J74" s="285">
        <f aca="true" t="shared" si="1" ref="J74:J137">SUM(F74:I74)</f>
        <v>0</v>
      </c>
      <c r="K74" s="120"/>
    </row>
    <row r="75" spans="1:11" ht="24.75" customHeight="1" hidden="1">
      <c r="A75" s="288"/>
      <c r="B75" s="288"/>
      <c r="C75" s="288"/>
      <c r="D75" s="289"/>
      <c r="E75" s="289" t="s">
        <v>255</v>
      </c>
      <c r="F75" s="290">
        <v>0</v>
      </c>
      <c r="G75" s="290">
        <v>0</v>
      </c>
      <c r="H75" s="290">
        <v>0</v>
      </c>
      <c r="I75" s="290">
        <v>0</v>
      </c>
      <c r="J75" s="291">
        <f t="shared" si="1"/>
        <v>0</v>
      </c>
      <c r="K75" s="118"/>
    </row>
    <row r="76" spans="1:11" ht="12.75" customHeight="1">
      <c r="A76" s="280"/>
      <c r="B76" s="280" t="s">
        <v>256</v>
      </c>
      <c r="C76" s="692" t="s">
        <v>257</v>
      </c>
      <c r="D76" s="692"/>
      <c r="E76" s="692"/>
      <c r="F76" s="281">
        <f>SUM(F77:F86)</f>
        <v>650000</v>
      </c>
      <c r="G76" s="281">
        <f>SUM(G77:G86)</f>
        <v>0</v>
      </c>
      <c r="H76" s="281">
        <f>SUM(H77:H86)</f>
        <v>0</v>
      </c>
      <c r="I76" s="281">
        <f>SUM(I77:I86)</f>
        <v>0</v>
      </c>
      <c r="J76" s="282">
        <f t="shared" si="1"/>
        <v>650000</v>
      </c>
      <c r="K76" s="120"/>
    </row>
    <row r="77" spans="1:11" ht="16.5" customHeight="1" hidden="1">
      <c r="A77" s="292"/>
      <c r="B77" s="292"/>
      <c r="C77" s="292"/>
      <c r="D77" s="289"/>
      <c r="E77" s="289" t="s">
        <v>258</v>
      </c>
      <c r="F77" s="290">
        <v>0</v>
      </c>
      <c r="G77" s="290">
        <v>0</v>
      </c>
      <c r="H77" s="290">
        <v>0</v>
      </c>
      <c r="I77" s="290">
        <v>0</v>
      </c>
      <c r="J77" s="291">
        <f t="shared" si="1"/>
        <v>0</v>
      </c>
      <c r="K77" s="120"/>
    </row>
    <row r="78" spans="1:11" ht="13.5" customHeight="1" hidden="1">
      <c r="A78" s="288"/>
      <c r="B78" s="288"/>
      <c r="C78" s="288"/>
      <c r="D78" s="289"/>
      <c r="E78" s="289" t="s">
        <v>259</v>
      </c>
      <c r="F78" s="290">
        <v>0</v>
      </c>
      <c r="G78" s="290"/>
      <c r="H78" s="290">
        <v>0</v>
      </c>
      <c r="I78" s="290">
        <v>0</v>
      </c>
      <c r="J78" s="291">
        <f t="shared" si="1"/>
        <v>0</v>
      </c>
      <c r="K78" s="120"/>
    </row>
    <row r="79" spans="1:11" ht="12.75" customHeight="1" hidden="1">
      <c r="A79" s="292"/>
      <c r="B79" s="292"/>
      <c r="C79" s="292"/>
      <c r="D79" s="289"/>
      <c r="E79" s="289" t="s">
        <v>260</v>
      </c>
      <c r="F79" s="290">
        <v>0</v>
      </c>
      <c r="G79" s="290">
        <v>0</v>
      </c>
      <c r="H79" s="290">
        <v>0</v>
      </c>
      <c r="I79" s="290">
        <v>0</v>
      </c>
      <c r="J79" s="291">
        <f t="shared" si="1"/>
        <v>0</v>
      </c>
      <c r="K79" s="120"/>
    </row>
    <row r="80" spans="1:11" ht="17.25" customHeight="1">
      <c r="A80" s="292"/>
      <c r="B80" s="292"/>
      <c r="C80" s="292"/>
      <c r="D80" s="289"/>
      <c r="E80" s="289" t="s">
        <v>254</v>
      </c>
      <c r="F80" s="290">
        <v>350000</v>
      </c>
      <c r="G80" s="290">
        <v>0</v>
      </c>
      <c r="H80" s="290">
        <v>0</v>
      </c>
      <c r="I80" s="290">
        <v>0</v>
      </c>
      <c r="J80" s="291">
        <f t="shared" si="1"/>
        <v>350000</v>
      </c>
      <c r="K80" s="120"/>
    </row>
    <row r="81" spans="1:11" ht="18.75" customHeight="1" hidden="1">
      <c r="A81" s="292"/>
      <c r="B81" s="292"/>
      <c r="C81" s="292"/>
      <c r="D81" s="289"/>
      <c r="E81" s="289" t="s">
        <v>261</v>
      </c>
      <c r="F81" s="290"/>
      <c r="G81" s="290">
        <v>0</v>
      </c>
      <c r="H81" s="290">
        <v>0</v>
      </c>
      <c r="I81" s="290">
        <v>0</v>
      </c>
      <c r="J81" s="291">
        <f t="shared" si="1"/>
        <v>0</v>
      </c>
      <c r="K81" s="120"/>
    </row>
    <row r="82" spans="1:11" ht="14.25" customHeight="1" hidden="1">
      <c r="A82" s="292"/>
      <c r="B82" s="292"/>
      <c r="C82" s="292"/>
      <c r="D82" s="289"/>
      <c r="E82" s="289" t="s">
        <v>262</v>
      </c>
      <c r="F82" s="290"/>
      <c r="G82" s="290">
        <v>0</v>
      </c>
      <c r="H82" s="290">
        <v>0</v>
      </c>
      <c r="I82" s="290">
        <v>0</v>
      </c>
      <c r="J82" s="291">
        <f t="shared" si="1"/>
        <v>0</v>
      </c>
      <c r="K82" s="120"/>
    </row>
    <row r="83" spans="1:11" ht="9.75" customHeight="1" hidden="1">
      <c r="A83" s="292"/>
      <c r="B83" s="292"/>
      <c r="C83" s="292"/>
      <c r="D83" s="289"/>
      <c r="E83" s="289" t="s">
        <v>627</v>
      </c>
      <c r="F83" s="290"/>
      <c r="G83" s="290">
        <v>0</v>
      </c>
      <c r="H83" s="290">
        <v>0</v>
      </c>
      <c r="I83" s="290">
        <v>0</v>
      </c>
      <c r="J83" s="291">
        <f t="shared" si="1"/>
        <v>0</v>
      </c>
      <c r="K83" s="120"/>
    </row>
    <row r="84" spans="1:11" ht="13.5" customHeight="1" hidden="1">
      <c r="A84" s="288"/>
      <c r="B84" s="288"/>
      <c r="C84" s="288"/>
      <c r="D84" s="288"/>
      <c r="E84" s="293" t="s">
        <v>666</v>
      </c>
      <c r="F84" s="290"/>
      <c r="G84" s="290">
        <v>0</v>
      </c>
      <c r="H84" s="290">
        <v>0</v>
      </c>
      <c r="I84" s="290">
        <v>0</v>
      </c>
      <c r="J84" s="291">
        <f t="shared" si="1"/>
        <v>0</v>
      </c>
      <c r="K84" s="120"/>
    </row>
    <row r="85" spans="1:11" ht="12.75" hidden="1">
      <c r="A85" s="292"/>
      <c r="B85" s="292"/>
      <c r="C85" s="292"/>
      <c r="D85" s="292"/>
      <c r="E85" s="289" t="s">
        <v>263</v>
      </c>
      <c r="F85" s="290"/>
      <c r="G85" s="290">
        <v>0</v>
      </c>
      <c r="H85" s="290">
        <v>0</v>
      </c>
      <c r="I85" s="290">
        <v>0</v>
      </c>
      <c r="J85" s="291">
        <f t="shared" si="1"/>
        <v>0</v>
      </c>
      <c r="K85" s="120"/>
    </row>
    <row r="86" spans="1:11" s="73" customFormat="1" ht="12.75">
      <c r="A86" s="288"/>
      <c r="B86" s="288"/>
      <c r="C86" s="288"/>
      <c r="D86" s="288"/>
      <c r="E86" s="289" t="s">
        <v>264</v>
      </c>
      <c r="F86" s="290">
        <v>300000</v>
      </c>
      <c r="G86" s="290">
        <v>0</v>
      </c>
      <c r="H86" s="290">
        <v>0</v>
      </c>
      <c r="I86" s="290">
        <v>0</v>
      </c>
      <c r="J86" s="291">
        <f t="shared" si="1"/>
        <v>300000</v>
      </c>
      <c r="K86" s="117"/>
    </row>
    <row r="87" spans="1:11" ht="12.75">
      <c r="A87" s="278" t="s">
        <v>265</v>
      </c>
      <c r="B87" s="691" t="s">
        <v>266</v>
      </c>
      <c r="C87" s="691"/>
      <c r="D87" s="691"/>
      <c r="E87" s="691"/>
      <c r="F87" s="279">
        <f>SUM(F88+F89+F92+F94+F101+F102+F103+F104+F111+F119+F120)</f>
        <v>53669771</v>
      </c>
      <c r="G87" s="279">
        <f>SUM(G88+G89+G92+G94+G101+G102+G103+G104+G111+G119+G120)</f>
        <v>5787349</v>
      </c>
      <c r="H87" s="279">
        <f>SUM(H88+H89+H92+H94+H101+H102+H103+H104+H111+H119+H120)</f>
        <v>1411725</v>
      </c>
      <c r="I87" s="279">
        <f>SUM(I88+I89+I92+I94+I101+I102+I103+I104+I111+I119+I120)</f>
        <v>10586950</v>
      </c>
      <c r="J87" s="279">
        <f t="shared" si="1"/>
        <v>71455795</v>
      </c>
      <c r="K87" s="119"/>
    </row>
    <row r="88" spans="1:11" ht="12.75">
      <c r="A88" s="283"/>
      <c r="B88" s="283"/>
      <c r="C88" s="283" t="s">
        <v>267</v>
      </c>
      <c r="D88" s="283" t="s">
        <v>542</v>
      </c>
      <c r="E88" s="283"/>
      <c r="F88" s="284">
        <f>9000000+500000</f>
        <v>9500000</v>
      </c>
      <c r="G88" s="284">
        <v>0</v>
      </c>
      <c r="H88" s="284">
        <v>0</v>
      </c>
      <c r="I88" s="284">
        <v>0</v>
      </c>
      <c r="J88" s="285">
        <f t="shared" si="1"/>
        <v>9500000</v>
      </c>
      <c r="K88" s="119"/>
    </row>
    <row r="89" spans="1:11" ht="12.75">
      <c r="A89" s="283"/>
      <c r="B89" s="283"/>
      <c r="C89" s="283" t="s">
        <v>268</v>
      </c>
      <c r="D89" s="283" t="s">
        <v>340</v>
      </c>
      <c r="E89" s="283"/>
      <c r="F89" s="284">
        <f>6000000+10142978+342137</f>
        <v>16485115</v>
      </c>
      <c r="G89" s="284">
        <v>250000</v>
      </c>
      <c r="H89" s="284">
        <v>0</v>
      </c>
      <c r="I89" s="284">
        <f>90000+4520000+536221+3402559</f>
        <v>8548780</v>
      </c>
      <c r="J89" s="285">
        <f t="shared" si="1"/>
        <v>25283895</v>
      </c>
      <c r="K89" s="120"/>
    </row>
    <row r="90" spans="1:11" ht="12.75">
      <c r="A90" s="288"/>
      <c r="B90" s="288"/>
      <c r="C90" s="289" t="s">
        <v>2</v>
      </c>
      <c r="D90" s="289"/>
      <c r="E90" s="289" t="s">
        <v>269</v>
      </c>
      <c r="F90" s="294">
        <v>10142978</v>
      </c>
      <c r="G90" s="294">
        <v>0</v>
      </c>
      <c r="H90" s="290">
        <v>0</v>
      </c>
      <c r="I90" s="290">
        <v>320000</v>
      </c>
      <c r="J90" s="291">
        <f t="shared" si="1"/>
        <v>10462978</v>
      </c>
      <c r="K90" s="120"/>
    </row>
    <row r="91" spans="1:11" ht="12.75" hidden="1">
      <c r="A91" s="288"/>
      <c r="B91" s="288"/>
      <c r="C91" s="289"/>
      <c r="D91" s="289"/>
      <c r="E91" s="289" t="s">
        <v>887</v>
      </c>
      <c r="F91" s="290"/>
      <c r="G91" s="290">
        <v>0</v>
      </c>
      <c r="H91" s="290">
        <v>0</v>
      </c>
      <c r="I91" s="290">
        <v>0</v>
      </c>
      <c r="J91" s="291">
        <f t="shared" si="1"/>
        <v>0</v>
      </c>
      <c r="K91" s="119"/>
    </row>
    <row r="92" spans="1:11" ht="12.75">
      <c r="A92" s="283"/>
      <c r="B92" s="283"/>
      <c r="C92" s="283" t="s">
        <v>270</v>
      </c>
      <c r="D92" s="283" t="s">
        <v>271</v>
      </c>
      <c r="E92" s="283"/>
      <c r="F92" s="284">
        <f>472000+2666578</f>
        <v>3138578</v>
      </c>
      <c r="G92" s="284">
        <v>4549259</v>
      </c>
      <c r="H92" s="284">
        <v>0</v>
      </c>
      <c r="I92" s="284">
        <v>0</v>
      </c>
      <c r="J92" s="285">
        <f t="shared" si="1"/>
        <v>7687837</v>
      </c>
      <c r="K92" s="120"/>
    </row>
    <row r="93" spans="1:11" ht="12.75">
      <c r="A93" s="288"/>
      <c r="B93" s="288"/>
      <c r="C93" s="289" t="s">
        <v>2</v>
      </c>
      <c r="D93" s="289"/>
      <c r="E93" s="289" t="s">
        <v>7</v>
      </c>
      <c r="F93" s="290">
        <f>370000+1528712</f>
        <v>1898712</v>
      </c>
      <c r="G93" s="290">
        <v>688235</v>
      </c>
      <c r="H93" s="290">
        <v>0</v>
      </c>
      <c r="I93" s="290">
        <v>0</v>
      </c>
      <c r="J93" s="291">
        <f t="shared" si="1"/>
        <v>2586947</v>
      </c>
      <c r="K93" s="119"/>
    </row>
    <row r="94" spans="1:11" ht="12.75">
      <c r="A94" s="283"/>
      <c r="B94" s="283"/>
      <c r="C94" s="283" t="s">
        <v>272</v>
      </c>
      <c r="D94" s="283" t="s">
        <v>273</v>
      </c>
      <c r="E94" s="283"/>
      <c r="F94" s="284">
        <f>15000+731000</f>
        <v>746000</v>
      </c>
      <c r="G94" s="284">
        <v>0</v>
      </c>
      <c r="H94" s="284">
        <v>0</v>
      </c>
      <c r="I94" s="284">
        <v>0</v>
      </c>
      <c r="J94" s="285">
        <f t="shared" si="1"/>
        <v>746000</v>
      </c>
      <c r="K94" s="120"/>
    </row>
    <row r="95" spans="1:11" ht="2.25" customHeight="1" hidden="1">
      <c r="A95" s="288"/>
      <c r="B95" s="288"/>
      <c r="C95" s="289" t="s">
        <v>2</v>
      </c>
      <c r="D95" s="289"/>
      <c r="E95" s="289" t="s">
        <v>274</v>
      </c>
      <c r="F95" s="290"/>
      <c r="G95" s="290">
        <v>0</v>
      </c>
      <c r="H95" s="290">
        <v>0</v>
      </c>
      <c r="I95" s="290">
        <v>0</v>
      </c>
      <c r="J95" s="291">
        <f t="shared" si="1"/>
        <v>0</v>
      </c>
      <c r="K95" s="120"/>
    </row>
    <row r="96" spans="1:11" ht="12" customHeight="1" hidden="1">
      <c r="A96" s="288"/>
      <c r="B96" s="288"/>
      <c r="C96" s="289"/>
      <c r="D96" s="289"/>
      <c r="E96" s="289" t="s">
        <v>667</v>
      </c>
      <c r="F96" s="290"/>
      <c r="G96" s="290">
        <v>0</v>
      </c>
      <c r="H96" s="290">
        <v>0</v>
      </c>
      <c r="I96" s="290">
        <v>0</v>
      </c>
      <c r="J96" s="291">
        <f t="shared" si="1"/>
        <v>0</v>
      </c>
      <c r="K96" s="120"/>
    </row>
    <row r="97" spans="1:11" ht="12.75">
      <c r="A97" s="288"/>
      <c r="B97" s="288"/>
      <c r="C97" s="289" t="s">
        <v>2</v>
      </c>
      <c r="D97" s="289"/>
      <c r="E97" s="289" t="s">
        <v>668</v>
      </c>
      <c r="F97" s="290">
        <f>15000+481000</f>
        <v>496000</v>
      </c>
      <c r="G97" s="290">
        <v>0</v>
      </c>
      <c r="H97" s="290">
        <v>0</v>
      </c>
      <c r="I97" s="290">
        <v>0</v>
      </c>
      <c r="J97" s="291">
        <f t="shared" si="1"/>
        <v>496000</v>
      </c>
      <c r="K97" s="120"/>
    </row>
    <row r="98" spans="1:11" ht="0.75" customHeight="1">
      <c r="A98" s="288"/>
      <c r="B98" s="288"/>
      <c r="C98" s="289"/>
      <c r="D98" s="289"/>
      <c r="E98" s="289" t="s">
        <v>669</v>
      </c>
      <c r="F98" s="290"/>
      <c r="G98" s="290">
        <v>0</v>
      </c>
      <c r="H98" s="290">
        <v>0</v>
      </c>
      <c r="I98" s="290">
        <v>0</v>
      </c>
      <c r="J98" s="291">
        <f t="shared" si="1"/>
        <v>0</v>
      </c>
      <c r="K98" s="120"/>
    </row>
    <row r="99" spans="1:11" ht="12.75" hidden="1">
      <c r="A99" s="288"/>
      <c r="B99" s="288"/>
      <c r="C99" s="289"/>
      <c r="D99" s="289"/>
      <c r="E99" s="289" t="s">
        <v>670</v>
      </c>
      <c r="F99" s="290"/>
      <c r="G99" s="290">
        <v>0</v>
      </c>
      <c r="H99" s="290">
        <v>0</v>
      </c>
      <c r="I99" s="290">
        <v>0</v>
      </c>
      <c r="J99" s="291">
        <f t="shared" si="1"/>
        <v>0</v>
      </c>
      <c r="K99" s="120"/>
    </row>
    <row r="100" spans="1:11" ht="12.75" hidden="1">
      <c r="A100" s="288"/>
      <c r="B100" s="288"/>
      <c r="C100" s="289"/>
      <c r="D100" s="289"/>
      <c r="E100" s="289" t="s">
        <v>543</v>
      </c>
      <c r="F100" s="290"/>
      <c r="G100" s="290">
        <v>0</v>
      </c>
      <c r="H100" s="290">
        <v>0</v>
      </c>
      <c r="I100" s="290">
        <v>0</v>
      </c>
      <c r="J100" s="291">
        <f t="shared" si="1"/>
        <v>0</v>
      </c>
      <c r="K100" s="119"/>
    </row>
    <row r="101" spans="1:11" ht="12.75">
      <c r="A101" s="283"/>
      <c r="B101" s="283"/>
      <c r="C101" s="283" t="s">
        <v>275</v>
      </c>
      <c r="D101" s="283" t="s">
        <v>276</v>
      </c>
      <c r="E101" s="283"/>
      <c r="F101" s="284">
        <f>5925110+12898200+635625</f>
        <v>19458935</v>
      </c>
      <c r="G101" s="284">
        <v>0</v>
      </c>
      <c r="H101" s="284">
        <v>1111594</v>
      </c>
      <c r="I101" s="284">
        <v>0</v>
      </c>
      <c r="J101" s="285">
        <f t="shared" si="1"/>
        <v>20570529</v>
      </c>
      <c r="K101" s="119"/>
    </row>
    <row r="102" spans="1:11" ht="12.75">
      <c r="A102" s="283"/>
      <c r="B102" s="283"/>
      <c r="C102" s="283" t="s">
        <v>277</v>
      </c>
      <c r="D102" s="283" t="s">
        <v>278</v>
      </c>
      <c r="E102" s="283"/>
      <c r="F102" s="284">
        <f>1599780+1755000+127440+686046+92377</f>
        <v>4260643</v>
      </c>
      <c r="G102" s="284">
        <v>988090</v>
      </c>
      <c r="H102" s="284">
        <v>300131</v>
      </c>
      <c r="I102" s="284">
        <f>24300+950400+144779+918691</f>
        <v>2038170</v>
      </c>
      <c r="J102" s="285">
        <f t="shared" si="1"/>
        <v>7587034</v>
      </c>
      <c r="K102" s="119"/>
    </row>
    <row r="103" spans="1:11" ht="12" customHeight="1">
      <c r="A103" s="283"/>
      <c r="B103" s="283"/>
      <c r="C103" s="283" t="s">
        <v>279</v>
      </c>
      <c r="D103" s="283" t="s">
        <v>280</v>
      </c>
      <c r="E103" s="283"/>
      <c r="F103" s="284">
        <v>0</v>
      </c>
      <c r="G103" s="284">
        <v>0</v>
      </c>
      <c r="H103" s="284">
        <v>0</v>
      </c>
      <c r="I103" s="284">
        <v>0</v>
      </c>
      <c r="J103" s="285">
        <f t="shared" si="1"/>
        <v>0</v>
      </c>
      <c r="K103" s="119"/>
    </row>
    <row r="104" spans="1:11" ht="14.25" customHeight="1">
      <c r="A104" s="283"/>
      <c r="B104" s="283"/>
      <c r="C104" s="283" t="s">
        <v>281</v>
      </c>
      <c r="D104" s="283" t="s">
        <v>586</v>
      </c>
      <c r="E104" s="283"/>
      <c r="F104" s="284">
        <v>500</v>
      </c>
      <c r="G104" s="284">
        <f>SUM(G105+G108)</f>
        <v>0</v>
      </c>
      <c r="H104" s="284">
        <f>SUM(H105+H108)</f>
        <v>0</v>
      </c>
      <c r="I104" s="284">
        <f>SUM(I105+I108)</f>
        <v>0</v>
      </c>
      <c r="J104" s="285">
        <f t="shared" si="1"/>
        <v>500</v>
      </c>
      <c r="K104" s="120"/>
    </row>
    <row r="105" spans="1:11" ht="11.25" customHeight="1" hidden="1">
      <c r="A105" s="283"/>
      <c r="B105" s="283"/>
      <c r="C105" s="289"/>
      <c r="D105" s="700" t="s">
        <v>671</v>
      </c>
      <c r="E105" s="701"/>
      <c r="F105" s="290"/>
      <c r="G105" s="290">
        <v>0</v>
      </c>
      <c r="H105" s="290">
        <v>0</v>
      </c>
      <c r="I105" s="290">
        <v>0</v>
      </c>
      <c r="J105" s="291">
        <f t="shared" si="1"/>
        <v>0</v>
      </c>
      <c r="K105" s="120"/>
    </row>
    <row r="106" spans="1:11" ht="9.75" customHeight="1" hidden="1">
      <c r="A106" s="283"/>
      <c r="B106" s="283"/>
      <c r="C106" s="283" t="s">
        <v>2</v>
      </c>
      <c r="D106" s="283"/>
      <c r="E106" s="289" t="s">
        <v>7</v>
      </c>
      <c r="F106" s="290"/>
      <c r="G106" s="290">
        <v>0</v>
      </c>
      <c r="H106" s="290">
        <v>0</v>
      </c>
      <c r="I106" s="290">
        <v>0</v>
      </c>
      <c r="J106" s="291">
        <f t="shared" si="1"/>
        <v>0</v>
      </c>
      <c r="K106" s="120"/>
    </row>
    <row r="107" spans="1:11" ht="20.25" customHeight="1" hidden="1">
      <c r="A107" s="283"/>
      <c r="B107" s="283"/>
      <c r="C107" s="283"/>
      <c r="D107" s="283"/>
      <c r="E107" s="289" t="s">
        <v>672</v>
      </c>
      <c r="F107" s="290"/>
      <c r="G107" s="290">
        <v>0</v>
      </c>
      <c r="H107" s="290">
        <v>0</v>
      </c>
      <c r="I107" s="290">
        <v>0</v>
      </c>
      <c r="J107" s="291">
        <f t="shared" si="1"/>
        <v>0</v>
      </c>
      <c r="K107" s="120"/>
    </row>
    <row r="108" spans="1:11" ht="10.5" customHeight="1">
      <c r="A108" s="283"/>
      <c r="B108" s="283"/>
      <c r="C108" s="283" t="s">
        <v>2</v>
      </c>
      <c r="D108" s="700" t="s">
        <v>588</v>
      </c>
      <c r="E108" s="701"/>
      <c r="F108" s="290">
        <v>0</v>
      </c>
      <c r="G108" s="290">
        <v>0</v>
      </c>
      <c r="H108" s="290">
        <v>0</v>
      </c>
      <c r="I108" s="290">
        <v>0</v>
      </c>
      <c r="J108" s="291">
        <f t="shared" si="1"/>
        <v>0</v>
      </c>
      <c r="K108" s="120"/>
    </row>
    <row r="109" spans="1:11" ht="12.75" customHeight="1" hidden="1">
      <c r="A109" s="283"/>
      <c r="B109" s="283"/>
      <c r="C109" s="283"/>
      <c r="D109" s="283"/>
      <c r="E109" s="289" t="s">
        <v>7</v>
      </c>
      <c r="F109" s="290"/>
      <c r="G109" s="290">
        <v>0</v>
      </c>
      <c r="H109" s="290">
        <v>0</v>
      </c>
      <c r="I109" s="290">
        <v>0</v>
      </c>
      <c r="J109" s="291">
        <f t="shared" si="1"/>
        <v>0</v>
      </c>
      <c r="K109" s="120"/>
    </row>
    <row r="110" spans="1:11" ht="12.75" hidden="1">
      <c r="A110" s="283"/>
      <c r="B110" s="283"/>
      <c r="C110" s="283"/>
      <c r="D110" s="283"/>
      <c r="E110" s="289" t="s">
        <v>544</v>
      </c>
      <c r="F110" s="290"/>
      <c r="G110" s="290">
        <v>0</v>
      </c>
      <c r="H110" s="290">
        <v>0</v>
      </c>
      <c r="I110" s="290">
        <v>0</v>
      </c>
      <c r="J110" s="291">
        <f t="shared" si="1"/>
        <v>0</v>
      </c>
      <c r="K110" s="119"/>
    </row>
    <row r="111" spans="1:11" ht="15" customHeight="1">
      <c r="A111" s="283"/>
      <c r="B111" s="283"/>
      <c r="C111" s="283" t="s">
        <v>282</v>
      </c>
      <c r="D111" s="283" t="s">
        <v>591</v>
      </c>
      <c r="E111" s="283"/>
      <c r="F111" s="284">
        <v>0</v>
      </c>
      <c r="G111" s="284">
        <f>SUM(G112:G113)</f>
        <v>0</v>
      </c>
      <c r="H111" s="284">
        <f>SUM(H112:H113)</f>
        <v>0</v>
      </c>
      <c r="I111" s="284">
        <f>SUM(I112:I113)</f>
        <v>0</v>
      </c>
      <c r="J111" s="285">
        <f t="shared" si="1"/>
        <v>0</v>
      </c>
      <c r="K111" s="119"/>
    </row>
    <row r="112" spans="1:11" ht="13.5" customHeight="1" hidden="1">
      <c r="A112" s="283"/>
      <c r="B112" s="283"/>
      <c r="C112" s="283"/>
      <c r="D112" s="700" t="s">
        <v>589</v>
      </c>
      <c r="E112" s="701"/>
      <c r="F112" s="284"/>
      <c r="G112" s="284">
        <v>0</v>
      </c>
      <c r="H112" s="284">
        <v>0</v>
      </c>
      <c r="I112" s="284">
        <v>0</v>
      </c>
      <c r="J112" s="285">
        <f t="shared" si="1"/>
        <v>0</v>
      </c>
      <c r="K112" s="119"/>
    </row>
    <row r="113" spans="1:11" ht="13.5" customHeight="1" hidden="1">
      <c r="A113" s="283"/>
      <c r="B113" s="283"/>
      <c r="C113" s="283"/>
      <c r="D113" s="700" t="s">
        <v>590</v>
      </c>
      <c r="E113" s="701"/>
      <c r="F113" s="284"/>
      <c r="G113" s="284">
        <v>0</v>
      </c>
      <c r="H113" s="284">
        <v>0</v>
      </c>
      <c r="I113" s="284">
        <v>0</v>
      </c>
      <c r="J113" s="285">
        <f t="shared" si="1"/>
        <v>0</v>
      </c>
      <c r="K113" s="119"/>
    </row>
    <row r="114" spans="1:11" ht="21" customHeight="1" hidden="1">
      <c r="A114" s="283"/>
      <c r="B114" s="283"/>
      <c r="C114" s="283" t="s">
        <v>2</v>
      </c>
      <c r="D114" s="283"/>
      <c r="E114" s="289" t="s">
        <v>592</v>
      </c>
      <c r="F114" s="284"/>
      <c r="G114" s="284">
        <v>0</v>
      </c>
      <c r="H114" s="284">
        <v>0</v>
      </c>
      <c r="I114" s="284">
        <v>0</v>
      </c>
      <c r="J114" s="285">
        <f t="shared" si="1"/>
        <v>0</v>
      </c>
      <c r="K114" s="119"/>
    </row>
    <row r="115" spans="1:11" ht="8.25" customHeight="1" hidden="1">
      <c r="A115" s="283"/>
      <c r="B115" s="283"/>
      <c r="C115" s="283"/>
      <c r="D115" s="283"/>
      <c r="E115" s="289" t="s">
        <v>587</v>
      </c>
      <c r="F115" s="284"/>
      <c r="G115" s="284">
        <v>0</v>
      </c>
      <c r="H115" s="284">
        <v>0</v>
      </c>
      <c r="I115" s="284">
        <v>0</v>
      </c>
      <c r="J115" s="285">
        <f t="shared" si="1"/>
        <v>0</v>
      </c>
      <c r="K115" s="119"/>
    </row>
    <row r="116" spans="1:11" ht="13.5" customHeight="1" hidden="1">
      <c r="A116" s="283"/>
      <c r="B116" s="283"/>
      <c r="C116" s="283"/>
      <c r="D116" s="283"/>
      <c r="E116" s="289" t="s">
        <v>593</v>
      </c>
      <c r="F116" s="284"/>
      <c r="G116" s="284">
        <v>0</v>
      </c>
      <c r="H116" s="284">
        <v>0</v>
      </c>
      <c r="I116" s="284">
        <v>0</v>
      </c>
      <c r="J116" s="285">
        <f t="shared" si="1"/>
        <v>0</v>
      </c>
      <c r="K116" s="119"/>
    </row>
    <row r="117" spans="1:11" ht="12" customHeight="1" hidden="1">
      <c r="A117" s="283"/>
      <c r="B117" s="283"/>
      <c r="C117" s="283"/>
      <c r="D117" s="283"/>
      <c r="E117" s="289" t="s">
        <v>594</v>
      </c>
      <c r="F117" s="284"/>
      <c r="G117" s="284">
        <v>0</v>
      </c>
      <c r="H117" s="284">
        <v>0</v>
      </c>
      <c r="I117" s="284">
        <v>0</v>
      </c>
      <c r="J117" s="285">
        <f t="shared" si="1"/>
        <v>0</v>
      </c>
      <c r="K117" s="119"/>
    </row>
    <row r="118" spans="1:11" ht="17.25" customHeight="1" hidden="1">
      <c r="A118" s="283"/>
      <c r="B118" s="283"/>
      <c r="C118" s="283"/>
      <c r="D118" s="283"/>
      <c r="E118" s="289" t="s">
        <v>595</v>
      </c>
      <c r="F118" s="284"/>
      <c r="G118" s="284">
        <v>0</v>
      </c>
      <c r="H118" s="284">
        <v>0</v>
      </c>
      <c r="I118" s="284">
        <v>0</v>
      </c>
      <c r="J118" s="285">
        <f t="shared" si="1"/>
        <v>0</v>
      </c>
      <c r="K118" s="119"/>
    </row>
    <row r="119" spans="1:11" ht="22.5" customHeight="1">
      <c r="A119" s="283"/>
      <c r="B119" s="283"/>
      <c r="C119" s="283" t="s">
        <v>283</v>
      </c>
      <c r="D119" s="283" t="s">
        <v>545</v>
      </c>
      <c r="E119" s="283"/>
      <c r="F119" s="284">
        <v>0</v>
      </c>
      <c r="G119" s="284">
        <v>0</v>
      </c>
      <c r="H119" s="284">
        <v>0</v>
      </c>
      <c r="I119" s="284">
        <v>0</v>
      </c>
      <c r="J119" s="285">
        <f t="shared" si="1"/>
        <v>0</v>
      </c>
      <c r="K119" s="119"/>
    </row>
    <row r="120" spans="1:11" ht="20.25" customHeight="1">
      <c r="A120" s="283"/>
      <c r="B120" s="283"/>
      <c r="C120" s="307" t="s">
        <v>546</v>
      </c>
      <c r="D120" s="702" t="s">
        <v>547</v>
      </c>
      <c r="E120" s="702"/>
      <c r="F120" s="309">
        <f>80000+10959511-10959511</f>
        <v>80000</v>
      </c>
      <c r="G120" s="309">
        <v>0</v>
      </c>
      <c r="H120" s="309">
        <v>0</v>
      </c>
      <c r="I120" s="309">
        <v>0</v>
      </c>
      <c r="J120" s="310">
        <f t="shared" si="1"/>
        <v>80000</v>
      </c>
      <c r="K120" s="120"/>
    </row>
    <row r="121" spans="1:11" ht="9.75" customHeight="1" hidden="1">
      <c r="A121" s="287"/>
      <c r="B121" s="287"/>
      <c r="C121" s="295" t="s">
        <v>2</v>
      </c>
      <c r="D121" s="293" t="s">
        <v>447</v>
      </c>
      <c r="E121" s="293" t="s">
        <v>569</v>
      </c>
      <c r="F121" s="290">
        <v>0</v>
      </c>
      <c r="G121" s="290">
        <v>0</v>
      </c>
      <c r="H121" s="290">
        <v>0</v>
      </c>
      <c r="I121" s="290">
        <v>0</v>
      </c>
      <c r="J121" s="291">
        <f t="shared" si="1"/>
        <v>0</v>
      </c>
      <c r="K121" s="120"/>
    </row>
    <row r="122" spans="1:11" s="73" customFormat="1" ht="12.75" hidden="1">
      <c r="A122" s="288"/>
      <c r="B122" s="288"/>
      <c r="C122" s="288"/>
      <c r="D122" s="289" t="s">
        <v>447</v>
      </c>
      <c r="E122" s="296" t="s">
        <v>596</v>
      </c>
      <c r="F122" s="290"/>
      <c r="G122" s="290">
        <v>0</v>
      </c>
      <c r="H122" s="290">
        <v>0</v>
      </c>
      <c r="I122" s="290">
        <v>0</v>
      </c>
      <c r="J122" s="291">
        <f t="shared" si="1"/>
        <v>0</v>
      </c>
      <c r="K122" s="117"/>
    </row>
    <row r="123" spans="1:11" s="73" customFormat="1" ht="12.75">
      <c r="A123" s="278" t="s">
        <v>284</v>
      </c>
      <c r="B123" s="691" t="s">
        <v>285</v>
      </c>
      <c r="C123" s="691"/>
      <c r="D123" s="691"/>
      <c r="E123" s="691"/>
      <c r="F123" s="279">
        <f>SUM(F124+F126+F128+F129+F130)</f>
        <v>57599464</v>
      </c>
      <c r="G123" s="279">
        <f>SUM(G124+G126+G128+G129+G130)</f>
        <v>0</v>
      </c>
      <c r="H123" s="279">
        <f>SUM(H124+H126+H128+H129+H130)</f>
        <v>0</v>
      </c>
      <c r="I123" s="279">
        <f>SUM(I124+I126+I128+I129+I130)</f>
        <v>0</v>
      </c>
      <c r="J123" s="279">
        <f t="shared" si="1"/>
        <v>57599464</v>
      </c>
      <c r="K123" s="117"/>
    </row>
    <row r="124" spans="1:11" ht="12.75">
      <c r="A124" s="280"/>
      <c r="B124" s="280" t="s">
        <v>286</v>
      </c>
      <c r="C124" s="692" t="s">
        <v>341</v>
      </c>
      <c r="D124" s="692"/>
      <c r="E124" s="692"/>
      <c r="F124" s="281">
        <v>0</v>
      </c>
      <c r="G124" s="281">
        <v>0</v>
      </c>
      <c r="H124" s="281">
        <v>0</v>
      </c>
      <c r="I124" s="281">
        <v>0</v>
      </c>
      <c r="J124" s="282">
        <f t="shared" si="1"/>
        <v>0</v>
      </c>
      <c r="K124" s="118"/>
    </row>
    <row r="125" spans="1:11" ht="12.75" hidden="1">
      <c r="A125" s="288"/>
      <c r="B125" s="288"/>
      <c r="C125" s="289" t="s">
        <v>2</v>
      </c>
      <c r="D125" s="289" t="s">
        <v>447</v>
      </c>
      <c r="E125" s="289" t="s">
        <v>644</v>
      </c>
      <c r="F125" s="290">
        <v>0</v>
      </c>
      <c r="G125" s="290">
        <v>0</v>
      </c>
      <c r="H125" s="290">
        <v>0</v>
      </c>
      <c r="I125" s="290">
        <v>0</v>
      </c>
      <c r="J125" s="291">
        <f t="shared" si="1"/>
        <v>0</v>
      </c>
      <c r="K125" s="120"/>
    </row>
    <row r="126" spans="1:11" ht="12.75">
      <c r="A126" s="280"/>
      <c r="B126" s="280" t="s">
        <v>287</v>
      </c>
      <c r="C126" s="692" t="s">
        <v>288</v>
      </c>
      <c r="D126" s="692"/>
      <c r="E126" s="692"/>
      <c r="F126" s="281">
        <f>44406964+1500000+1000000+11730500-1038000</f>
        <v>57599464</v>
      </c>
      <c r="G126" s="281">
        <v>0</v>
      </c>
      <c r="H126" s="281">
        <v>0</v>
      </c>
      <c r="I126" s="281">
        <v>0</v>
      </c>
      <c r="J126" s="282">
        <f t="shared" si="1"/>
        <v>57599464</v>
      </c>
      <c r="K126" s="118"/>
    </row>
    <row r="127" spans="1:11" ht="12.75" hidden="1">
      <c r="A127" s="288"/>
      <c r="B127" s="288"/>
      <c r="C127" s="289" t="s">
        <v>2</v>
      </c>
      <c r="D127" s="289" t="s">
        <v>447</v>
      </c>
      <c r="E127" s="289" t="s">
        <v>289</v>
      </c>
      <c r="F127" s="290">
        <v>0</v>
      </c>
      <c r="G127" s="290">
        <v>0</v>
      </c>
      <c r="H127" s="290">
        <v>0</v>
      </c>
      <c r="I127" s="290">
        <v>0</v>
      </c>
      <c r="J127" s="291">
        <f t="shared" si="1"/>
        <v>0</v>
      </c>
      <c r="K127" s="120"/>
    </row>
    <row r="128" spans="1:11" ht="12.75" hidden="1">
      <c r="A128" s="280"/>
      <c r="B128" s="280" t="s">
        <v>290</v>
      </c>
      <c r="C128" s="692" t="s">
        <v>291</v>
      </c>
      <c r="D128" s="692"/>
      <c r="E128" s="692"/>
      <c r="F128" s="281">
        <v>0</v>
      </c>
      <c r="G128" s="281">
        <v>0</v>
      </c>
      <c r="H128" s="281">
        <v>0</v>
      </c>
      <c r="I128" s="281">
        <v>0</v>
      </c>
      <c r="J128" s="282">
        <f t="shared" si="1"/>
        <v>0</v>
      </c>
      <c r="K128" s="118"/>
    </row>
    <row r="129" spans="1:11" ht="12.75" hidden="1">
      <c r="A129" s="280"/>
      <c r="B129" s="280" t="s">
        <v>292</v>
      </c>
      <c r="C129" s="692" t="s">
        <v>293</v>
      </c>
      <c r="D129" s="692"/>
      <c r="E129" s="692"/>
      <c r="F129" s="281">
        <v>0</v>
      </c>
      <c r="G129" s="281">
        <v>0</v>
      </c>
      <c r="H129" s="281">
        <v>0</v>
      </c>
      <c r="I129" s="281">
        <v>0</v>
      </c>
      <c r="J129" s="282">
        <f t="shared" si="1"/>
        <v>0</v>
      </c>
      <c r="K129" s="118"/>
    </row>
    <row r="130" spans="1:11" ht="12.75" hidden="1">
      <c r="A130" s="280"/>
      <c r="B130" s="280" t="s">
        <v>294</v>
      </c>
      <c r="C130" s="692" t="s">
        <v>295</v>
      </c>
      <c r="D130" s="692"/>
      <c r="E130" s="692"/>
      <c r="F130" s="281">
        <v>0</v>
      </c>
      <c r="G130" s="281">
        <v>0</v>
      </c>
      <c r="H130" s="281">
        <v>0</v>
      </c>
      <c r="I130" s="281">
        <v>0</v>
      </c>
      <c r="J130" s="282">
        <f t="shared" si="1"/>
        <v>0</v>
      </c>
      <c r="K130" s="118"/>
    </row>
    <row r="131" spans="1:11" s="73" customFormat="1" ht="28.5" customHeight="1">
      <c r="A131" s="278" t="s">
        <v>296</v>
      </c>
      <c r="B131" s="691" t="s">
        <v>297</v>
      </c>
      <c r="C131" s="691"/>
      <c r="D131" s="691"/>
      <c r="E131" s="691"/>
      <c r="F131" s="279">
        <f>SUM(F132+F133+F134+F135+F145)</f>
        <v>375000</v>
      </c>
      <c r="G131" s="279">
        <f>SUM(G132+G133+G134+G135+G145)</f>
        <v>0</v>
      </c>
      <c r="H131" s="279">
        <f>SUM(H132+H133+H134+H135+H145)</f>
        <v>0</v>
      </c>
      <c r="I131" s="279">
        <f>SUM(I132+I133+I134+I135+I145)</f>
        <v>0</v>
      </c>
      <c r="J131" s="279">
        <f t="shared" si="1"/>
        <v>375000</v>
      </c>
      <c r="K131" s="117"/>
    </row>
    <row r="132" spans="1:11" ht="12.75" hidden="1">
      <c r="A132" s="280"/>
      <c r="B132" s="280" t="s">
        <v>298</v>
      </c>
      <c r="C132" s="692" t="s">
        <v>673</v>
      </c>
      <c r="D132" s="692"/>
      <c r="E132" s="692"/>
      <c r="F132" s="281">
        <v>0</v>
      </c>
      <c r="G132" s="281">
        <v>0</v>
      </c>
      <c r="H132" s="281">
        <v>0</v>
      </c>
      <c r="I132" s="281">
        <v>0</v>
      </c>
      <c r="J132" s="282">
        <f t="shared" si="1"/>
        <v>0</v>
      </c>
      <c r="K132" s="118"/>
    </row>
    <row r="133" spans="1:11" ht="12.75" hidden="1">
      <c r="A133" s="280"/>
      <c r="B133" s="280" t="s">
        <v>299</v>
      </c>
      <c r="C133" s="692" t="s">
        <v>674</v>
      </c>
      <c r="D133" s="692"/>
      <c r="E133" s="692"/>
      <c r="F133" s="281">
        <v>0</v>
      </c>
      <c r="G133" s="281">
        <v>0</v>
      </c>
      <c r="H133" s="281">
        <v>0</v>
      </c>
      <c r="I133" s="281">
        <v>0</v>
      </c>
      <c r="J133" s="282">
        <f t="shared" si="1"/>
        <v>0</v>
      </c>
      <c r="K133" s="118"/>
    </row>
    <row r="134" spans="1:11" ht="26.25" customHeight="1" hidden="1">
      <c r="A134" s="280"/>
      <c r="B134" s="280" t="s">
        <v>301</v>
      </c>
      <c r="C134" s="693" t="s">
        <v>675</v>
      </c>
      <c r="D134" s="693"/>
      <c r="E134" s="693"/>
      <c r="F134" s="281">
        <v>0</v>
      </c>
      <c r="G134" s="281">
        <v>0</v>
      </c>
      <c r="H134" s="281">
        <v>0</v>
      </c>
      <c r="I134" s="281">
        <v>0</v>
      </c>
      <c r="J134" s="282">
        <f t="shared" si="1"/>
        <v>0</v>
      </c>
      <c r="K134" s="118"/>
    </row>
    <row r="135" spans="1:11" ht="12.75" hidden="1">
      <c r="A135" s="280"/>
      <c r="B135" s="280" t="s">
        <v>548</v>
      </c>
      <c r="C135" s="692" t="s">
        <v>676</v>
      </c>
      <c r="D135" s="692"/>
      <c r="E135" s="692"/>
      <c r="F135" s="281">
        <f>SUM(F136:F144)</f>
        <v>0</v>
      </c>
      <c r="G135" s="281">
        <v>0</v>
      </c>
      <c r="H135" s="281">
        <v>0</v>
      </c>
      <c r="I135" s="281">
        <v>0</v>
      </c>
      <c r="J135" s="282">
        <f t="shared" si="1"/>
        <v>0</v>
      </c>
      <c r="K135" s="118"/>
    </row>
    <row r="136" spans="1:11" ht="12.75" hidden="1">
      <c r="A136" s="287"/>
      <c r="B136" s="287"/>
      <c r="C136" s="289" t="s">
        <v>2</v>
      </c>
      <c r="D136" s="289" t="s">
        <v>147</v>
      </c>
      <c r="E136" s="289" t="s">
        <v>174</v>
      </c>
      <c r="F136" s="290">
        <v>0</v>
      </c>
      <c r="G136" s="290">
        <v>0</v>
      </c>
      <c r="H136" s="290">
        <v>0</v>
      </c>
      <c r="I136" s="290">
        <v>0</v>
      </c>
      <c r="J136" s="291">
        <f t="shared" si="1"/>
        <v>0</v>
      </c>
      <c r="K136" s="120"/>
    </row>
    <row r="137" spans="1:11" ht="12.75" hidden="1">
      <c r="A137" s="287"/>
      <c r="B137" s="287"/>
      <c r="C137" s="289"/>
      <c r="D137" s="289" t="s">
        <v>149</v>
      </c>
      <c r="E137" s="289" t="s">
        <v>570</v>
      </c>
      <c r="F137" s="290">
        <v>0</v>
      </c>
      <c r="G137" s="290">
        <v>0</v>
      </c>
      <c r="H137" s="290">
        <v>0</v>
      </c>
      <c r="I137" s="290">
        <v>0</v>
      </c>
      <c r="J137" s="291">
        <f t="shared" si="1"/>
        <v>0</v>
      </c>
      <c r="K137" s="120"/>
    </row>
    <row r="138" spans="1:11" ht="12.75" hidden="1">
      <c r="A138" s="287"/>
      <c r="B138" s="287"/>
      <c r="C138" s="289"/>
      <c r="D138" s="289" t="s">
        <v>151</v>
      </c>
      <c r="E138" s="289" t="s">
        <v>175</v>
      </c>
      <c r="F138" s="290">
        <v>0</v>
      </c>
      <c r="G138" s="290">
        <v>0</v>
      </c>
      <c r="H138" s="290">
        <v>0</v>
      </c>
      <c r="I138" s="290">
        <v>0</v>
      </c>
      <c r="J138" s="291">
        <f aca="true" t="shared" si="2" ref="J138:J201">SUM(F138:I138)</f>
        <v>0</v>
      </c>
      <c r="K138" s="120"/>
    </row>
    <row r="139" spans="1:11" ht="12.75" hidden="1">
      <c r="A139" s="287"/>
      <c r="B139" s="287"/>
      <c r="C139" s="289"/>
      <c r="D139" s="289" t="s">
        <v>153</v>
      </c>
      <c r="E139" s="289" t="s">
        <v>176</v>
      </c>
      <c r="F139" s="290">
        <v>0</v>
      </c>
      <c r="G139" s="290">
        <v>0</v>
      </c>
      <c r="H139" s="290">
        <v>0</v>
      </c>
      <c r="I139" s="290">
        <v>0</v>
      </c>
      <c r="J139" s="291">
        <f t="shared" si="2"/>
        <v>0</v>
      </c>
      <c r="K139" s="120"/>
    </row>
    <row r="140" spans="1:11" ht="12.75" hidden="1">
      <c r="A140" s="287"/>
      <c r="B140" s="287"/>
      <c r="C140" s="289"/>
      <c r="D140" s="289" t="s">
        <v>155</v>
      </c>
      <c r="E140" s="289" t="s">
        <v>177</v>
      </c>
      <c r="F140" s="290">
        <v>0</v>
      </c>
      <c r="G140" s="290">
        <v>0</v>
      </c>
      <c r="H140" s="290">
        <v>0</v>
      </c>
      <c r="I140" s="290">
        <v>0</v>
      </c>
      <c r="J140" s="291">
        <f t="shared" si="2"/>
        <v>0</v>
      </c>
      <c r="K140" s="120"/>
    </row>
    <row r="141" spans="1:11" ht="12.75" hidden="1">
      <c r="A141" s="287"/>
      <c r="B141" s="287"/>
      <c r="C141" s="289"/>
      <c r="D141" s="289" t="s">
        <v>157</v>
      </c>
      <c r="E141" s="289" t="s">
        <v>531</v>
      </c>
      <c r="F141" s="290">
        <v>0</v>
      </c>
      <c r="G141" s="290">
        <v>0</v>
      </c>
      <c r="H141" s="290">
        <v>0</v>
      </c>
      <c r="I141" s="290">
        <v>0</v>
      </c>
      <c r="J141" s="291">
        <f t="shared" si="2"/>
        <v>0</v>
      </c>
      <c r="K141" s="120"/>
    </row>
    <row r="142" spans="1:11" ht="12.75" hidden="1">
      <c r="A142" s="287"/>
      <c r="B142" s="287"/>
      <c r="C142" s="289"/>
      <c r="D142" s="289" t="s">
        <v>159</v>
      </c>
      <c r="E142" s="289" t="s">
        <v>530</v>
      </c>
      <c r="F142" s="949">
        <v>0</v>
      </c>
      <c r="G142" s="290">
        <v>0</v>
      </c>
      <c r="H142" s="290">
        <v>0</v>
      </c>
      <c r="I142" s="290">
        <v>0</v>
      </c>
      <c r="J142" s="291">
        <f t="shared" si="2"/>
        <v>0</v>
      </c>
      <c r="K142" s="120"/>
    </row>
    <row r="143" spans="1:11" ht="21" customHeight="1" hidden="1">
      <c r="A143" s="287"/>
      <c r="B143" s="287"/>
      <c r="C143" s="289"/>
      <c r="D143" s="289" t="s">
        <v>161</v>
      </c>
      <c r="E143" s="289" t="s">
        <v>180</v>
      </c>
      <c r="F143" s="290"/>
      <c r="G143" s="290">
        <v>0</v>
      </c>
      <c r="H143" s="290">
        <v>0</v>
      </c>
      <c r="I143" s="290">
        <v>0</v>
      </c>
      <c r="J143" s="291">
        <f t="shared" si="2"/>
        <v>0</v>
      </c>
      <c r="K143" s="120"/>
    </row>
    <row r="144" spans="1:11" ht="16.5" customHeight="1" hidden="1">
      <c r="A144" s="287"/>
      <c r="B144" s="287"/>
      <c r="C144" s="289"/>
      <c r="D144" s="289" t="s">
        <v>163</v>
      </c>
      <c r="E144" s="289" t="s">
        <v>571</v>
      </c>
      <c r="F144" s="290">
        <v>0</v>
      </c>
      <c r="G144" s="290">
        <v>0</v>
      </c>
      <c r="H144" s="290">
        <v>0</v>
      </c>
      <c r="I144" s="290">
        <v>0</v>
      </c>
      <c r="J144" s="291">
        <f t="shared" si="2"/>
        <v>0</v>
      </c>
      <c r="K144" s="120"/>
    </row>
    <row r="145" spans="1:11" ht="12.75">
      <c r="A145" s="280"/>
      <c r="B145" s="280" t="s">
        <v>549</v>
      </c>
      <c r="C145" s="692" t="s">
        <v>645</v>
      </c>
      <c r="D145" s="692"/>
      <c r="E145" s="692"/>
      <c r="F145" s="281">
        <f>SUM(F146)</f>
        <v>375000</v>
      </c>
      <c r="G145" s="281">
        <v>0</v>
      </c>
      <c r="H145" s="281">
        <v>0</v>
      </c>
      <c r="I145" s="281">
        <v>0</v>
      </c>
      <c r="J145" s="282">
        <f t="shared" si="2"/>
        <v>375000</v>
      </c>
      <c r="K145" s="118"/>
    </row>
    <row r="146" spans="1:11" ht="12.75">
      <c r="A146" s="280"/>
      <c r="B146" s="280"/>
      <c r="C146" s="289" t="s">
        <v>2</v>
      </c>
      <c r="D146" s="271"/>
      <c r="E146" s="289" t="s">
        <v>176</v>
      </c>
      <c r="F146" s="290">
        <v>375000</v>
      </c>
      <c r="G146" s="290">
        <v>0</v>
      </c>
      <c r="H146" s="290">
        <v>0</v>
      </c>
      <c r="I146" s="290">
        <v>0</v>
      </c>
      <c r="J146" s="291">
        <f>SUM(F146:I146)</f>
        <v>375000</v>
      </c>
      <c r="K146" s="118"/>
    </row>
    <row r="147" spans="1:11" s="73" customFormat="1" ht="12.75">
      <c r="A147" s="278" t="s">
        <v>302</v>
      </c>
      <c r="B147" s="691" t="s">
        <v>303</v>
      </c>
      <c r="C147" s="691"/>
      <c r="D147" s="691"/>
      <c r="E147" s="691"/>
      <c r="F147" s="279">
        <f>SUM(F148+F149+F150+F151+F161)</f>
        <v>267460</v>
      </c>
      <c r="G147" s="279">
        <f>SUM(G148+G149+G150+G151+G161)</f>
        <v>0</v>
      </c>
      <c r="H147" s="279">
        <f>SUM(H148+H149+H150+H151+H161)</f>
        <v>0</v>
      </c>
      <c r="I147" s="279">
        <f>SUM(I148+I149+I150+I151+I161)</f>
        <v>0</v>
      </c>
      <c r="J147" s="279">
        <f t="shared" si="2"/>
        <v>267460</v>
      </c>
      <c r="K147" s="117"/>
    </row>
    <row r="148" spans="1:11" ht="12.75" hidden="1">
      <c r="A148" s="280"/>
      <c r="B148" s="280" t="s">
        <v>304</v>
      </c>
      <c r="C148" s="692" t="s">
        <v>677</v>
      </c>
      <c r="D148" s="692"/>
      <c r="E148" s="692"/>
      <c r="F148" s="281">
        <v>0</v>
      </c>
      <c r="G148" s="281">
        <v>0</v>
      </c>
      <c r="H148" s="281">
        <v>0</v>
      </c>
      <c r="I148" s="281">
        <v>0</v>
      </c>
      <c r="J148" s="282">
        <f t="shared" si="2"/>
        <v>0</v>
      </c>
      <c r="K148" s="118"/>
    </row>
    <row r="149" spans="1:11" ht="12.75" hidden="1">
      <c r="A149" s="280"/>
      <c r="B149" s="280" t="s">
        <v>305</v>
      </c>
      <c r="C149" s="692" t="s">
        <v>678</v>
      </c>
      <c r="D149" s="692"/>
      <c r="E149" s="692"/>
      <c r="F149" s="281">
        <v>0</v>
      </c>
      <c r="G149" s="281">
        <v>0</v>
      </c>
      <c r="H149" s="281">
        <v>0</v>
      </c>
      <c r="I149" s="281">
        <v>0</v>
      </c>
      <c r="J149" s="282">
        <f t="shared" si="2"/>
        <v>0</v>
      </c>
      <c r="K149" s="118"/>
    </row>
    <row r="150" spans="1:11" ht="25.5" customHeight="1" hidden="1">
      <c r="A150" s="280"/>
      <c r="B150" s="280" t="s">
        <v>306</v>
      </c>
      <c r="C150" s="693" t="s">
        <v>679</v>
      </c>
      <c r="D150" s="693"/>
      <c r="E150" s="693"/>
      <c r="F150" s="281">
        <v>0</v>
      </c>
      <c r="G150" s="281">
        <v>0</v>
      </c>
      <c r="H150" s="281">
        <v>0</v>
      </c>
      <c r="I150" s="281">
        <v>0</v>
      </c>
      <c r="J150" s="282">
        <f t="shared" si="2"/>
        <v>0</v>
      </c>
      <c r="K150" s="118"/>
    </row>
    <row r="151" spans="1:11" ht="12.75" hidden="1">
      <c r="A151" s="287"/>
      <c r="B151" s="280" t="s">
        <v>550</v>
      </c>
      <c r="C151" s="692" t="s">
        <v>680</v>
      </c>
      <c r="D151" s="692"/>
      <c r="E151" s="692"/>
      <c r="F151" s="281">
        <f>SUM(F152:F160)</f>
        <v>0</v>
      </c>
      <c r="G151" s="281">
        <f>SUM(G152:G160)</f>
        <v>0</v>
      </c>
      <c r="H151" s="281">
        <f>SUM(H152:H160)</f>
        <v>0</v>
      </c>
      <c r="I151" s="281">
        <f>SUM(I152:I160)</f>
        <v>0</v>
      </c>
      <c r="J151" s="282">
        <f t="shared" si="2"/>
        <v>0</v>
      </c>
      <c r="K151" s="118"/>
    </row>
    <row r="152" spans="1:11" ht="12.75" hidden="1">
      <c r="A152" s="287"/>
      <c r="B152" s="287"/>
      <c r="C152" s="289" t="s">
        <v>2</v>
      </c>
      <c r="D152" s="289" t="s">
        <v>147</v>
      </c>
      <c r="E152" s="289" t="s">
        <v>174</v>
      </c>
      <c r="F152" s="290">
        <v>0</v>
      </c>
      <c r="G152" s="290">
        <v>0</v>
      </c>
      <c r="H152" s="290">
        <v>0</v>
      </c>
      <c r="I152" s="290">
        <v>0</v>
      </c>
      <c r="J152" s="291">
        <f t="shared" si="2"/>
        <v>0</v>
      </c>
      <c r="K152" s="120"/>
    </row>
    <row r="153" spans="1:11" ht="12.75" hidden="1">
      <c r="A153" s="287"/>
      <c r="B153" s="287"/>
      <c r="C153" s="289"/>
      <c r="D153" s="289" t="s">
        <v>149</v>
      </c>
      <c r="E153" s="289" t="s">
        <v>570</v>
      </c>
      <c r="F153" s="290">
        <v>0</v>
      </c>
      <c r="G153" s="290">
        <v>0</v>
      </c>
      <c r="H153" s="290">
        <v>0</v>
      </c>
      <c r="I153" s="290">
        <v>0</v>
      </c>
      <c r="J153" s="291">
        <f t="shared" si="2"/>
        <v>0</v>
      </c>
      <c r="K153" s="120"/>
    </row>
    <row r="154" spans="1:11" ht="12.75" hidden="1">
      <c r="A154" s="287"/>
      <c r="B154" s="287"/>
      <c r="C154" s="289"/>
      <c r="D154" s="289" t="s">
        <v>151</v>
      </c>
      <c r="E154" s="289" t="s">
        <v>175</v>
      </c>
      <c r="F154" s="290">
        <v>0</v>
      </c>
      <c r="G154" s="290">
        <v>0</v>
      </c>
      <c r="H154" s="290">
        <v>0</v>
      </c>
      <c r="I154" s="290">
        <v>0</v>
      </c>
      <c r="J154" s="291">
        <f t="shared" si="2"/>
        <v>0</v>
      </c>
      <c r="K154" s="120"/>
    </row>
    <row r="155" spans="1:11" ht="12.75" hidden="1">
      <c r="A155" s="287"/>
      <c r="B155" s="287"/>
      <c r="C155" s="289"/>
      <c r="D155" s="289" t="s">
        <v>153</v>
      </c>
      <c r="E155" s="289" t="s">
        <v>176</v>
      </c>
      <c r="F155" s="290">
        <v>0</v>
      </c>
      <c r="G155" s="290">
        <v>0</v>
      </c>
      <c r="H155" s="290">
        <v>0</v>
      </c>
      <c r="I155" s="290">
        <v>0</v>
      </c>
      <c r="J155" s="291">
        <f t="shared" si="2"/>
        <v>0</v>
      </c>
      <c r="K155" s="120"/>
    </row>
    <row r="156" spans="1:11" ht="12.75" hidden="1">
      <c r="A156" s="287"/>
      <c r="B156" s="287"/>
      <c r="C156" s="289"/>
      <c r="D156" s="289" t="s">
        <v>155</v>
      </c>
      <c r="E156" s="289" t="s">
        <v>177</v>
      </c>
      <c r="F156" s="290">
        <v>0</v>
      </c>
      <c r="G156" s="290">
        <v>0</v>
      </c>
      <c r="H156" s="290">
        <v>0</v>
      </c>
      <c r="I156" s="290">
        <v>0</v>
      </c>
      <c r="J156" s="291">
        <f t="shared" si="2"/>
        <v>0</v>
      </c>
      <c r="K156" s="120"/>
    </row>
    <row r="157" spans="1:11" ht="12.75" hidden="1">
      <c r="A157" s="287"/>
      <c r="B157" s="287"/>
      <c r="C157" s="289"/>
      <c r="D157" s="289" t="s">
        <v>157</v>
      </c>
      <c r="E157" s="289" t="s">
        <v>531</v>
      </c>
      <c r="F157" s="290">
        <v>0</v>
      </c>
      <c r="G157" s="290">
        <v>0</v>
      </c>
      <c r="H157" s="290">
        <v>0</v>
      </c>
      <c r="I157" s="290">
        <v>0</v>
      </c>
      <c r="J157" s="291">
        <f t="shared" si="2"/>
        <v>0</v>
      </c>
      <c r="K157" s="120"/>
    </row>
    <row r="158" spans="1:11" ht="12.75" hidden="1">
      <c r="A158" s="287"/>
      <c r="B158" s="287"/>
      <c r="C158" s="289"/>
      <c r="D158" s="289" t="s">
        <v>159</v>
      </c>
      <c r="E158" s="289" t="s">
        <v>530</v>
      </c>
      <c r="F158" s="949">
        <v>0</v>
      </c>
      <c r="G158" s="290">
        <v>0</v>
      </c>
      <c r="H158" s="290">
        <v>0</v>
      </c>
      <c r="I158" s="290">
        <v>0</v>
      </c>
      <c r="J158" s="291">
        <f t="shared" si="2"/>
        <v>0</v>
      </c>
      <c r="K158" s="120"/>
    </row>
    <row r="159" spans="1:11" ht="12.75" hidden="1">
      <c r="A159" s="287"/>
      <c r="B159" s="287"/>
      <c r="C159" s="289"/>
      <c r="D159" s="289" t="s">
        <v>161</v>
      </c>
      <c r="E159" s="289" t="s">
        <v>180</v>
      </c>
      <c r="F159" s="290">
        <v>0</v>
      </c>
      <c r="G159" s="290">
        <v>0</v>
      </c>
      <c r="H159" s="290">
        <v>0</v>
      </c>
      <c r="I159" s="290">
        <v>0</v>
      </c>
      <c r="J159" s="291">
        <f t="shared" si="2"/>
        <v>0</v>
      </c>
      <c r="K159" s="120"/>
    </row>
    <row r="160" spans="1:11" ht="12.75" hidden="1">
      <c r="A160" s="287"/>
      <c r="B160" s="287"/>
      <c r="C160" s="289"/>
      <c r="D160" s="289" t="s">
        <v>163</v>
      </c>
      <c r="E160" s="289" t="s">
        <v>571</v>
      </c>
      <c r="F160" s="290">
        <v>0</v>
      </c>
      <c r="G160" s="290">
        <v>0</v>
      </c>
      <c r="H160" s="290">
        <v>0</v>
      </c>
      <c r="I160" s="290">
        <v>0</v>
      </c>
      <c r="J160" s="291">
        <f t="shared" si="2"/>
        <v>0</v>
      </c>
      <c r="K160" s="120"/>
    </row>
    <row r="161" spans="1:11" ht="12" customHeight="1">
      <c r="A161" s="287"/>
      <c r="B161" s="280" t="s">
        <v>551</v>
      </c>
      <c r="C161" s="692" t="s">
        <v>628</v>
      </c>
      <c r="D161" s="692"/>
      <c r="E161" s="692"/>
      <c r="F161" s="281">
        <f>SUM(F162:F172)</f>
        <v>267460</v>
      </c>
      <c r="G161" s="281">
        <f>SUM(G162:G172)</f>
        <v>0</v>
      </c>
      <c r="H161" s="281">
        <f>SUM(H162:H172)</f>
        <v>0</v>
      </c>
      <c r="I161" s="281">
        <f>SUM(I162:I172)</f>
        <v>0</v>
      </c>
      <c r="J161" s="282">
        <f t="shared" si="2"/>
        <v>267460</v>
      </c>
      <c r="K161" s="118"/>
    </row>
    <row r="162" spans="1:11" ht="12.75" hidden="1">
      <c r="A162" s="287"/>
      <c r="B162" s="287"/>
      <c r="C162" s="289" t="s">
        <v>2</v>
      </c>
      <c r="D162" s="289" t="s">
        <v>147</v>
      </c>
      <c r="E162" s="289" t="s">
        <v>174</v>
      </c>
      <c r="F162" s="290"/>
      <c r="G162" s="290">
        <v>0</v>
      </c>
      <c r="H162" s="290">
        <v>0</v>
      </c>
      <c r="I162" s="290">
        <v>0</v>
      </c>
      <c r="J162" s="291">
        <f t="shared" si="2"/>
        <v>0</v>
      </c>
      <c r="K162" s="120"/>
    </row>
    <row r="163" spans="1:11" ht="12.75" hidden="1">
      <c r="A163" s="287"/>
      <c r="B163" s="287"/>
      <c r="C163" s="289"/>
      <c r="D163" s="289" t="s">
        <v>149</v>
      </c>
      <c r="E163" s="289" t="s">
        <v>570</v>
      </c>
      <c r="F163" s="290">
        <v>0</v>
      </c>
      <c r="G163" s="290">
        <v>0</v>
      </c>
      <c r="H163" s="290">
        <v>0</v>
      </c>
      <c r="I163" s="290">
        <v>0</v>
      </c>
      <c r="J163" s="291">
        <f t="shared" si="2"/>
        <v>0</v>
      </c>
      <c r="K163" s="120"/>
    </row>
    <row r="164" spans="1:11" ht="12.75" hidden="1">
      <c r="A164" s="287"/>
      <c r="B164" s="287"/>
      <c r="C164" s="289"/>
      <c r="D164" s="289" t="s">
        <v>151</v>
      </c>
      <c r="E164" s="289" t="s">
        <v>175</v>
      </c>
      <c r="F164" s="290">
        <v>0</v>
      </c>
      <c r="G164" s="290">
        <v>0</v>
      </c>
      <c r="H164" s="290">
        <v>0</v>
      </c>
      <c r="I164" s="290">
        <v>0</v>
      </c>
      <c r="J164" s="291">
        <f t="shared" si="2"/>
        <v>0</v>
      </c>
      <c r="K164" s="120"/>
    </row>
    <row r="165" spans="1:11" ht="13.5" customHeight="1">
      <c r="A165" s="287"/>
      <c r="B165" s="287"/>
      <c r="C165" s="289"/>
      <c r="D165" s="289" t="s">
        <v>153</v>
      </c>
      <c r="E165" s="289" t="s">
        <v>176</v>
      </c>
      <c r="F165" s="290">
        <v>267460</v>
      </c>
      <c r="G165" s="290">
        <v>0</v>
      </c>
      <c r="H165" s="290">
        <v>0</v>
      </c>
      <c r="I165" s="290">
        <v>0</v>
      </c>
      <c r="J165" s="291">
        <f t="shared" si="2"/>
        <v>267460</v>
      </c>
      <c r="K165" s="120"/>
    </row>
    <row r="166" spans="1:11" ht="0.75" customHeight="1" hidden="1">
      <c r="A166" s="287"/>
      <c r="B166" s="287"/>
      <c r="C166" s="289"/>
      <c r="D166" s="289" t="s">
        <v>155</v>
      </c>
      <c r="E166" s="289" t="s">
        <v>177</v>
      </c>
      <c r="F166" s="290">
        <v>0</v>
      </c>
      <c r="G166" s="290">
        <v>0</v>
      </c>
      <c r="H166" s="290">
        <v>0</v>
      </c>
      <c r="I166" s="290">
        <v>0</v>
      </c>
      <c r="J166" s="291">
        <f t="shared" si="2"/>
        <v>0</v>
      </c>
      <c r="K166" s="120"/>
    </row>
    <row r="167" spans="1:11" ht="12.75" hidden="1">
      <c r="A167" s="287"/>
      <c r="B167" s="287"/>
      <c r="C167" s="289"/>
      <c r="D167" s="289" t="s">
        <v>157</v>
      </c>
      <c r="E167" s="289" t="s">
        <v>531</v>
      </c>
      <c r="F167" s="290">
        <v>0</v>
      </c>
      <c r="G167" s="290">
        <v>0</v>
      </c>
      <c r="H167" s="290">
        <v>0</v>
      </c>
      <c r="I167" s="290">
        <v>0</v>
      </c>
      <c r="J167" s="291">
        <f t="shared" si="2"/>
        <v>0</v>
      </c>
      <c r="K167" s="120"/>
    </row>
    <row r="168" spans="1:11" ht="12.75" hidden="1">
      <c r="A168" s="287"/>
      <c r="B168" s="287"/>
      <c r="C168" s="289"/>
      <c r="D168" s="289" t="s">
        <v>159</v>
      </c>
      <c r="E168" s="289" t="s">
        <v>530</v>
      </c>
      <c r="F168" s="949">
        <v>0</v>
      </c>
      <c r="G168" s="290">
        <v>0</v>
      </c>
      <c r="H168" s="290">
        <v>0</v>
      </c>
      <c r="I168" s="290">
        <v>0</v>
      </c>
      <c r="J168" s="291">
        <f t="shared" si="2"/>
        <v>0</v>
      </c>
      <c r="K168" s="120"/>
    </row>
    <row r="169" spans="1:11" ht="12.75" hidden="1">
      <c r="A169" s="287"/>
      <c r="B169" s="287"/>
      <c r="C169" s="289"/>
      <c r="D169" s="289" t="s">
        <v>161</v>
      </c>
      <c r="E169" s="289" t="s">
        <v>180</v>
      </c>
      <c r="F169" s="290">
        <v>0</v>
      </c>
      <c r="G169" s="290">
        <v>0</v>
      </c>
      <c r="H169" s="290">
        <v>0</v>
      </c>
      <c r="I169" s="290">
        <v>0</v>
      </c>
      <c r="J169" s="291">
        <f t="shared" si="2"/>
        <v>0</v>
      </c>
      <c r="K169" s="120"/>
    </row>
    <row r="170" spans="1:11" ht="12.75" hidden="1">
      <c r="A170" s="287"/>
      <c r="B170" s="287"/>
      <c r="C170" s="289"/>
      <c r="D170" s="289" t="s">
        <v>163</v>
      </c>
      <c r="E170" s="289" t="s">
        <v>181</v>
      </c>
      <c r="F170" s="290">
        <v>0</v>
      </c>
      <c r="G170" s="290">
        <v>0</v>
      </c>
      <c r="H170" s="290">
        <v>0</v>
      </c>
      <c r="I170" s="290">
        <v>0</v>
      </c>
      <c r="J170" s="291">
        <f t="shared" si="2"/>
        <v>0</v>
      </c>
      <c r="K170" s="120"/>
    </row>
    <row r="171" spans="1:11" ht="12.75" hidden="1">
      <c r="A171" s="287"/>
      <c r="B171" s="287"/>
      <c r="C171" s="289"/>
      <c r="D171" s="289" t="s">
        <v>165</v>
      </c>
      <c r="E171" s="289" t="s">
        <v>182</v>
      </c>
      <c r="F171" s="290">
        <v>0</v>
      </c>
      <c r="G171" s="290">
        <v>0</v>
      </c>
      <c r="H171" s="290">
        <v>0</v>
      </c>
      <c r="I171" s="290">
        <v>0</v>
      </c>
      <c r="J171" s="291">
        <f t="shared" si="2"/>
        <v>0</v>
      </c>
      <c r="K171" s="120"/>
    </row>
    <row r="172" spans="1:11" ht="12.75" hidden="1">
      <c r="A172" s="287"/>
      <c r="B172" s="287"/>
      <c r="C172" s="289"/>
      <c r="D172" s="289" t="s">
        <v>572</v>
      </c>
      <c r="E172" s="289" t="s">
        <v>183</v>
      </c>
      <c r="F172" s="290">
        <v>0</v>
      </c>
      <c r="G172" s="290">
        <v>0</v>
      </c>
      <c r="H172" s="290">
        <v>0</v>
      </c>
      <c r="I172" s="290">
        <v>0</v>
      </c>
      <c r="J172" s="291">
        <f t="shared" si="2"/>
        <v>0</v>
      </c>
      <c r="K172" s="120"/>
    </row>
    <row r="173" spans="1:11" s="73" customFormat="1" ht="12.75">
      <c r="A173" s="278" t="s">
        <v>307</v>
      </c>
      <c r="B173" s="691" t="s">
        <v>308</v>
      </c>
      <c r="C173" s="691"/>
      <c r="D173" s="691"/>
      <c r="E173" s="691"/>
      <c r="F173" s="279">
        <f>SUM(F174+F197+F198+F199)</f>
        <v>1035445446</v>
      </c>
      <c r="G173" s="279">
        <f>SUM(G174+G197+G198+G199)</f>
        <v>789210</v>
      </c>
      <c r="H173" s="279">
        <f>SUM(H174+H197+H198+H199)</f>
        <v>7760424</v>
      </c>
      <c r="I173" s="279">
        <f>SUM(I174+I197+I198+I199)</f>
        <v>5642681</v>
      </c>
      <c r="J173" s="279">
        <f t="shared" si="2"/>
        <v>1049637761</v>
      </c>
      <c r="K173" s="117"/>
    </row>
    <row r="174" spans="1:11" ht="12.75">
      <c r="A174" s="287"/>
      <c r="B174" s="280" t="s">
        <v>309</v>
      </c>
      <c r="C174" s="692" t="s">
        <v>310</v>
      </c>
      <c r="D174" s="692"/>
      <c r="E174" s="692"/>
      <c r="F174" s="281">
        <f>SUM(F175+F179+F184+F189+F190+F191+F192+F193+F194)</f>
        <v>1035445446</v>
      </c>
      <c r="G174" s="281">
        <f>SUM(G175+G179+G184+G189+G190+G191+G192+G193+G194)</f>
        <v>789210</v>
      </c>
      <c r="H174" s="281">
        <f>SUM(H175+H179+H184+H189+H190+H191+H192+H193+H194)</f>
        <v>7760424</v>
      </c>
      <c r="I174" s="281">
        <f>SUM(I175+I179+I184+I189+I190+I191+I192+I193+I194)</f>
        <v>5642681</v>
      </c>
      <c r="J174" s="282">
        <f t="shared" si="2"/>
        <v>1049637761</v>
      </c>
      <c r="K174" s="118"/>
    </row>
    <row r="175" spans="1:11" ht="12.75">
      <c r="A175" s="283"/>
      <c r="B175" s="283"/>
      <c r="C175" s="283" t="s">
        <v>311</v>
      </c>
      <c r="D175" s="283" t="s">
        <v>597</v>
      </c>
      <c r="E175" s="283"/>
      <c r="F175" s="284">
        <f>SUM(F176:F178)</f>
        <v>0</v>
      </c>
      <c r="G175" s="284">
        <f>SUM(G176:G178)</f>
        <v>0</v>
      </c>
      <c r="H175" s="284">
        <f>SUM(H176:H178)</f>
        <v>0</v>
      </c>
      <c r="I175" s="284">
        <f>SUM(I176:I178)</f>
        <v>0</v>
      </c>
      <c r="J175" s="285">
        <f t="shared" si="2"/>
        <v>0</v>
      </c>
      <c r="K175" s="119"/>
    </row>
    <row r="176" spans="1:11" ht="12.75" hidden="1">
      <c r="A176" s="297"/>
      <c r="B176" s="297"/>
      <c r="C176" s="297"/>
      <c r="D176" s="297" t="s">
        <v>312</v>
      </c>
      <c r="E176" s="297" t="s">
        <v>681</v>
      </c>
      <c r="F176" s="298">
        <v>0</v>
      </c>
      <c r="G176" s="298">
        <v>0</v>
      </c>
      <c r="H176" s="298">
        <v>0</v>
      </c>
      <c r="I176" s="298">
        <v>0</v>
      </c>
      <c r="J176" s="299">
        <f t="shared" si="2"/>
        <v>0</v>
      </c>
      <c r="K176" s="121"/>
    </row>
    <row r="177" spans="1:11" ht="12.75" hidden="1">
      <c r="A177" s="297"/>
      <c r="B177" s="297"/>
      <c r="C177" s="297"/>
      <c r="D177" s="297" t="s">
        <v>313</v>
      </c>
      <c r="E177" s="297" t="s">
        <v>682</v>
      </c>
      <c r="F177" s="298">
        <v>0</v>
      </c>
      <c r="G177" s="298">
        <v>0</v>
      </c>
      <c r="H177" s="298">
        <v>0</v>
      </c>
      <c r="I177" s="298">
        <v>0</v>
      </c>
      <c r="J177" s="299">
        <f t="shared" si="2"/>
        <v>0</v>
      </c>
      <c r="K177" s="121"/>
    </row>
    <row r="178" spans="1:11" ht="12.75" hidden="1">
      <c r="A178" s="297"/>
      <c r="B178" s="297"/>
      <c r="C178" s="297"/>
      <c r="D178" s="297" t="s">
        <v>314</v>
      </c>
      <c r="E178" s="297" t="s">
        <v>683</v>
      </c>
      <c r="F178" s="298">
        <v>0</v>
      </c>
      <c r="G178" s="298">
        <v>0</v>
      </c>
      <c r="H178" s="298">
        <v>0</v>
      </c>
      <c r="I178" s="298">
        <v>0</v>
      </c>
      <c r="J178" s="299">
        <f t="shared" si="2"/>
        <v>0</v>
      </c>
      <c r="K178" s="121"/>
    </row>
    <row r="179" spans="1:11" ht="12.75">
      <c r="A179" s="283"/>
      <c r="B179" s="283"/>
      <c r="C179" s="283" t="s">
        <v>315</v>
      </c>
      <c r="D179" s="283" t="s">
        <v>316</v>
      </c>
      <c r="E179" s="283"/>
      <c r="F179" s="284">
        <f>SUM(F180:F183)</f>
        <v>0</v>
      </c>
      <c r="G179" s="284">
        <f>SUM(G180:G183)</f>
        <v>0</v>
      </c>
      <c r="H179" s="284">
        <f>SUM(H180:H183)</f>
        <v>0</v>
      </c>
      <c r="I179" s="284">
        <f>SUM(I180:I183)</f>
        <v>0</v>
      </c>
      <c r="J179" s="285">
        <f t="shared" si="2"/>
        <v>0</v>
      </c>
      <c r="K179" s="119"/>
    </row>
    <row r="180" spans="1:11" ht="12.75" hidden="1">
      <c r="A180" s="283"/>
      <c r="B180" s="283"/>
      <c r="C180" s="283"/>
      <c r="D180" s="297" t="s">
        <v>552</v>
      </c>
      <c r="E180" s="297" t="s">
        <v>553</v>
      </c>
      <c r="F180" s="284">
        <v>0</v>
      </c>
      <c r="G180" s="284">
        <v>0</v>
      </c>
      <c r="H180" s="284">
        <v>0</v>
      </c>
      <c r="I180" s="284">
        <v>0</v>
      </c>
      <c r="J180" s="285">
        <f t="shared" si="2"/>
        <v>0</v>
      </c>
      <c r="K180" s="119"/>
    </row>
    <row r="181" spans="1:11" ht="12.75" hidden="1">
      <c r="A181" s="283"/>
      <c r="B181" s="283"/>
      <c r="C181" s="283"/>
      <c r="D181" s="297" t="s">
        <v>554</v>
      </c>
      <c r="E181" s="297" t="s">
        <v>555</v>
      </c>
      <c r="F181" s="284">
        <v>0</v>
      </c>
      <c r="G181" s="284">
        <v>0</v>
      </c>
      <c r="H181" s="284">
        <v>0</v>
      </c>
      <c r="I181" s="284">
        <v>0</v>
      </c>
      <c r="J181" s="285">
        <f t="shared" si="2"/>
        <v>0</v>
      </c>
      <c r="K181" s="119"/>
    </row>
    <row r="182" spans="1:11" ht="12.75" hidden="1">
      <c r="A182" s="283"/>
      <c r="B182" s="283"/>
      <c r="C182" s="283"/>
      <c r="D182" s="297" t="s">
        <v>556</v>
      </c>
      <c r="E182" s="297" t="s">
        <v>557</v>
      </c>
      <c r="F182" s="284">
        <v>0</v>
      </c>
      <c r="G182" s="284">
        <v>0</v>
      </c>
      <c r="H182" s="284">
        <v>0</v>
      </c>
      <c r="I182" s="284">
        <v>0</v>
      </c>
      <c r="J182" s="285">
        <f t="shared" si="2"/>
        <v>0</v>
      </c>
      <c r="K182" s="119"/>
    </row>
    <row r="183" spans="1:11" ht="12.75" hidden="1">
      <c r="A183" s="283"/>
      <c r="B183" s="283"/>
      <c r="C183" s="283"/>
      <c r="D183" s="297" t="s">
        <v>558</v>
      </c>
      <c r="E183" s="297" t="s">
        <v>559</v>
      </c>
      <c r="F183" s="284">
        <v>0</v>
      </c>
      <c r="G183" s="284">
        <v>0</v>
      </c>
      <c r="H183" s="284">
        <v>0</v>
      </c>
      <c r="I183" s="284">
        <v>0</v>
      </c>
      <c r="J183" s="285">
        <f t="shared" si="2"/>
        <v>0</v>
      </c>
      <c r="K183" s="119"/>
    </row>
    <row r="184" spans="1:11" ht="12.75">
      <c r="A184" s="283"/>
      <c r="B184" s="283"/>
      <c r="C184" s="283" t="s">
        <v>317</v>
      </c>
      <c r="D184" s="283" t="s">
        <v>318</v>
      </c>
      <c r="E184" s="283"/>
      <c r="F184" s="284">
        <f>SUM(F185,F188)</f>
        <v>1035445446</v>
      </c>
      <c r="G184" s="284">
        <f>SUM(G185,G188)</f>
        <v>789210</v>
      </c>
      <c r="H184" s="284">
        <f>SUM(H185,H188)</f>
        <v>7760424</v>
      </c>
      <c r="I184" s="284">
        <f>SUM(I185,I188)</f>
        <v>5642681</v>
      </c>
      <c r="J184" s="285">
        <f t="shared" si="2"/>
        <v>1049637761</v>
      </c>
      <c r="K184" s="119"/>
    </row>
    <row r="185" spans="1:11" ht="12.75">
      <c r="A185" s="297"/>
      <c r="B185" s="297"/>
      <c r="C185" s="297"/>
      <c r="D185" s="297" t="s">
        <v>319</v>
      </c>
      <c r="E185" s="297" t="s">
        <v>320</v>
      </c>
      <c r="F185" s="298">
        <f>SUM(F186:F187)</f>
        <v>1035445446</v>
      </c>
      <c r="G185" s="298">
        <f>SUM(G186:G187)</f>
        <v>789210</v>
      </c>
      <c r="H185" s="298">
        <f>SUM(H186:H187)</f>
        <v>7760424</v>
      </c>
      <c r="I185" s="298">
        <f>SUM(I186:I187)</f>
        <v>5642681</v>
      </c>
      <c r="J185" s="299">
        <f t="shared" si="2"/>
        <v>1049637761</v>
      </c>
      <c r="K185" s="121"/>
    </row>
    <row r="186" spans="1:11" s="74" customFormat="1" ht="12.75">
      <c r="A186" s="300"/>
      <c r="B186" s="300"/>
      <c r="C186" s="300"/>
      <c r="D186" s="300"/>
      <c r="E186" s="301" t="s">
        <v>36</v>
      </c>
      <c r="F186" s="302">
        <v>139338070</v>
      </c>
      <c r="G186" s="302">
        <v>789210</v>
      </c>
      <c r="H186" s="302">
        <v>7760424</v>
      </c>
      <c r="I186" s="302">
        <v>5642681</v>
      </c>
      <c r="J186" s="303">
        <f t="shared" si="2"/>
        <v>153530385</v>
      </c>
      <c r="K186" s="122"/>
    </row>
    <row r="187" spans="1:11" s="74" customFormat="1" ht="12.75">
      <c r="A187" s="300"/>
      <c r="B187" s="300"/>
      <c r="C187" s="300"/>
      <c r="D187" s="300"/>
      <c r="E187" s="301" t="s">
        <v>37</v>
      </c>
      <c r="F187" s="302">
        <f>896617876-510500</f>
        <v>896107376</v>
      </c>
      <c r="G187" s="302">
        <v>0</v>
      </c>
      <c r="H187" s="302">
        <v>0</v>
      </c>
      <c r="I187" s="302">
        <v>0</v>
      </c>
      <c r="J187" s="303">
        <f t="shared" si="2"/>
        <v>896107376</v>
      </c>
      <c r="K187" s="122"/>
    </row>
    <row r="188" spans="1:11" ht="12.75">
      <c r="A188" s="297"/>
      <c r="B188" s="297"/>
      <c r="C188" s="297"/>
      <c r="D188" s="297" t="s">
        <v>321</v>
      </c>
      <c r="E188" s="297" t="s">
        <v>322</v>
      </c>
      <c r="F188" s="298">
        <v>0</v>
      </c>
      <c r="G188" s="298">
        <v>0</v>
      </c>
      <c r="H188" s="298">
        <v>0</v>
      </c>
      <c r="I188" s="298">
        <v>0</v>
      </c>
      <c r="J188" s="299">
        <f t="shared" si="2"/>
        <v>0</v>
      </c>
      <c r="K188" s="121"/>
    </row>
    <row r="189" spans="1:11" ht="12.75" hidden="1">
      <c r="A189" s="283"/>
      <c r="B189" s="283"/>
      <c r="C189" s="283" t="s">
        <v>323</v>
      </c>
      <c r="D189" s="283" t="s">
        <v>598</v>
      </c>
      <c r="E189" s="283"/>
      <c r="F189" s="284">
        <v>0</v>
      </c>
      <c r="G189" s="284">
        <v>0</v>
      </c>
      <c r="H189" s="284">
        <v>0</v>
      </c>
      <c r="I189" s="284">
        <v>0</v>
      </c>
      <c r="J189" s="285">
        <f t="shared" si="2"/>
        <v>0</v>
      </c>
      <c r="K189" s="119"/>
    </row>
    <row r="190" spans="1:11" ht="12.75" hidden="1">
      <c r="A190" s="283"/>
      <c r="B190" s="283"/>
      <c r="C190" s="283" t="s">
        <v>324</v>
      </c>
      <c r="D190" s="283" t="s">
        <v>599</v>
      </c>
      <c r="E190" s="283"/>
      <c r="F190" s="284">
        <v>0</v>
      </c>
      <c r="G190" s="284">
        <v>0</v>
      </c>
      <c r="H190" s="284">
        <v>0</v>
      </c>
      <c r="I190" s="284">
        <v>0</v>
      </c>
      <c r="J190" s="285">
        <f t="shared" si="2"/>
        <v>0</v>
      </c>
      <c r="K190" s="119"/>
    </row>
    <row r="191" spans="1:11" ht="12.75" hidden="1">
      <c r="A191" s="283"/>
      <c r="B191" s="283"/>
      <c r="C191" s="283" t="s">
        <v>325</v>
      </c>
      <c r="D191" s="283" t="s">
        <v>326</v>
      </c>
      <c r="E191" s="283"/>
      <c r="F191" s="284">
        <v>0</v>
      </c>
      <c r="G191" s="284">
        <v>0</v>
      </c>
      <c r="H191" s="284">
        <v>0</v>
      </c>
      <c r="I191" s="284">
        <v>0</v>
      </c>
      <c r="J191" s="285">
        <f t="shared" si="2"/>
        <v>0</v>
      </c>
      <c r="K191" s="119"/>
    </row>
    <row r="192" spans="1:11" ht="12.75" hidden="1">
      <c r="A192" s="283"/>
      <c r="B192" s="283"/>
      <c r="C192" s="283" t="s">
        <v>327</v>
      </c>
      <c r="D192" s="283" t="s">
        <v>560</v>
      </c>
      <c r="E192" s="283"/>
      <c r="F192" s="284">
        <v>0</v>
      </c>
      <c r="G192" s="284">
        <v>0</v>
      </c>
      <c r="H192" s="284">
        <v>0</v>
      </c>
      <c r="I192" s="284">
        <v>0</v>
      </c>
      <c r="J192" s="285">
        <f t="shared" si="2"/>
        <v>0</v>
      </c>
      <c r="K192" s="119"/>
    </row>
    <row r="193" spans="1:11" ht="12.75" hidden="1">
      <c r="A193" s="283"/>
      <c r="B193" s="283"/>
      <c r="C193" s="283" t="s">
        <v>328</v>
      </c>
      <c r="D193" s="283" t="s">
        <v>329</v>
      </c>
      <c r="E193" s="283"/>
      <c r="F193" s="284">
        <v>0</v>
      </c>
      <c r="G193" s="284">
        <v>0</v>
      </c>
      <c r="H193" s="284">
        <v>0</v>
      </c>
      <c r="I193" s="284">
        <v>0</v>
      </c>
      <c r="J193" s="285">
        <f t="shared" si="2"/>
        <v>0</v>
      </c>
      <c r="K193" s="119"/>
    </row>
    <row r="194" spans="1:11" ht="12.75" hidden="1">
      <c r="A194" s="283"/>
      <c r="B194" s="283"/>
      <c r="C194" s="283" t="s">
        <v>561</v>
      </c>
      <c r="D194" s="283" t="s">
        <v>562</v>
      </c>
      <c r="E194" s="283"/>
      <c r="F194" s="284">
        <v>0</v>
      </c>
      <c r="G194" s="284">
        <v>0</v>
      </c>
      <c r="H194" s="284">
        <v>0</v>
      </c>
      <c r="I194" s="284">
        <v>0</v>
      </c>
      <c r="J194" s="285">
        <f t="shared" si="2"/>
        <v>0</v>
      </c>
      <c r="K194" s="119"/>
    </row>
    <row r="195" spans="1:11" ht="12.75" hidden="1">
      <c r="A195" s="283"/>
      <c r="B195" s="283"/>
      <c r="C195" s="283"/>
      <c r="D195" s="297" t="s">
        <v>563</v>
      </c>
      <c r="E195" s="297" t="s">
        <v>564</v>
      </c>
      <c r="F195" s="302">
        <v>0</v>
      </c>
      <c r="G195" s="302">
        <v>0</v>
      </c>
      <c r="H195" s="302">
        <v>0</v>
      </c>
      <c r="I195" s="302">
        <v>0</v>
      </c>
      <c r="J195" s="285">
        <f t="shared" si="2"/>
        <v>0</v>
      </c>
      <c r="K195" s="119"/>
    </row>
    <row r="196" spans="1:11" ht="12.75" hidden="1">
      <c r="A196" s="283"/>
      <c r="B196" s="283"/>
      <c r="C196" s="283"/>
      <c r="D196" s="297" t="s">
        <v>565</v>
      </c>
      <c r="E196" s="297" t="s">
        <v>566</v>
      </c>
      <c r="F196" s="302">
        <v>0</v>
      </c>
      <c r="G196" s="302">
        <v>0</v>
      </c>
      <c r="H196" s="302">
        <v>0</v>
      </c>
      <c r="I196" s="302">
        <v>0</v>
      </c>
      <c r="J196" s="285">
        <f t="shared" si="2"/>
        <v>0</v>
      </c>
      <c r="K196" s="119"/>
    </row>
    <row r="197" spans="1:11" ht="12.75">
      <c r="A197" s="287"/>
      <c r="B197" s="280" t="s">
        <v>330</v>
      </c>
      <c r="C197" s="692" t="s">
        <v>331</v>
      </c>
      <c r="D197" s="692"/>
      <c r="E197" s="692"/>
      <c r="F197" s="281">
        <v>0</v>
      </c>
      <c r="G197" s="281">
        <v>0</v>
      </c>
      <c r="H197" s="281">
        <v>0</v>
      </c>
      <c r="I197" s="281">
        <v>0</v>
      </c>
      <c r="J197" s="282">
        <f t="shared" si="2"/>
        <v>0</v>
      </c>
      <c r="K197" s="118"/>
    </row>
    <row r="198" spans="1:11" ht="12.75">
      <c r="A198" s="287"/>
      <c r="B198" s="280" t="s">
        <v>332</v>
      </c>
      <c r="C198" s="692" t="s">
        <v>333</v>
      </c>
      <c r="D198" s="692"/>
      <c r="E198" s="692"/>
      <c r="F198" s="281">
        <v>0</v>
      </c>
      <c r="G198" s="281">
        <v>0</v>
      </c>
      <c r="H198" s="281">
        <v>0</v>
      </c>
      <c r="I198" s="281">
        <v>0</v>
      </c>
      <c r="J198" s="282">
        <f t="shared" si="2"/>
        <v>0</v>
      </c>
      <c r="K198" s="118"/>
    </row>
    <row r="199" spans="1:11" ht="12.75">
      <c r="A199" s="287"/>
      <c r="B199" s="280" t="s">
        <v>567</v>
      </c>
      <c r="C199" s="692" t="s">
        <v>568</v>
      </c>
      <c r="D199" s="692"/>
      <c r="E199" s="692"/>
      <c r="F199" s="281">
        <v>0</v>
      </c>
      <c r="G199" s="281">
        <v>0</v>
      </c>
      <c r="H199" s="281">
        <v>0</v>
      </c>
      <c r="I199" s="281">
        <v>0</v>
      </c>
      <c r="J199" s="282">
        <f t="shared" si="2"/>
        <v>0</v>
      </c>
      <c r="K199" s="118"/>
    </row>
    <row r="200" spans="1:11" ht="12.75">
      <c r="A200" s="287"/>
      <c r="B200" s="287"/>
      <c r="C200" s="311"/>
      <c r="D200" s="313"/>
      <c r="E200" s="312"/>
      <c r="F200" s="304"/>
      <c r="G200" s="305"/>
      <c r="H200" s="305"/>
      <c r="I200" s="305"/>
      <c r="J200" s="304">
        <f t="shared" si="2"/>
        <v>0</v>
      </c>
      <c r="K200" s="123"/>
    </row>
    <row r="201" spans="1:11" s="75" customFormat="1" ht="15.75">
      <c r="A201" s="699" t="s">
        <v>446</v>
      </c>
      <c r="B201" s="699"/>
      <c r="C201" s="699"/>
      <c r="D201" s="699"/>
      <c r="E201" s="699"/>
      <c r="F201" s="306">
        <f>SUM(F173+F147+F131+F123+F87+F58+F41+F7)</f>
        <v>2174669881</v>
      </c>
      <c r="G201" s="306">
        <f>SUM(G173+G147+G131+G123+G87+G58+G41+G7)</f>
        <v>8061289</v>
      </c>
      <c r="H201" s="306">
        <f>SUM(H173+H147+H131+H123+H87+H58+H41+H7)</f>
        <v>14526312</v>
      </c>
      <c r="I201" s="306">
        <f>SUM(I173+I147+I131+I123+I87+I58+I41+I7)</f>
        <v>18805631</v>
      </c>
      <c r="J201" s="308">
        <f t="shared" si="2"/>
        <v>2216063113</v>
      </c>
      <c r="K201" s="124"/>
    </row>
    <row r="202" spans="1:11" s="75" customFormat="1" ht="15.75">
      <c r="A202" s="1318"/>
      <c r="B202" s="1318"/>
      <c r="C202" s="1318"/>
      <c r="D202" s="1318"/>
      <c r="E202" s="1318"/>
      <c r="F202" s="1319"/>
      <c r="G202" s="1319"/>
      <c r="H202" s="1319"/>
      <c r="I202" s="1319"/>
      <c r="J202" s="1320"/>
      <c r="K202" s="1319"/>
    </row>
    <row r="203" spans="1:2" ht="12.75">
      <c r="A203" s="277">
        <v>12</v>
      </c>
      <c r="B203" s="277" t="s">
        <v>1020</v>
      </c>
    </row>
    <row r="204" spans="1:2" ht="12.75">
      <c r="A204" s="277">
        <v>13</v>
      </c>
      <c r="B204" s="277" t="s">
        <v>1049</v>
      </c>
    </row>
  </sheetData>
  <sheetProtection/>
  <mergeCells count="54">
    <mergeCell ref="B173:E173"/>
    <mergeCell ref="C174:E174"/>
    <mergeCell ref="C199:E199"/>
    <mergeCell ref="A201:E201"/>
    <mergeCell ref="C128:E128"/>
    <mergeCell ref="B131:E131"/>
    <mergeCell ref="C135:E135"/>
    <mergeCell ref="C145:E145"/>
    <mergeCell ref="B147:E147"/>
    <mergeCell ref="C151:E151"/>
    <mergeCell ref="C161:E161"/>
    <mergeCell ref="C148:E148"/>
    <mergeCell ref="D105:E105"/>
    <mergeCell ref="D108:E108"/>
    <mergeCell ref="D113:E113"/>
    <mergeCell ref="D120:E120"/>
    <mergeCell ref="B123:E123"/>
    <mergeCell ref="C124:E124"/>
    <mergeCell ref="C46:E46"/>
    <mergeCell ref="B58:E58"/>
    <mergeCell ref="C62:E62"/>
    <mergeCell ref="C65:E65"/>
    <mergeCell ref="C76:E76"/>
    <mergeCell ref="B87:E87"/>
    <mergeCell ref="C44:E44"/>
    <mergeCell ref="C16:E16"/>
    <mergeCell ref="C17:E17"/>
    <mergeCell ref="C45:E45"/>
    <mergeCell ref="A5:E5"/>
    <mergeCell ref="C18:E18"/>
    <mergeCell ref="C30:E30"/>
    <mergeCell ref="B41:E41"/>
    <mergeCell ref="D112:E112"/>
    <mergeCell ref="C129:E129"/>
    <mergeCell ref="C126:E126"/>
    <mergeCell ref="C130:E130"/>
    <mergeCell ref="C149:E149"/>
    <mergeCell ref="C150:E150"/>
    <mergeCell ref="C43:E43"/>
    <mergeCell ref="C60:E60"/>
    <mergeCell ref="C59:E59"/>
    <mergeCell ref="C134:E134"/>
    <mergeCell ref="C132:E132"/>
    <mergeCell ref="C133:E133"/>
    <mergeCell ref="C197:E197"/>
    <mergeCell ref="C198:E198"/>
    <mergeCell ref="F1:J1"/>
    <mergeCell ref="A2:J2"/>
    <mergeCell ref="B6:E6"/>
    <mergeCell ref="C42:E42"/>
    <mergeCell ref="C61:E61"/>
    <mergeCell ref="B7:E7"/>
    <mergeCell ref="C8:E8"/>
    <mergeCell ref="C29:E29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E31"/>
  <sheetViews>
    <sheetView zoomScalePageLayoutView="0" workbookViewId="0" topLeftCell="A1">
      <selection activeCell="C5" sqref="C5:D5"/>
    </sheetView>
  </sheetViews>
  <sheetFormatPr defaultColWidth="8.875" defaultRowHeight="12.75"/>
  <cols>
    <col min="1" max="1" width="4.125" style="39" bestFit="1" customWidth="1"/>
    <col min="2" max="2" width="2.375" style="18" customWidth="1"/>
    <col min="3" max="3" width="59.25390625" style="18" customWidth="1"/>
    <col min="4" max="4" width="13.75390625" style="18" customWidth="1"/>
    <col min="5" max="16384" width="8.875" style="18" customWidth="1"/>
  </cols>
  <sheetData>
    <row r="1" spans="3:5" ht="18">
      <c r="C1" s="723" t="s">
        <v>1094</v>
      </c>
      <c r="D1" s="855"/>
      <c r="E1" s="34"/>
    </row>
    <row r="2" spans="3:5" ht="15">
      <c r="C2" s="2"/>
      <c r="D2" s="34"/>
      <c r="E2" s="34"/>
    </row>
    <row r="3" spans="2:4" ht="15">
      <c r="B3" s="859" t="s">
        <v>376</v>
      </c>
      <c r="C3" s="859"/>
      <c r="D3" s="859"/>
    </row>
    <row r="4" spans="2:4" ht="15">
      <c r="B4" s="859" t="s">
        <v>452</v>
      </c>
      <c r="C4" s="859"/>
      <c r="D4" s="859"/>
    </row>
    <row r="5" spans="2:4" ht="15">
      <c r="B5" s="20"/>
      <c r="C5" s="20"/>
      <c r="D5" s="20"/>
    </row>
    <row r="6" ht="15">
      <c r="D6" s="19"/>
    </row>
    <row r="7" spans="1:4" s="21" customFormat="1" ht="21" customHeight="1">
      <c r="A7" s="856" t="s">
        <v>439</v>
      </c>
      <c r="B7" s="860" t="s">
        <v>361</v>
      </c>
      <c r="C7" s="860"/>
      <c r="D7" s="41" t="s">
        <v>374</v>
      </c>
    </row>
    <row r="8" spans="1:4" s="38" customFormat="1" ht="12">
      <c r="A8" s="857"/>
      <c r="B8" s="861" t="s">
        <v>433</v>
      </c>
      <c r="C8" s="862"/>
      <c r="D8" s="40" t="s">
        <v>434</v>
      </c>
    </row>
    <row r="9" spans="1:4" s="21" customFormat="1" ht="25.5" customHeight="1">
      <c r="A9" s="40">
        <v>1</v>
      </c>
      <c r="B9" s="23" t="s">
        <v>387</v>
      </c>
      <c r="C9" s="22"/>
      <c r="D9" s="46"/>
    </row>
    <row r="10" spans="1:4" ht="15">
      <c r="A10" s="40">
        <v>2</v>
      </c>
      <c r="B10" s="42"/>
      <c r="C10" s="37" t="s">
        <v>432</v>
      </c>
      <c r="D10" s="63">
        <v>1000000</v>
      </c>
    </row>
    <row r="11" spans="1:4" s="21" customFormat="1" ht="15.75" customHeight="1">
      <c r="A11" s="40">
        <v>3</v>
      </c>
      <c r="B11" s="42"/>
      <c r="C11" s="37" t="s">
        <v>1074</v>
      </c>
      <c r="D11" s="1298">
        <v>-1000000</v>
      </c>
    </row>
    <row r="12" spans="1:4" s="21" customFormat="1" ht="14.25">
      <c r="A12" s="40">
        <v>4</v>
      </c>
      <c r="B12" s="23" t="s">
        <v>364</v>
      </c>
      <c r="C12" s="23"/>
      <c r="D12" s="64">
        <f>SUM(D10:D11)</f>
        <v>0</v>
      </c>
    </row>
    <row r="13" spans="1:4" s="21" customFormat="1" ht="25.5" customHeight="1">
      <c r="A13" s="45"/>
      <c r="B13" s="44"/>
      <c r="C13" s="44"/>
      <c r="D13" s="46"/>
    </row>
    <row r="14" spans="1:4" s="21" customFormat="1" ht="14.25">
      <c r="A14" s="40">
        <v>5</v>
      </c>
      <c r="B14" s="858" t="s">
        <v>386</v>
      </c>
      <c r="C14" s="858"/>
      <c r="D14" s="858"/>
    </row>
    <row r="15" spans="1:4" s="21" customFormat="1" ht="39.75" customHeight="1">
      <c r="A15" s="40">
        <v>6</v>
      </c>
      <c r="B15" s="42"/>
      <c r="C15" s="37" t="s">
        <v>922</v>
      </c>
      <c r="D15" s="63">
        <v>350000</v>
      </c>
    </row>
    <row r="16" spans="1:4" ht="45">
      <c r="A16" s="40">
        <v>7</v>
      </c>
      <c r="B16" s="42"/>
      <c r="C16" s="37" t="s">
        <v>923</v>
      </c>
      <c r="D16" s="63">
        <v>200000</v>
      </c>
    </row>
    <row r="17" spans="1:4" s="21" customFormat="1" ht="14.25">
      <c r="A17" s="40">
        <v>8</v>
      </c>
      <c r="B17" s="23" t="s">
        <v>364</v>
      </c>
      <c r="C17" s="23"/>
      <c r="D17" s="64">
        <f>SUM(D15:D16)</f>
        <v>550000</v>
      </c>
    </row>
    <row r="18" spans="1:4" s="21" customFormat="1" ht="25.5" customHeight="1">
      <c r="A18" s="45"/>
      <c r="B18" s="44"/>
      <c r="C18" s="44"/>
      <c r="D18" s="46"/>
    </row>
    <row r="19" spans="1:4" ht="15">
      <c r="A19" s="40">
        <v>9</v>
      </c>
      <c r="B19" s="23" t="s">
        <v>625</v>
      </c>
      <c r="C19" s="22"/>
      <c r="D19" s="46"/>
    </row>
    <row r="20" spans="1:4" s="21" customFormat="1" ht="15.75" customHeight="1">
      <c r="A20" s="40">
        <v>10</v>
      </c>
      <c r="B20" s="42"/>
      <c r="C20" s="37" t="s">
        <v>624</v>
      </c>
      <c r="D20" s="63">
        <v>1000000</v>
      </c>
    </row>
    <row r="21" spans="1:4" s="21" customFormat="1" ht="14.25">
      <c r="A21" s="40">
        <v>11</v>
      </c>
      <c r="B21" s="23" t="s">
        <v>364</v>
      </c>
      <c r="C21" s="23"/>
      <c r="D21" s="64">
        <f>SUM(D20:D20)</f>
        <v>1000000</v>
      </c>
    </row>
    <row r="22" spans="1:4" ht="15.75" customHeight="1">
      <c r="A22" s="45"/>
      <c r="B22" s="44"/>
      <c r="C22" s="44"/>
      <c r="D22" s="46"/>
    </row>
    <row r="23" spans="1:4" s="21" customFormat="1" ht="14.25">
      <c r="A23" s="40">
        <v>12</v>
      </c>
      <c r="B23" s="23" t="s">
        <v>389</v>
      </c>
      <c r="C23" s="23"/>
      <c r="D23" s="64">
        <f>SUM(D12,D17,D21)</f>
        <v>1550000</v>
      </c>
    </row>
    <row r="24" spans="1:4" s="21" customFormat="1" ht="25.5" customHeight="1">
      <c r="A24" s="45"/>
      <c r="B24" s="44"/>
      <c r="C24" s="44"/>
      <c r="D24" s="46"/>
    </row>
    <row r="25" spans="1:4" s="21" customFormat="1" ht="14.25">
      <c r="A25" s="40">
        <v>13</v>
      </c>
      <c r="B25" s="858" t="s">
        <v>371</v>
      </c>
      <c r="C25" s="858"/>
      <c r="D25" s="858"/>
    </row>
    <row r="26" spans="1:4" ht="15.75" customHeight="1">
      <c r="A26" s="40"/>
      <c r="B26" s="42"/>
      <c r="C26" s="37"/>
      <c r="D26" s="43"/>
    </row>
    <row r="27" spans="1:4" s="21" customFormat="1" ht="14.25">
      <c r="A27" s="40">
        <v>14</v>
      </c>
      <c r="B27" s="23" t="s">
        <v>390</v>
      </c>
      <c r="C27" s="23"/>
      <c r="D27" s="64">
        <f>SUM(D26:D26)</f>
        <v>0</v>
      </c>
    </row>
    <row r="28" spans="1:4" ht="15.75" customHeight="1">
      <c r="A28" s="45"/>
      <c r="B28" s="44"/>
      <c r="C28" s="44"/>
      <c r="D28" s="46"/>
    </row>
    <row r="29" spans="1:4" ht="15">
      <c r="A29" s="40">
        <v>15</v>
      </c>
      <c r="B29" s="23" t="s">
        <v>388</v>
      </c>
      <c r="C29" s="23"/>
      <c r="D29" s="64">
        <f>SUM(D27,D23)</f>
        <v>1550000</v>
      </c>
    </row>
    <row r="31" spans="2:3" ht="15">
      <c r="B31" s="1297">
        <v>30</v>
      </c>
      <c r="C31" s="277" t="s">
        <v>1049</v>
      </c>
    </row>
  </sheetData>
  <sheetProtection/>
  <mergeCells count="8">
    <mergeCell ref="B25:D25"/>
    <mergeCell ref="A7:A8"/>
    <mergeCell ref="C1:D1"/>
    <mergeCell ref="B3:D3"/>
    <mergeCell ref="B7:C7"/>
    <mergeCell ref="B4:D4"/>
    <mergeCell ref="B8:C8"/>
    <mergeCell ref="B14:D14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0"/>
  <sheetViews>
    <sheetView zoomScalePageLayoutView="0" workbookViewId="0" topLeftCell="A1">
      <selection activeCell="C48" sqref="C48"/>
    </sheetView>
  </sheetViews>
  <sheetFormatPr defaultColWidth="9.00390625" defaultRowHeight="12.75"/>
  <cols>
    <col min="1" max="1" width="9.25390625" style="9" customWidth="1"/>
    <col min="2" max="2" width="8.875" style="7" customWidth="1"/>
    <col min="3" max="3" width="69.25390625" style="7" customWidth="1"/>
    <col min="4" max="4" width="9.75390625" style="7" bestFit="1" customWidth="1"/>
    <col min="5" max="5" width="10.375" style="7" bestFit="1" customWidth="1"/>
    <col min="6" max="6" width="16.125" style="7" bestFit="1" customWidth="1"/>
    <col min="7" max="7" width="9.75390625" style="7" bestFit="1" customWidth="1"/>
    <col min="8" max="8" width="11.25390625" style="7" customWidth="1"/>
    <col min="9" max="9" width="9.625" style="7" customWidth="1"/>
    <col min="10" max="10" width="11.25390625" style="7" customWidth="1"/>
    <col min="11" max="12" width="16.125" style="7" bestFit="1" customWidth="1"/>
    <col min="13" max="13" width="9.125" style="7" customWidth="1"/>
    <col min="14" max="14" width="12.375" style="7" bestFit="1" customWidth="1"/>
    <col min="15" max="16384" width="9.125" style="7" customWidth="1"/>
  </cols>
  <sheetData>
    <row r="1" spans="9:13" ht="15" customHeight="1">
      <c r="I1" s="113" t="s">
        <v>1075</v>
      </c>
      <c r="J1" s="62"/>
      <c r="K1" s="62"/>
      <c r="L1" s="112"/>
      <c r="M1" s="62"/>
    </row>
    <row r="2" spans="1:256" ht="15.75" customHeight="1">
      <c r="A2" s="872" t="s">
        <v>910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62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>
      <c r="A3" s="873" t="s">
        <v>1076</v>
      </c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62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ht="13.5" thickBot="1"/>
    <row r="5" spans="1:256" ht="12.75" customHeight="1">
      <c r="A5" s="874" t="s">
        <v>455</v>
      </c>
      <c r="B5" s="875"/>
      <c r="C5" s="876"/>
      <c r="D5" s="874" t="s">
        <v>448</v>
      </c>
      <c r="E5" s="875"/>
      <c r="F5" s="877"/>
      <c r="G5" s="878" t="s">
        <v>578</v>
      </c>
      <c r="H5" s="879"/>
      <c r="I5" s="879"/>
      <c r="J5" s="880"/>
      <c r="K5" s="881"/>
      <c r="L5" s="866" t="s">
        <v>366</v>
      </c>
      <c r="M5" s="6"/>
      <c r="N5" s="6" t="s">
        <v>481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25.5">
      <c r="A6" s="868" t="s">
        <v>456</v>
      </c>
      <c r="B6" s="869"/>
      <c r="C6" s="624" t="s">
        <v>457</v>
      </c>
      <c r="D6" s="625" t="s">
        <v>458</v>
      </c>
      <c r="E6" s="627" t="s">
        <v>459</v>
      </c>
      <c r="F6" s="628" t="s">
        <v>480</v>
      </c>
      <c r="G6" s="625" t="s">
        <v>460</v>
      </c>
      <c r="H6" s="626" t="s">
        <v>470</v>
      </c>
      <c r="I6" s="626" t="s">
        <v>461</v>
      </c>
      <c r="J6" s="626" t="s">
        <v>470</v>
      </c>
      <c r="K6" s="628" t="s">
        <v>621</v>
      </c>
      <c r="L6" s="86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870" t="s">
        <v>433</v>
      </c>
      <c r="B7" s="871"/>
      <c r="C7" s="632" t="s">
        <v>434</v>
      </c>
      <c r="D7" s="633" t="s">
        <v>435</v>
      </c>
      <c r="E7" s="634" t="s">
        <v>436</v>
      </c>
      <c r="F7" s="635" t="s">
        <v>437</v>
      </c>
      <c r="G7" s="633" t="s">
        <v>438</v>
      </c>
      <c r="H7" s="636" t="s">
        <v>440</v>
      </c>
      <c r="I7" s="636" t="s">
        <v>441</v>
      </c>
      <c r="J7" s="636" t="s">
        <v>392</v>
      </c>
      <c r="K7" s="635" t="s">
        <v>393</v>
      </c>
      <c r="L7" s="650" t="s">
        <v>394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2:256" ht="12.75">
      <c r="B8" s="642"/>
      <c r="C8" s="643" t="s">
        <v>479</v>
      </c>
      <c r="D8" s="644"/>
      <c r="E8" s="645"/>
      <c r="F8" s="646">
        <f>F9+F10+F15+F16+F17+F18</f>
        <v>209770154</v>
      </c>
      <c r="G8" s="644"/>
      <c r="H8" s="647"/>
      <c r="I8" s="647"/>
      <c r="J8" s="645"/>
      <c r="K8" s="646"/>
      <c r="L8" s="651">
        <f aca="true" t="shared" si="0" ref="L8:L14">F8+K8</f>
        <v>209770154</v>
      </c>
      <c r="M8" s="641"/>
      <c r="N8" s="653">
        <f>SUM(N9:N18)</f>
        <v>209770154</v>
      </c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2.75">
      <c r="A9" s="683" t="s">
        <v>1077</v>
      </c>
      <c r="B9" s="637" t="s">
        <v>519</v>
      </c>
      <c r="C9" s="638" t="s">
        <v>471</v>
      </c>
      <c r="D9" s="654">
        <v>26.11</v>
      </c>
      <c r="E9" s="655">
        <v>5450000</v>
      </c>
      <c r="F9" s="656">
        <f>D9*E9</f>
        <v>142299500</v>
      </c>
      <c r="G9" s="657"/>
      <c r="H9" s="658"/>
      <c r="I9" s="658"/>
      <c r="J9" s="655"/>
      <c r="K9" s="656"/>
      <c r="L9" s="659">
        <f t="shared" si="0"/>
        <v>142299500</v>
      </c>
      <c r="M9" s="639"/>
      <c r="N9" s="629">
        <f>SUM(L9)</f>
        <v>142299500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12.75">
      <c r="A10" s="684"/>
      <c r="B10" s="637" t="s">
        <v>520</v>
      </c>
      <c r="C10" s="638" t="s">
        <v>803</v>
      </c>
      <c r="D10" s="657"/>
      <c r="E10" s="655"/>
      <c r="F10" s="656">
        <v>65506481</v>
      </c>
      <c r="G10" s="657"/>
      <c r="H10" s="658"/>
      <c r="I10" s="658"/>
      <c r="J10" s="655"/>
      <c r="K10" s="656"/>
      <c r="L10" s="659">
        <f t="shared" si="0"/>
        <v>65506481</v>
      </c>
      <c r="M10" s="639"/>
      <c r="N10" s="629">
        <f>SUM(L11:L14)</f>
        <v>65506481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14" ht="12.75">
      <c r="A11" s="685"/>
      <c r="B11" s="1299" t="s">
        <v>521</v>
      </c>
      <c r="C11" s="1300" t="s">
        <v>804</v>
      </c>
      <c r="D11" s="660"/>
      <c r="E11" s="661">
        <v>25200</v>
      </c>
      <c r="F11" s="662">
        <v>20189141</v>
      </c>
      <c r="G11" s="660"/>
      <c r="H11" s="663"/>
      <c r="I11" s="663"/>
      <c r="J11" s="661"/>
      <c r="K11" s="662"/>
      <c r="L11" s="664">
        <f t="shared" si="0"/>
        <v>20189141</v>
      </c>
      <c r="M11" s="629"/>
      <c r="N11" s="629"/>
    </row>
    <row r="12" spans="1:14" ht="12.75">
      <c r="A12" s="685"/>
      <c r="B12" s="1299" t="s">
        <v>522</v>
      </c>
      <c r="C12" s="1300" t="s">
        <v>805</v>
      </c>
      <c r="D12" s="660"/>
      <c r="E12" s="661"/>
      <c r="F12" s="662">
        <v>30240000</v>
      </c>
      <c r="G12" s="660"/>
      <c r="H12" s="663"/>
      <c r="I12" s="663"/>
      <c r="J12" s="661"/>
      <c r="K12" s="662"/>
      <c r="L12" s="664">
        <f t="shared" si="0"/>
        <v>30240000</v>
      </c>
      <c r="M12" s="629"/>
      <c r="N12" s="629"/>
    </row>
    <row r="13" spans="1:14" ht="12.75">
      <c r="A13" s="685"/>
      <c r="B13" s="1299" t="s">
        <v>523</v>
      </c>
      <c r="C13" s="1300" t="s">
        <v>806</v>
      </c>
      <c r="D13" s="660"/>
      <c r="E13" s="661"/>
      <c r="F13" s="662">
        <v>0</v>
      </c>
      <c r="G13" s="660"/>
      <c r="H13" s="663"/>
      <c r="I13" s="663"/>
      <c r="J13" s="661"/>
      <c r="K13" s="662"/>
      <c r="L13" s="664">
        <f t="shared" si="0"/>
        <v>0</v>
      </c>
      <c r="M13" s="629"/>
      <c r="N13" s="629"/>
    </row>
    <row r="14" spans="1:14" ht="12.75">
      <c r="A14" s="685"/>
      <c r="B14" s="1299" t="s">
        <v>524</v>
      </c>
      <c r="C14" s="1300" t="s">
        <v>807</v>
      </c>
      <c r="D14" s="660"/>
      <c r="E14" s="661"/>
      <c r="F14" s="662">
        <v>15077340</v>
      </c>
      <c r="G14" s="660"/>
      <c r="H14" s="663"/>
      <c r="I14" s="663"/>
      <c r="J14" s="661"/>
      <c r="K14" s="662"/>
      <c r="L14" s="664">
        <f t="shared" si="0"/>
        <v>15077340</v>
      </c>
      <c r="M14" s="629"/>
      <c r="N14" s="629"/>
    </row>
    <row r="15" spans="1:256" ht="12.75">
      <c r="A15" s="684"/>
      <c r="B15" s="637" t="s">
        <v>525</v>
      </c>
      <c r="C15" s="640" t="s">
        <v>810</v>
      </c>
      <c r="D15" s="657">
        <v>8650</v>
      </c>
      <c r="E15" s="655">
        <v>2700</v>
      </c>
      <c r="F15" s="656">
        <v>0</v>
      </c>
      <c r="G15" s="657"/>
      <c r="H15" s="658"/>
      <c r="I15" s="658"/>
      <c r="J15" s="655"/>
      <c r="K15" s="656"/>
      <c r="L15" s="659">
        <f>F15+K15</f>
        <v>0</v>
      </c>
      <c r="M15" s="639"/>
      <c r="N15" s="629">
        <f>SUM(L15)</f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256" ht="12.75">
      <c r="A16" s="684"/>
      <c r="B16" s="637" t="s">
        <v>526</v>
      </c>
      <c r="C16" s="640" t="s">
        <v>90</v>
      </c>
      <c r="D16" s="657">
        <v>264</v>
      </c>
      <c r="E16" s="655">
        <v>2550</v>
      </c>
      <c r="F16" s="656">
        <v>0</v>
      </c>
      <c r="G16" s="657"/>
      <c r="H16" s="658"/>
      <c r="I16" s="658"/>
      <c r="J16" s="655"/>
      <c r="K16" s="656"/>
      <c r="L16" s="659">
        <f>F16+K16</f>
        <v>0</v>
      </c>
      <c r="M16" s="639"/>
      <c r="N16" s="629">
        <f>SUM(L16)</f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7" spans="1:256" ht="12.75">
      <c r="A17" s="684"/>
      <c r="B17" s="637" t="s">
        <v>736</v>
      </c>
      <c r="C17" s="640" t="s">
        <v>737</v>
      </c>
      <c r="D17" s="657"/>
      <c r="E17" s="655"/>
      <c r="F17" s="656">
        <v>1538000</v>
      </c>
      <c r="G17" s="657"/>
      <c r="H17" s="658"/>
      <c r="I17" s="658"/>
      <c r="J17" s="655"/>
      <c r="K17" s="656"/>
      <c r="L17" s="659">
        <f>F17+K17</f>
        <v>1538000</v>
      </c>
      <c r="M17" s="639"/>
      <c r="N17" s="629">
        <f>SUM(L17)</f>
        <v>1538000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spans="1:14" ht="25.5">
      <c r="A18" s="683" t="s">
        <v>1078</v>
      </c>
      <c r="B18" s="637" t="s">
        <v>1032</v>
      </c>
      <c r="C18" s="638" t="s">
        <v>1033</v>
      </c>
      <c r="D18" s="657"/>
      <c r="E18" s="655"/>
      <c r="F18" s="656">
        <f>383873+42300</f>
        <v>426173</v>
      </c>
      <c r="G18" s="670"/>
      <c r="H18" s="658"/>
      <c r="I18" s="671"/>
      <c r="J18" s="655"/>
      <c r="K18" s="656"/>
      <c r="L18" s="659">
        <f>F18+K18</f>
        <v>426173</v>
      </c>
      <c r="M18" s="639"/>
      <c r="N18" s="629">
        <f>SUM(L18)</f>
        <v>426173</v>
      </c>
    </row>
    <row r="19" spans="2:256" ht="25.5">
      <c r="B19" s="648"/>
      <c r="C19" s="643" t="s">
        <v>111</v>
      </c>
      <c r="D19" s="665"/>
      <c r="E19" s="666"/>
      <c r="F19" s="646"/>
      <c r="G19" s="665"/>
      <c r="H19" s="667"/>
      <c r="I19" s="667"/>
      <c r="J19" s="666"/>
      <c r="K19" s="646">
        <f>K20+K23+K24</f>
        <v>118098200</v>
      </c>
      <c r="L19" s="651">
        <f>F19+K19</f>
        <v>118098200</v>
      </c>
      <c r="M19" s="629"/>
      <c r="N19" s="652">
        <f>SUM(N23:N24,+N20)</f>
        <v>118098200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14" ht="25.5">
      <c r="A20" s="683" t="s">
        <v>1079</v>
      </c>
      <c r="B20" s="637" t="s">
        <v>472</v>
      </c>
      <c r="C20" s="638" t="s">
        <v>112</v>
      </c>
      <c r="D20" s="657"/>
      <c r="E20" s="655"/>
      <c r="F20" s="656"/>
      <c r="G20" s="657"/>
      <c r="H20" s="658"/>
      <c r="I20" s="658"/>
      <c r="J20" s="655"/>
      <c r="K20" s="656">
        <f>SUM(K21:K22)</f>
        <v>94595400</v>
      </c>
      <c r="L20" s="659">
        <f>SUM(K20,F20)</f>
        <v>94595400</v>
      </c>
      <c r="M20" s="639"/>
      <c r="N20" s="629">
        <f>SUM(L21:L22)</f>
        <v>94595400</v>
      </c>
    </row>
    <row r="21" spans="1:14" ht="12.75">
      <c r="A21" s="685"/>
      <c r="B21" s="1299" t="s">
        <v>738</v>
      </c>
      <c r="C21" s="1300" t="s">
        <v>473</v>
      </c>
      <c r="D21" s="660"/>
      <c r="E21" s="661"/>
      <c r="F21" s="662"/>
      <c r="G21" s="668">
        <v>15.6</v>
      </c>
      <c r="H21" s="663">
        <v>4371500</v>
      </c>
      <c r="I21" s="669">
        <v>15.6</v>
      </c>
      <c r="J21" s="663">
        <v>4371500</v>
      </c>
      <c r="K21" s="662">
        <f>(G21*H21/12*8)+(I21*J21/12*4)</f>
        <v>68195400</v>
      </c>
      <c r="L21" s="664">
        <f>F21+K21</f>
        <v>68195400</v>
      </c>
      <c r="M21" s="629"/>
      <c r="N21" s="629"/>
    </row>
    <row r="22" spans="1:256" ht="25.5">
      <c r="A22" s="685"/>
      <c r="B22" s="1299" t="s">
        <v>739</v>
      </c>
      <c r="C22" s="1301" t="s">
        <v>580</v>
      </c>
      <c r="D22" s="660"/>
      <c r="E22" s="661"/>
      <c r="F22" s="662"/>
      <c r="G22" s="660">
        <v>11</v>
      </c>
      <c r="H22" s="663">
        <v>2400000</v>
      </c>
      <c r="I22" s="663">
        <v>11</v>
      </c>
      <c r="J22" s="661">
        <v>2400000</v>
      </c>
      <c r="K22" s="662">
        <f>(G22*H22/12*8)+(I22*J22/12*4)</f>
        <v>26400000</v>
      </c>
      <c r="L22" s="664">
        <f>F22+K22</f>
        <v>26400000</v>
      </c>
      <c r="M22" s="629"/>
      <c r="N22" s="629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256" ht="12.75">
      <c r="A23" s="684"/>
      <c r="B23" s="637" t="s">
        <v>474</v>
      </c>
      <c r="C23" s="640" t="s">
        <v>475</v>
      </c>
      <c r="D23" s="657"/>
      <c r="E23" s="655"/>
      <c r="F23" s="656"/>
      <c r="G23" s="670">
        <v>179</v>
      </c>
      <c r="H23" s="658">
        <v>97400</v>
      </c>
      <c r="I23" s="671">
        <v>179</v>
      </c>
      <c r="J23" s="655">
        <v>97400</v>
      </c>
      <c r="K23" s="656">
        <f>(G23*H23/12*8)+(I23*J23/12*4)</f>
        <v>17434600</v>
      </c>
      <c r="L23" s="659">
        <f>F23+K23</f>
        <v>17434600</v>
      </c>
      <c r="M23" s="639"/>
      <c r="N23" s="629">
        <f>SUM(L23)</f>
        <v>17434600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256" ht="25.5">
      <c r="A24" s="684"/>
      <c r="B24" s="637" t="s">
        <v>527</v>
      </c>
      <c r="C24" s="638" t="s">
        <v>528</v>
      </c>
      <c r="D24" s="657"/>
      <c r="E24" s="655"/>
      <c r="F24" s="656"/>
      <c r="G24" s="670"/>
      <c r="H24" s="658"/>
      <c r="I24" s="671"/>
      <c r="J24" s="655"/>
      <c r="K24" s="656">
        <f>SUM(K25:K28)</f>
        <v>6068200</v>
      </c>
      <c r="L24" s="659">
        <f>F24+K24</f>
        <v>6068200</v>
      </c>
      <c r="M24" s="639"/>
      <c r="N24" s="629">
        <f>SUM(L25:L28)</f>
        <v>6068200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1:14" ht="25.5">
      <c r="A25" s="685"/>
      <c r="B25" s="1299" t="s">
        <v>622</v>
      </c>
      <c r="C25" s="1301" t="s">
        <v>911</v>
      </c>
      <c r="D25" s="660"/>
      <c r="E25" s="661"/>
      <c r="F25" s="662"/>
      <c r="G25" s="660">
        <v>8</v>
      </c>
      <c r="H25" s="663">
        <v>396700</v>
      </c>
      <c r="I25" s="663"/>
      <c r="J25" s="661"/>
      <c r="K25" s="662">
        <f>G25*H25</f>
        <v>3173600</v>
      </c>
      <c r="L25" s="664">
        <f>SUM(K25)</f>
        <v>3173600</v>
      </c>
      <c r="M25" s="629"/>
      <c r="N25" s="629"/>
    </row>
    <row r="26" spans="1:14" ht="38.25">
      <c r="A26" s="685"/>
      <c r="B26" s="1299"/>
      <c r="C26" s="1301" t="s">
        <v>912</v>
      </c>
      <c r="D26" s="660"/>
      <c r="E26" s="661"/>
      <c r="F26" s="662"/>
      <c r="G26" s="660">
        <v>0</v>
      </c>
      <c r="H26" s="663">
        <v>363642</v>
      </c>
      <c r="I26" s="663"/>
      <c r="J26" s="661"/>
      <c r="K26" s="662">
        <f>G26*H26</f>
        <v>0</v>
      </c>
      <c r="L26" s="664">
        <f>SUM(K26)</f>
        <v>0</v>
      </c>
      <c r="M26" s="629"/>
      <c r="N26" s="629"/>
    </row>
    <row r="27" spans="1:14" ht="25.5">
      <c r="A27" s="685"/>
      <c r="B27" s="1299" t="s">
        <v>623</v>
      </c>
      <c r="C27" s="1301" t="s">
        <v>913</v>
      </c>
      <c r="D27" s="660"/>
      <c r="E27" s="661"/>
      <c r="F27" s="662"/>
      <c r="G27" s="660">
        <v>2</v>
      </c>
      <c r="H27" s="663">
        <v>1447300</v>
      </c>
      <c r="I27" s="663"/>
      <c r="J27" s="661"/>
      <c r="K27" s="662">
        <f>G27*H27</f>
        <v>2894600</v>
      </c>
      <c r="L27" s="664">
        <f>SUM(K27)</f>
        <v>2894600</v>
      </c>
      <c r="M27" s="629"/>
      <c r="N27" s="629"/>
    </row>
    <row r="28" spans="1:14" ht="38.25">
      <c r="A28" s="685"/>
      <c r="B28" s="1299"/>
      <c r="C28" s="1301" t="s">
        <v>914</v>
      </c>
      <c r="D28" s="660"/>
      <c r="E28" s="661"/>
      <c r="F28" s="662"/>
      <c r="G28" s="660">
        <v>0</v>
      </c>
      <c r="H28" s="663">
        <v>1326692</v>
      </c>
      <c r="I28" s="663"/>
      <c r="J28" s="661"/>
      <c r="K28" s="662">
        <f>G28*H28</f>
        <v>0</v>
      </c>
      <c r="L28" s="664">
        <f>SUM(K28)</f>
        <v>0</v>
      </c>
      <c r="M28" s="629"/>
      <c r="N28" s="629"/>
    </row>
    <row r="29" spans="2:256" ht="25.5">
      <c r="B29" s="649"/>
      <c r="C29" s="643" t="s">
        <v>1080</v>
      </c>
      <c r="D29" s="644"/>
      <c r="E29" s="645"/>
      <c r="F29" s="646">
        <f>SUM(F37+F31+F42+F30)</f>
        <v>56917923</v>
      </c>
      <c r="G29" s="672"/>
      <c r="H29" s="647"/>
      <c r="I29" s="673"/>
      <c r="J29" s="645"/>
      <c r="K29" s="646">
        <f>SUM(K37+K31+K30+K42)</f>
        <v>52661533</v>
      </c>
      <c r="L29" s="646">
        <f>SUM(L37+L31+L30+L42)</f>
        <v>109579456</v>
      </c>
      <c r="M29" s="639"/>
      <c r="N29" s="652">
        <f>SUM(N30:N42)</f>
        <v>109579456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</row>
    <row r="30" spans="1:256" ht="12.75">
      <c r="A30" s="683" t="s">
        <v>1081</v>
      </c>
      <c r="B30" s="637" t="s">
        <v>476</v>
      </c>
      <c r="C30" s="640" t="s">
        <v>881</v>
      </c>
      <c r="D30" s="657"/>
      <c r="E30" s="655"/>
      <c r="F30" s="656">
        <v>48822917</v>
      </c>
      <c r="G30" s="670"/>
      <c r="H30" s="658"/>
      <c r="I30" s="671"/>
      <c r="J30" s="655"/>
      <c r="K30" s="656">
        <v>0</v>
      </c>
      <c r="L30" s="659">
        <f aca="true" t="shared" si="1" ref="L30:L41">F30+K30</f>
        <v>48822917</v>
      </c>
      <c r="M30" s="639"/>
      <c r="N30" s="629">
        <f>SUM(L30)</f>
        <v>48822917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256" ht="12.75">
      <c r="A31" s="684"/>
      <c r="B31" s="637" t="s">
        <v>477</v>
      </c>
      <c r="C31" s="640" t="s">
        <v>478</v>
      </c>
      <c r="D31" s="657"/>
      <c r="E31" s="655"/>
      <c r="F31" s="656">
        <f>SUM(F32:F36)</f>
        <v>7545200</v>
      </c>
      <c r="G31" s="670"/>
      <c r="H31" s="658"/>
      <c r="I31" s="671"/>
      <c r="J31" s="655"/>
      <c r="K31" s="656">
        <f>SUM(K32:K36)</f>
        <v>29611142</v>
      </c>
      <c r="L31" s="659">
        <f t="shared" si="1"/>
        <v>37156342</v>
      </c>
      <c r="M31" s="639"/>
      <c r="N31" s="629">
        <f>SUM(L31)</f>
        <v>37156342</v>
      </c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14" ht="12.75">
      <c r="A32" s="685"/>
      <c r="B32" s="1299" t="s">
        <v>915</v>
      </c>
      <c r="C32" s="1300" t="s">
        <v>581</v>
      </c>
      <c r="D32" s="668"/>
      <c r="E32" s="661"/>
      <c r="F32" s="662"/>
      <c r="G32" s="674"/>
      <c r="H32" s="663"/>
      <c r="I32" s="675"/>
      <c r="J32" s="661"/>
      <c r="K32" s="662">
        <v>4158000</v>
      </c>
      <c r="L32" s="664">
        <f t="shared" si="1"/>
        <v>4158000</v>
      </c>
      <c r="M32" s="629"/>
      <c r="N32" s="629"/>
    </row>
    <row r="33" spans="1:14" ht="12.75">
      <c r="A33" s="685"/>
      <c r="B33" s="1299" t="s">
        <v>916</v>
      </c>
      <c r="C33" s="1300" t="s">
        <v>582</v>
      </c>
      <c r="D33" s="668"/>
      <c r="E33" s="661"/>
      <c r="F33" s="662"/>
      <c r="G33" s="674"/>
      <c r="H33" s="663"/>
      <c r="I33" s="675"/>
      <c r="J33" s="661"/>
      <c r="K33" s="662">
        <v>18150000</v>
      </c>
      <c r="L33" s="664">
        <f t="shared" si="1"/>
        <v>18150000</v>
      </c>
      <c r="M33" s="629"/>
      <c r="N33" s="629"/>
    </row>
    <row r="34" spans="1:14" ht="12.75">
      <c r="A34" s="685"/>
      <c r="B34" s="1299" t="s">
        <v>1082</v>
      </c>
      <c r="C34" s="1300" t="s">
        <v>464</v>
      </c>
      <c r="D34" s="668">
        <v>70</v>
      </c>
      <c r="E34" s="661">
        <v>65360</v>
      </c>
      <c r="F34" s="662">
        <f>E34*D34</f>
        <v>4575200</v>
      </c>
      <c r="G34" s="674"/>
      <c r="H34" s="663"/>
      <c r="I34" s="675"/>
      <c r="J34" s="661"/>
      <c r="K34" s="662"/>
      <c r="L34" s="664"/>
      <c r="M34" s="629"/>
      <c r="N34" s="629"/>
    </row>
    <row r="35" spans="1:256" ht="12.75">
      <c r="A35" s="685"/>
      <c r="B35" s="1299" t="s">
        <v>1083</v>
      </c>
      <c r="C35" s="1300" t="s">
        <v>1084</v>
      </c>
      <c r="D35" s="668">
        <v>9</v>
      </c>
      <c r="E35" s="661">
        <v>330000</v>
      </c>
      <c r="F35" s="662">
        <f>E35*D35</f>
        <v>2970000</v>
      </c>
      <c r="G35" s="674"/>
      <c r="H35" s="663"/>
      <c r="I35" s="675"/>
      <c r="J35" s="661"/>
      <c r="K35" s="662"/>
      <c r="L35" s="664"/>
      <c r="M35" s="629"/>
      <c r="N35" s="629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</row>
    <row r="36" spans="1:14" ht="12.75">
      <c r="A36" s="685"/>
      <c r="B36" s="1299" t="s">
        <v>917</v>
      </c>
      <c r="C36" s="1300" t="s">
        <v>811</v>
      </c>
      <c r="D36" s="660"/>
      <c r="E36" s="661"/>
      <c r="F36" s="662"/>
      <c r="G36" s="674"/>
      <c r="H36" s="663"/>
      <c r="I36" s="675"/>
      <c r="J36" s="661"/>
      <c r="K36" s="662">
        <v>7303142</v>
      </c>
      <c r="L36" s="664">
        <f t="shared" si="1"/>
        <v>7303142</v>
      </c>
      <c r="M36" s="629"/>
      <c r="N36" s="629"/>
    </row>
    <row r="37" spans="1:14" ht="12.75">
      <c r="A37" s="684"/>
      <c r="B37" s="637" t="s">
        <v>918</v>
      </c>
      <c r="C37" s="640" t="s">
        <v>740</v>
      </c>
      <c r="D37" s="657"/>
      <c r="E37" s="655"/>
      <c r="F37" s="656"/>
      <c r="G37" s="670"/>
      <c r="H37" s="658"/>
      <c r="I37" s="671"/>
      <c r="J37" s="655"/>
      <c r="K37" s="656">
        <f>SUM(K38:K41)</f>
        <v>12982000</v>
      </c>
      <c r="L37" s="659">
        <f t="shared" si="1"/>
        <v>12982000</v>
      </c>
      <c r="M37" s="639"/>
      <c r="N37" s="629">
        <f>SUM(L37)</f>
        <v>12982000</v>
      </c>
    </row>
    <row r="38" spans="1:14" ht="12.75">
      <c r="A38" s="685"/>
      <c r="B38" s="1299" t="s">
        <v>919</v>
      </c>
      <c r="C38" s="1301" t="s">
        <v>741</v>
      </c>
      <c r="D38" s="676"/>
      <c r="E38" s="661"/>
      <c r="F38" s="662"/>
      <c r="G38" s="660">
        <v>1</v>
      </c>
      <c r="H38" s="663">
        <v>4419000</v>
      </c>
      <c r="I38" s="663"/>
      <c r="J38" s="661"/>
      <c r="K38" s="662">
        <f>G38*H38</f>
        <v>4419000</v>
      </c>
      <c r="L38" s="664">
        <f t="shared" si="1"/>
        <v>4419000</v>
      </c>
      <c r="M38" s="629"/>
      <c r="N38" s="629"/>
    </row>
    <row r="39" spans="1:256" ht="25.5">
      <c r="A39" s="685"/>
      <c r="B39" s="1299" t="s">
        <v>920</v>
      </c>
      <c r="C39" s="1301" t="s">
        <v>742</v>
      </c>
      <c r="D39" s="676"/>
      <c r="E39" s="661"/>
      <c r="F39" s="662"/>
      <c r="G39" s="660">
        <v>2</v>
      </c>
      <c r="H39" s="663">
        <v>2993000</v>
      </c>
      <c r="I39" s="663"/>
      <c r="J39" s="661"/>
      <c r="K39" s="662">
        <f>G39*H39</f>
        <v>5986000</v>
      </c>
      <c r="L39" s="664">
        <f t="shared" si="1"/>
        <v>5986000</v>
      </c>
      <c r="M39" s="629"/>
      <c r="N39" s="629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</row>
    <row r="40" spans="1:14" ht="25.5">
      <c r="A40" s="685"/>
      <c r="B40" s="1299"/>
      <c r="C40" s="1301" t="s">
        <v>1085</v>
      </c>
      <c r="D40" s="676"/>
      <c r="E40" s="661"/>
      <c r="F40" s="662"/>
      <c r="G40" s="660"/>
      <c r="H40" s="663"/>
      <c r="I40" s="663"/>
      <c r="J40" s="661"/>
      <c r="K40" s="662">
        <v>1038000</v>
      </c>
      <c r="L40" s="664">
        <f t="shared" si="1"/>
        <v>1038000</v>
      </c>
      <c r="M40" s="629"/>
      <c r="N40" s="629"/>
    </row>
    <row r="41" spans="1:14" ht="12.75">
      <c r="A41" s="685"/>
      <c r="B41" s="1299" t="s">
        <v>583</v>
      </c>
      <c r="C41" s="1301" t="s">
        <v>743</v>
      </c>
      <c r="D41" s="676"/>
      <c r="E41" s="661"/>
      <c r="F41" s="662"/>
      <c r="G41" s="660"/>
      <c r="H41" s="663"/>
      <c r="I41" s="663"/>
      <c r="J41" s="661"/>
      <c r="K41" s="682">
        <v>1539000</v>
      </c>
      <c r="L41" s="664">
        <f t="shared" si="1"/>
        <v>1539000</v>
      </c>
      <c r="M41" s="629"/>
      <c r="N41" s="629"/>
    </row>
    <row r="42" spans="1:256" ht="12.75">
      <c r="A42" s="683" t="s">
        <v>1078</v>
      </c>
      <c r="B42" s="637" t="s">
        <v>1034</v>
      </c>
      <c r="C42" s="638" t="s">
        <v>1035</v>
      </c>
      <c r="D42" s="657"/>
      <c r="E42" s="655"/>
      <c r="F42" s="656">
        <f>218350+331456</f>
        <v>549806</v>
      </c>
      <c r="G42" s="670"/>
      <c r="H42" s="658"/>
      <c r="I42" s="671"/>
      <c r="J42" s="655"/>
      <c r="K42" s="656">
        <f>10068391</f>
        <v>10068391</v>
      </c>
      <c r="L42" s="659">
        <f>F42+K42</f>
        <v>10618197</v>
      </c>
      <c r="M42" s="629"/>
      <c r="N42" s="629">
        <f>SUM(L42)</f>
        <v>10618197</v>
      </c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</row>
    <row r="43" spans="2:256" ht="12.75">
      <c r="B43" s="649"/>
      <c r="C43" s="643" t="s">
        <v>1086</v>
      </c>
      <c r="D43" s="644"/>
      <c r="E43" s="645"/>
      <c r="F43" s="646">
        <f>SUM(F44)</f>
        <v>76751744</v>
      </c>
      <c r="G43" s="672"/>
      <c r="H43" s="647"/>
      <c r="I43" s="673"/>
      <c r="J43" s="645"/>
      <c r="K43" s="646">
        <f>SUM(K44)</f>
        <v>0</v>
      </c>
      <c r="L43" s="646">
        <f>SUM(L44)</f>
        <v>76751744</v>
      </c>
      <c r="M43" s="639"/>
      <c r="N43" s="652">
        <f>SUM(N44)</f>
        <v>76751744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</row>
    <row r="44" spans="1:14" ht="12.75">
      <c r="A44" s="683" t="s">
        <v>1081</v>
      </c>
      <c r="B44" s="637" t="s">
        <v>113</v>
      </c>
      <c r="C44" s="640" t="s">
        <v>1087</v>
      </c>
      <c r="D44" s="657"/>
      <c r="E44" s="655"/>
      <c r="F44" s="656">
        <f>SUM(F45:F47)</f>
        <v>76751744</v>
      </c>
      <c r="G44" s="670"/>
      <c r="H44" s="658"/>
      <c r="I44" s="671"/>
      <c r="J44" s="655"/>
      <c r="K44" s="656">
        <f>SUM(K45:K47)</f>
        <v>0</v>
      </c>
      <c r="L44" s="659">
        <f>F44+K44</f>
        <v>76751744</v>
      </c>
      <c r="M44" s="639"/>
      <c r="N44" s="629">
        <f>SUM(L45:L47)</f>
        <v>76751744</v>
      </c>
    </row>
    <row r="45" spans="1:256" ht="12.75">
      <c r="A45" s="685"/>
      <c r="B45" s="1299" t="s">
        <v>808</v>
      </c>
      <c r="C45" s="1301" t="s">
        <v>744</v>
      </c>
      <c r="D45" s="676">
        <v>10.3</v>
      </c>
      <c r="E45" s="661">
        <v>2200000</v>
      </c>
      <c r="F45" s="662">
        <f>E45*D45</f>
        <v>22660000</v>
      </c>
      <c r="G45" s="668"/>
      <c r="H45" s="663"/>
      <c r="I45" s="669"/>
      <c r="J45" s="661"/>
      <c r="K45" s="662"/>
      <c r="L45" s="664">
        <f>F45+K45</f>
        <v>22660000</v>
      </c>
      <c r="M45" s="629"/>
      <c r="N45" s="629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</row>
    <row r="46" spans="1:256" ht="15">
      <c r="A46" s="685"/>
      <c r="B46" s="1299" t="s">
        <v>809</v>
      </c>
      <c r="C46" s="1301" t="s">
        <v>115</v>
      </c>
      <c r="D46" s="676"/>
      <c r="E46" s="661"/>
      <c r="F46" s="682">
        <v>52368184</v>
      </c>
      <c r="G46" s="660"/>
      <c r="H46" s="663"/>
      <c r="I46" s="663"/>
      <c r="J46" s="661"/>
      <c r="K46" s="662"/>
      <c r="L46" s="664">
        <f>F46+K46</f>
        <v>52368184</v>
      </c>
      <c r="M46" s="629"/>
      <c r="N46" s="629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14" ht="12.75">
      <c r="A47" s="684"/>
      <c r="B47" s="1299" t="s">
        <v>114</v>
      </c>
      <c r="C47" s="1301" t="s">
        <v>745</v>
      </c>
      <c r="D47" s="660">
        <v>3180</v>
      </c>
      <c r="E47" s="661">
        <v>542</v>
      </c>
      <c r="F47" s="662">
        <f>D47*E47</f>
        <v>1723560</v>
      </c>
      <c r="G47" s="670"/>
      <c r="H47" s="658"/>
      <c r="I47" s="671"/>
      <c r="J47" s="655"/>
      <c r="K47" s="656"/>
      <c r="L47" s="664">
        <f>F47+K47</f>
        <v>1723560</v>
      </c>
      <c r="M47" s="639"/>
      <c r="N47" s="629"/>
    </row>
    <row r="48" spans="2:256" ht="15">
      <c r="B48" s="649"/>
      <c r="C48" s="643" t="s">
        <v>653</v>
      </c>
      <c r="D48" s="644"/>
      <c r="E48" s="645"/>
      <c r="F48" s="646">
        <f>SUM(F49:F50)</f>
        <v>11669970</v>
      </c>
      <c r="G48" s="672"/>
      <c r="H48" s="647"/>
      <c r="I48" s="673"/>
      <c r="J48" s="645"/>
      <c r="K48" s="646">
        <f>SUM(K49:K50)</f>
        <v>0</v>
      </c>
      <c r="L48" s="651">
        <f>SUM(L49:L50)</f>
        <v>11669970</v>
      </c>
      <c r="M48" s="639"/>
      <c r="N48" s="652">
        <f>SUM(N49:N50)</f>
        <v>11669970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14" ht="25.5">
      <c r="A49" s="683" t="s">
        <v>1088</v>
      </c>
      <c r="B49" s="1299" t="s">
        <v>921</v>
      </c>
      <c r="C49" s="1301" t="s">
        <v>116</v>
      </c>
      <c r="D49" s="660">
        <v>8650</v>
      </c>
      <c r="E49" s="661">
        <v>1251</v>
      </c>
      <c r="F49" s="662">
        <f>D49*E49</f>
        <v>10821150</v>
      </c>
      <c r="G49" s="676"/>
      <c r="H49" s="663"/>
      <c r="I49" s="675"/>
      <c r="J49" s="661"/>
      <c r="K49" s="662"/>
      <c r="L49" s="664">
        <f>F49+K49</f>
        <v>10821150</v>
      </c>
      <c r="M49" s="629"/>
      <c r="N49" s="629">
        <f>SUM(L49)</f>
        <v>10821150</v>
      </c>
    </row>
    <row r="50" spans="1:14" ht="12.75">
      <c r="A50" s="683" t="s">
        <v>1078</v>
      </c>
      <c r="B50" s="637" t="s">
        <v>1036</v>
      </c>
      <c r="C50" s="638" t="s">
        <v>1037</v>
      </c>
      <c r="D50" s="657"/>
      <c r="E50" s="655"/>
      <c r="F50" s="656">
        <v>848820</v>
      </c>
      <c r="G50" s="670"/>
      <c r="H50" s="658"/>
      <c r="I50" s="671"/>
      <c r="J50" s="655"/>
      <c r="K50" s="656"/>
      <c r="L50" s="659">
        <f>F50+K50</f>
        <v>848820</v>
      </c>
      <c r="M50" s="639"/>
      <c r="N50" s="629">
        <f>SUM(L50)</f>
        <v>848820</v>
      </c>
    </row>
    <row r="51" spans="2:14" ht="12.75">
      <c r="B51" s="637"/>
      <c r="C51" s="638"/>
      <c r="D51" s="657"/>
      <c r="E51" s="655"/>
      <c r="F51" s="656"/>
      <c r="G51" s="670"/>
      <c r="H51" s="658"/>
      <c r="I51" s="671"/>
      <c r="J51" s="655"/>
      <c r="K51" s="656"/>
      <c r="L51" s="659"/>
      <c r="M51" s="639"/>
      <c r="N51" s="629"/>
    </row>
    <row r="52" spans="2:14" ht="12.75">
      <c r="B52" s="637"/>
      <c r="C52" s="643" t="s">
        <v>1031</v>
      </c>
      <c r="D52" s="657"/>
      <c r="E52" s="655"/>
      <c r="F52" s="656"/>
      <c r="G52" s="670"/>
      <c r="H52" s="658"/>
      <c r="I52" s="671"/>
      <c r="J52" s="655"/>
      <c r="K52" s="656"/>
      <c r="L52" s="659"/>
      <c r="M52" s="639"/>
      <c r="N52" s="629"/>
    </row>
    <row r="53" spans="1:14" ht="15">
      <c r="A53" s="882" t="s">
        <v>1089</v>
      </c>
      <c r="B53" s="883"/>
      <c r="C53" s="884"/>
      <c r="D53" s="677" t="s">
        <v>462</v>
      </c>
      <c r="E53" s="678" t="s">
        <v>462</v>
      </c>
      <c r="F53" s="679">
        <f>SUM(F48,F43,F29,F19,F8)</f>
        <v>355109791</v>
      </c>
      <c r="G53" s="677" t="s">
        <v>462</v>
      </c>
      <c r="H53" s="680" t="s">
        <v>462</v>
      </c>
      <c r="I53" s="680" t="s">
        <v>462</v>
      </c>
      <c r="J53" s="678" t="s">
        <v>462</v>
      </c>
      <c r="K53" s="679">
        <f>SUM(K48,K43,K29,K19,K8)</f>
        <v>170759733</v>
      </c>
      <c r="L53" s="681">
        <f>SUM(K53+F53)</f>
        <v>525869524</v>
      </c>
      <c r="M53" s="630"/>
      <c r="N53" s="631">
        <f>SUM(N48,N29,N43,N19,N8)</f>
        <v>525869524</v>
      </c>
    </row>
    <row r="54" spans="1:14" ht="17.25" thickBot="1">
      <c r="A54" s="863" t="s">
        <v>117</v>
      </c>
      <c r="B54" s="864"/>
      <c r="C54" s="865"/>
      <c r="D54" s="686" t="s">
        <v>462</v>
      </c>
      <c r="E54" s="687" t="s">
        <v>462</v>
      </c>
      <c r="F54" s="688">
        <f>SUM(F53)</f>
        <v>355109791</v>
      </c>
      <c r="G54" s="686" t="s">
        <v>462</v>
      </c>
      <c r="H54" s="689" t="s">
        <v>462</v>
      </c>
      <c r="I54" s="689" t="s">
        <v>462</v>
      </c>
      <c r="J54" s="687" t="s">
        <v>462</v>
      </c>
      <c r="K54" s="688">
        <f>SUM(K53)</f>
        <v>170759733</v>
      </c>
      <c r="L54" s="690">
        <f>SUM(K54+F54)</f>
        <v>525869524</v>
      </c>
      <c r="M54" s="630"/>
      <c r="N54" s="631">
        <f>SUM(N53)</f>
        <v>525869524</v>
      </c>
    </row>
    <row r="59" spans="1:3" ht="15">
      <c r="A59" s="277">
        <v>31</v>
      </c>
      <c r="B59" s="277" t="s">
        <v>1020</v>
      </c>
      <c r="C59" s="3"/>
    </row>
    <row r="60" spans="1:2" ht="12.75">
      <c r="A60" s="277">
        <v>32</v>
      </c>
      <c r="B60" s="277" t="s">
        <v>1049</v>
      </c>
    </row>
  </sheetData>
  <sheetProtection/>
  <mergeCells count="10">
    <mergeCell ref="A53:C53"/>
    <mergeCell ref="A54:C54"/>
    <mergeCell ref="L5:L6"/>
    <mergeCell ref="A6:B6"/>
    <mergeCell ref="A7:B7"/>
    <mergeCell ref="A2:K2"/>
    <mergeCell ref="A3:K3"/>
    <mergeCell ref="A5:C5"/>
    <mergeCell ref="D5:F5"/>
    <mergeCell ref="G5:K5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60"/>
  <sheetViews>
    <sheetView zoomScalePageLayoutView="0" workbookViewId="0" topLeftCell="A1">
      <selection activeCell="B151" sqref="B151:K151"/>
    </sheetView>
  </sheetViews>
  <sheetFormatPr defaultColWidth="9.00390625" defaultRowHeight="12.75"/>
  <cols>
    <col min="1" max="1" width="4.625" style="139" customWidth="1"/>
    <col min="2" max="2" width="36.125" style="65" customWidth="1"/>
    <col min="3" max="3" width="15.00390625" style="65" customWidth="1"/>
    <col min="4" max="4" width="11.125" style="65" bestFit="1" customWidth="1"/>
    <col min="5" max="5" width="11.875" style="65" customWidth="1"/>
    <col min="6" max="6" width="11.75390625" style="65" customWidth="1"/>
    <col min="7" max="8" width="11.25390625" style="65" customWidth="1"/>
    <col min="9" max="9" width="11.75390625" style="65" customWidth="1"/>
    <col min="10" max="11" width="15.375" style="65" customWidth="1"/>
    <col min="12" max="12" width="16.625" style="65" customWidth="1"/>
  </cols>
  <sheetData>
    <row r="1" spans="2:12" ht="18">
      <c r="B1" s="924" t="s">
        <v>1090</v>
      </c>
      <c r="C1" s="924"/>
      <c r="D1" s="924"/>
      <c r="E1" s="924"/>
      <c r="F1" s="924"/>
      <c r="G1" s="924"/>
      <c r="H1" s="924"/>
      <c r="I1" s="924"/>
      <c r="J1" s="924"/>
      <c r="K1" s="924"/>
      <c r="L1" s="924"/>
    </row>
    <row r="4" spans="2:12" ht="41.25" customHeight="1">
      <c r="B4" s="925" t="s">
        <v>946</v>
      </c>
      <c r="C4" s="925"/>
      <c r="D4" s="925"/>
      <c r="E4" s="925"/>
      <c r="F4" s="925"/>
      <c r="G4" s="925"/>
      <c r="H4" s="925"/>
      <c r="I4" s="925"/>
      <c r="J4" s="925"/>
      <c r="K4" s="925"/>
      <c r="L4" s="925"/>
    </row>
    <row r="7" ht="13.5" thickBot="1"/>
    <row r="8" spans="1:12" ht="12.75" customHeight="1">
      <c r="A8" s="926" t="s">
        <v>439</v>
      </c>
      <c r="B8" s="929" t="s">
        <v>361</v>
      </c>
      <c r="C8" s="932" t="s">
        <v>779</v>
      </c>
      <c r="D8" s="933"/>
      <c r="E8" s="933"/>
      <c r="F8" s="933"/>
      <c r="G8" s="933"/>
      <c r="H8" s="934"/>
      <c r="I8" s="934"/>
      <c r="J8" s="935" t="s">
        <v>947</v>
      </c>
      <c r="K8" s="935" t="s">
        <v>948</v>
      </c>
      <c r="L8" s="935" t="s">
        <v>949</v>
      </c>
    </row>
    <row r="9" spans="1:12" ht="12.75">
      <c r="A9" s="927"/>
      <c r="B9" s="930"/>
      <c r="C9" s="938" t="s">
        <v>428</v>
      </c>
      <c r="D9" s="939" t="s">
        <v>780</v>
      </c>
      <c r="E9" s="940"/>
      <c r="F9" s="940"/>
      <c r="G9" s="940"/>
      <c r="H9" s="941"/>
      <c r="I9" s="941"/>
      <c r="J9" s="936"/>
      <c r="K9" s="936"/>
      <c r="L9" s="936"/>
    </row>
    <row r="10" spans="1:12" ht="42" customHeight="1">
      <c r="A10" s="928"/>
      <c r="B10" s="931"/>
      <c r="C10" s="938"/>
      <c r="D10" s="141" t="s">
        <v>449</v>
      </c>
      <c r="E10" s="141" t="s">
        <v>450</v>
      </c>
      <c r="F10" s="141" t="s">
        <v>451</v>
      </c>
      <c r="G10" s="141" t="s">
        <v>452</v>
      </c>
      <c r="H10" s="142" t="s">
        <v>453</v>
      </c>
      <c r="I10" s="142" t="s">
        <v>454</v>
      </c>
      <c r="J10" s="937"/>
      <c r="K10" s="937"/>
      <c r="L10" s="937"/>
    </row>
    <row r="11" spans="1:12" ht="13.5" thickBot="1">
      <c r="A11" s="140" t="s">
        <v>433</v>
      </c>
      <c r="B11" s="143" t="s">
        <v>434</v>
      </c>
      <c r="C11" s="144" t="s">
        <v>435</v>
      </c>
      <c r="D11" s="145" t="s">
        <v>436</v>
      </c>
      <c r="E11" s="146" t="s">
        <v>437</v>
      </c>
      <c r="F11" s="146" t="s">
        <v>438</v>
      </c>
      <c r="G11" s="146" t="s">
        <v>440</v>
      </c>
      <c r="H11" s="146" t="s">
        <v>441</v>
      </c>
      <c r="I11" s="146" t="s">
        <v>392</v>
      </c>
      <c r="J11" s="147" t="s">
        <v>393</v>
      </c>
      <c r="K11" s="147" t="s">
        <v>393</v>
      </c>
      <c r="L11" s="148" t="s">
        <v>394</v>
      </c>
    </row>
    <row r="12" spans="1:12" ht="19.5" thickBot="1" thickTop="1">
      <c r="A12" s="205">
        <v>1</v>
      </c>
      <c r="B12" s="898" t="s">
        <v>86</v>
      </c>
      <c r="C12" s="899"/>
      <c r="D12" s="899"/>
      <c r="E12" s="899"/>
      <c r="F12" s="899"/>
      <c r="G12" s="899"/>
      <c r="H12" s="899"/>
      <c r="I12" s="899"/>
      <c r="J12" s="899"/>
      <c r="K12" s="899"/>
      <c r="L12" s="900"/>
    </row>
    <row r="13" spans="1:12" ht="14.25" thickBot="1" thickTop="1">
      <c r="A13" s="179"/>
      <c r="B13" s="904"/>
      <c r="C13" s="905"/>
      <c r="D13" s="905"/>
      <c r="E13" s="905"/>
      <c r="F13" s="905"/>
      <c r="G13" s="905"/>
      <c r="H13" s="905"/>
      <c r="I13" s="905"/>
      <c r="J13" s="905"/>
      <c r="K13" s="905"/>
      <c r="L13" s="906"/>
    </row>
    <row r="14" spans="1:12" ht="30" customHeight="1" thickBot="1" thickTop="1">
      <c r="A14" s="206">
        <v>2</v>
      </c>
      <c r="B14" s="914" t="s">
        <v>862</v>
      </c>
      <c r="C14" s="915"/>
      <c r="D14" s="915"/>
      <c r="E14" s="915"/>
      <c r="F14" s="915"/>
      <c r="G14" s="915"/>
      <c r="H14" s="915"/>
      <c r="I14" s="915"/>
      <c r="J14" s="916"/>
      <c r="K14" s="916"/>
      <c r="L14" s="208"/>
    </row>
    <row r="15" spans="1:12" ht="12.75">
      <c r="A15" s="149">
        <v>3</v>
      </c>
      <c r="B15" s="152" t="s">
        <v>786</v>
      </c>
      <c r="C15" s="180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56">
        <v>0</v>
      </c>
      <c r="K15" s="156">
        <v>0</v>
      </c>
      <c r="L15" s="892"/>
    </row>
    <row r="16" spans="1:12" ht="13.5" thickBot="1">
      <c r="A16" s="182">
        <v>4</v>
      </c>
      <c r="B16" s="157" t="s">
        <v>782</v>
      </c>
      <c r="C16" s="183">
        <f>SUM(D16:I16)</f>
        <v>250634800</v>
      </c>
      <c r="D16" s="184">
        <v>0</v>
      </c>
      <c r="E16" s="160">
        <v>59135000</v>
      </c>
      <c r="F16" s="160">
        <v>52411853</v>
      </c>
      <c r="G16" s="160">
        <v>46362649</v>
      </c>
      <c r="H16" s="160">
        <v>46362649</v>
      </c>
      <c r="I16" s="160">
        <v>46362649</v>
      </c>
      <c r="J16" s="162">
        <v>6685989</v>
      </c>
      <c r="K16" s="162">
        <f>40118910+13881090+6000000</f>
        <v>60000000</v>
      </c>
      <c r="L16" s="893"/>
    </row>
    <row r="17" spans="1:12" ht="13.5" thickBot="1">
      <c r="A17" s="151">
        <v>5</v>
      </c>
      <c r="B17" s="163" t="s">
        <v>783</v>
      </c>
      <c r="C17" s="164">
        <f aca="true" t="shared" si="0" ref="C17:K17">SUM(C15:C16)</f>
        <v>250634800</v>
      </c>
      <c r="D17" s="165">
        <f t="shared" si="0"/>
        <v>0</v>
      </c>
      <c r="E17" s="165">
        <f t="shared" si="0"/>
        <v>59135000</v>
      </c>
      <c r="F17" s="165">
        <f t="shared" si="0"/>
        <v>52411853</v>
      </c>
      <c r="G17" s="165">
        <f t="shared" si="0"/>
        <v>46362649</v>
      </c>
      <c r="H17" s="165">
        <f t="shared" si="0"/>
        <v>46362649</v>
      </c>
      <c r="I17" s="165">
        <f t="shared" si="0"/>
        <v>46362649</v>
      </c>
      <c r="J17" s="168">
        <f>SUM(J15:J16)</f>
        <v>6685989</v>
      </c>
      <c r="K17" s="168">
        <f t="shared" si="0"/>
        <v>60000000</v>
      </c>
      <c r="L17" s="894"/>
    </row>
    <row r="18" spans="1:12" ht="13.5" thickBot="1">
      <c r="A18" s="151"/>
      <c r="B18" s="895"/>
      <c r="C18" s="1302"/>
      <c r="D18" s="1302"/>
      <c r="E18" s="1302"/>
      <c r="F18" s="1302"/>
      <c r="G18" s="1302"/>
      <c r="H18" s="1302"/>
      <c r="I18" s="1302"/>
      <c r="J18" s="1302"/>
      <c r="K18" s="896"/>
      <c r="L18" s="150"/>
    </row>
    <row r="19" spans="1:12" ht="12.75">
      <c r="A19" s="185">
        <v>6</v>
      </c>
      <c r="B19" s="186" t="s">
        <v>787</v>
      </c>
      <c r="C19" s="171">
        <f>SUM(D19:I19)</f>
        <v>146735476</v>
      </c>
      <c r="D19" s="251">
        <v>2681560</v>
      </c>
      <c r="E19" s="251">
        <v>20997974</v>
      </c>
      <c r="F19" s="251">
        <v>41039699</v>
      </c>
      <c r="G19" s="251">
        <v>27338748</v>
      </c>
      <c r="H19" s="251">
        <v>27338748</v>
      </c>
      <c r="I19" s="251">
        <v>27338747</v>
      </c>
      <c r="J19" s="892"/>
      <c r="K19" s="892"/>
      <c r="L19" s="156">
        <v>29550455</v>
      </c>
    </row>
    <row r="20" spans="1:12" ht="12.75">
      <c r="A20" s="169">
        <v>7</v>
      </c>
      <c r="B20" s="172" t="s">
        <v>785</v>
      </c>
      <c r="C20" s="173">
        <f>SUM(D20:I20)</f>
        <v>88344324</v>
      </c>
      <c r="D20" s="251">
        <v>0</v>
      </c>
      <c r="E20" s="251">
        <v>14084323</v>
      </c>
      <c r="F20" s="251">
        <v>17188297</v>
      </c>
      <c r="G20" s="251">
        <v>19023901</v>
      </c>
      <c r="H20" s="251">
        <v>19023901</v>
      </c>
      <c r="I20" s="251">
        <v>19023902</v>
      </c>
      <c r="J20" s="893"/>
      <c r="K20" s="893"/>
      <c r="L20" s="162">
        <f>17254444+13881090</f>
        <v>31135534</v>
      </c>
    </row>
    <row r="21" spans="1:12" ht="13.5" thickBot="1">
      <c r="A21" s="169">
        <v>8</v>
      </c>
      <c r="B21" s="170" t="s">
        <v>784</v>
      </c>
      <c r="C21" s="198">
        <f>SUM(D21:I21)</f>
        <v>15555000</v>
      </c>
      <c r="D21" s="252">
        <v>0</v>
      </c>
      <c r="E21" s="252">
        <f>2893619+1250000</f>
        <v>4143619</v>
      </c>
      <c r="F21" s="252">
        <v>11411381</v>
      </c>
      <c r="G21" s="252">
        <v>0</v>
      </c>
      <c r="H21" s="252">
        <v>0</v>
      </c>
      <c r="I21" s="252">
        <v>0</v>
      </c>
      <c r="J21" s="893"/>
      <c r="K21" s="893"/>
      <c r="L21" s="209">
        <f>6000000</f>
        <v>6000000</v>
      </c>
    </row>
    <row r="22" spans="1:12" ht="13.5" thickBot="1">
      <c r="A22" s="187">
        <v>9</v>
      </c>
      <c r="B22" s="188" t="s">
        <v>370</v>
      </c>
      <c r="C22" s="176">
        <f aca="true" t="shared" si="1" ref="C22:I22">SUM(C19:C21)</f>
        <v>250634800</v>
      </c>
      <c r="D22" s="189">
        <f t="shared" si="1"/>
        <v>2681560</v>
      </c>
      <c r="E22" s="189">
        <f t="shared" si="1"/>
        <v>39225916</v>
      </c>
      <c r="F22" s="189">
        <f t="shared" si="1"/>
        <v>69639377</v>
      </c>
      <c r="G22" s="189">
        <f t="shared" si="1"/>
        <v>46362649</v>
      </c>
      <c r="H22" s="189">
        <f t="shared" si="1"/>
        <v>46362649</v>
      </c>
      <c r="I22" s="189">
        <f t="shared" si="1"/>
        <v>46362649</v>
      </c>
      <c r="J22" s="897"/>
      <c r="K22" s="897"/>
      <c r="L22" s="178">
        <f>SUM(L19:L21)</f>
        <v>66685989</v>
      </c>
    </row>
    <row r="23" spans="1:12" ht="14.25" thickBot="1" thickTop="1">
      <c r="A23" s="210"/>
      <c r="B23" s="904"/>
      <c r="C23" s="905"/>
      <c r="D23" s="905"/>
      <c r="E23" s="905"/>
      <c r="F23" s="905"/>
      <c r="G23" s="905"/>
      <c r="H23" s="905"/>
      <c r="I23" s="905"/>
      <c r="J23" s="905"/>
      <c r="K23" s="905"/>
      <c r="L23" s="906"/>
    </row>
    <row r="24" spans="1:12" ht="16.5" thickBot="1" thickTop="1">
      <c r="A24" s="206">
        <v>10</v>
      </c>
      <c r="B24" s="909" t="s">
        <v>788</v>
      </c>
      <c r="C24" s="910"/>
      <c r="D24" s="910"/>
      <c r="E24" s="910"/>
      <c r="F24" s="910"/>
      <c r="G24" s="910"/>
      <c r="H24" s="910"/>
      <c r="I24" s="910"/>
      <c r="J24" s="911"/>
      <c r="K24" s="911"/>
      <c r="L24" s="208"/>
    </row>
    <row r="25" spans="1:12" ht="12.75">
      <c r="A25" s="149">
        <v>11</v>
      </c>
      <c r="B25" s="203" t="s">
        <v>786</v>
      </c>
      <c r="C25" s="173">
        <f>SUM(D25:F25)</f>
        <v>22542700</v>
      </c>
      <c r="D25" s="191">
        <v>0</v>
      </c>
      <c r="E25" s="191">
        <v>151044</v>
      </c>
      <c r="F25" s="191">
        <v>22391656</v>
      </c>
      <c r="G25" s="192"/>
      <c r="H25" s="192"/>
      <c r="I25" s="192"/>
      <c r="J25" s="156"/>
      <c r="K25" s="156">
        <v>0</v>
      </c>
      <c r="L25" s="892"/>
    </row>
    <row r="26" spans="1:12" ht="13.5" thickBot="1">
      <c r="A26" s="151">
        <v>12</v>
      </c>
      <c r="B26" s="157" t="s">
        <v>782</v>
      </c>
      <c r="C26" s="173">
        <f>SUM(D26:F26)</f>
        <v>242560000</v>
      </c>
      <c r="D26" s="184">
        <v>242560000</v>
      </c>
      <c r="E26" s="160">
        <v>0</v>
      </c>
      <c r="F26" s="160">
        <v>0</v>
      </c>
      <c r="G26" s="193"/>
      <c r="H26" s="193"/>
      <c r="I26" s="194"/>
      <c r="J26" s="162">
        <v>45188110</v>
      </c>
      <c r="K26" s="162"/>
      <c r="L26" s="893"/>
    </row>
    <row r="27" spans="1:12" ht="13.5" thickBot="1">
      <c r="A27" s="151">
        <v>13</v>
      </c>
      <c r="B27" s="163" t="s">
        <v>783</v>
      </c>
      <c r="C27" s="164">
        <f aca="true" t="shared" si="2" ref="C27:K27">SUM(C25:C26)</f>
        <v>265102700</v>
      </c>
      <c r="D27" s="165">
        <f t="shared" si="2"/>
        <v>242560000</v>
      </c>
      <c r="E27" s="165">
        <f t="shared" si="2"/>
        <v>151044</v>
      </c>
      <c r="F27" s="165">
        <f t="shared" si="2"/>
        <v>22391656</v>
      </c>
      <c r="G27" s="155"/>
      <c r="H27" s="155"/>
      <c r="I27" s="155"/>
      <c r="J27" s="168">
        <f>SUM(J25:J26)</f>
        <v>45188110</v>
      </c>
      <c r="K27" s="168">
        <f t="shared" si="2"/>
        <v>0</v>
      </c>
      <c r="L27" s="894"/>
    </row>
    <row r="28" spans="1:12" ht="13.5" thickBot="1">
      <c r="A28" s="151"/>
      <c r="B28" s="895"/>
      <c r="C28" s="1302"/>
      <c r="D28" s="1302"/>
      <c r="E28" s="1302"/>
      <c r="F28" s="1302"/>
      <c r="G28" s="1302"/>
      <c r="H28" s="1302"/>
      <c r="I28" s="1302"/>
      <c r="J28" s="1302"/>
      <c r="K28" s="896"/>
      <c r="L28" s="150"/>
    </row>
    <row r="29" spans="1:12" ht="13.5" thickBot="1">
      <c r="A29" s="169">
        <v>14</v>
      </c>
      <c r="B29" s="186" t="s">
        <v>785</v>
      </c>
      <c r="C29" s="223">
        <f>SUM(D29:F29)</f>
        <v>242560000</v>
      </c>
      <c r="D29" s="154">
        <v>392025</v>
      </c>
      <c r="E29" s="154">
        <v>12124400</v>
      </c>
      <c r="F29" s="154">
        <v>230043575</v>
      </c>
      <c r="G29" s="192"/>
      <c r="H29" s="192"/>
      <c r="I29" s="192"/>
      <c r="J29" s="892"/>
      <c r="K29" s="892"/>
      <c r="L29" s="156">
        <v>2533963</v>
      </c>
    </row>
    <row r="30" spans="1:12" ht="13.5" thickBot="1">
      <c r="A30" s="169">
        <v>15</v>
      </c>
      <c r="B30" s="186" t="s">
        <v>784</v>
      </c>
      <c r="C30" s="198">
        <f>SUM(D30:F30)</f>
        <v>22542700</v>
      </c>
      <c r="D30" s="196">
        <v>0</v>
      </c>
      <c r="E30" s="196">
        <v>151044</v>
      </c>
      <c r="F30" s="196">
        <v>22391656</v>
      </c>
      <c r="G30" s="193"/>
      <c r="H30" s="193"/>
      <c r="I30" s="194"/>
      <c r="J30" s="893"/>
      <c r="K30" s="893"/>
      <c r="L30" s="162">
        <f>42654147-13005804</f>
        <v>29648343</v>
      </c>
    </row>
    <row r="31" spans="1:12" ht="13.5" thickBot="1">
      <c r="A31" s="169"/>
      <c r="B31" s="195" t="s">
        <v>1091</v>
      </c>
      <c r="C31" s="171"/>
      <c r="D31" s="218"/>
      <c r="E31" s="245"/>
      <c r="F31" s="245"/>
      <c r="G31" s="1303"/>
      <c r="H31" s="1303"/>
      <c r="I31" s="1304"/>
      <c r="J31" s="893"/>
      <c r="K31" s="893"/>
      <c r="L31" s="244">
        <v>13005804</v>
      </c>
    </row>
    <row r="32" spans="1:12" ht="13.5" thickBot="1">
      <c r="A32" s="187">
        <v>16</v>
      </c>
      <c r="B32" s="188" t="s">
        <v>370</v>
      </c>
      <c r="C32" s="176">
        <f>SUM(C29:C31)</f>
        <v>265102700</v>
      </c>
      <c r="D32" s="189">
        <f>SUM(D29:D31)</f>
        <v>392025</v>
      </c>
      <c r="E32" s="189">
        <f>SUM(E29:E31)</f>
        <v>12275444</v>
      </c>
      <c r="F32" s="189">
        <f>SUM(F29:F31)</f>
        <v>252435231</v>
      </c>
      <c r="G32" s="155"/>
      <c r="H32" s="155"/>
      <c r="I32" s="155"/>
      <c r="J32" s="897"/>
      <c r="K32" s="897"/>
      <c r="L32" s="178">
        <f>SUM(L29:L31)</f>
        <v>45188110</v>
      </c>
    </row>
    <row r="33" spans="1:12" ht="14.25" thickBot="1" thickTop="1">
      <c r="A33" s="210"/>
      <c r="B33" s="904"/>
      <c r="C33" s="905"/>
      <c r="D33" s="905"/>
      <c r="E33" s="905"/>
      <c r="F33" s="905"/>
      <c r="G33" s="905"/>
      <c r="H33" s="905"/>
      <c r="I33" s="905"/>
      <c r="J33" s="905"/>
      <c r="K33" s="905"/>
      <c r="L33" s="906"/>
    </row>
    <row r="34" spans="1:12" ht="16.5" thickBot="1" thickTop="1">
      <c r="A34" s="206">
        <v>24</v>
      </c>
      <c r="B34" s="914" t="s">
        <v>863</v>
      </c>
      <c r="C34" s="915"/>
      <c r="D34" s="915"/>
      <c r="E34" s="915"/>
      <c r="F34" s="915"/>
      <c r="G34" s="915"/>
      <c r="H34" s="915"/>
      <c r="I34" s="915"/>
      <c r="J34" s="916"/>
      <c r="K34" s="916"/>
      <c r="L34" s="208"/>
    </row>
    <row r="35" spans="1:12" ht="12.75">
      <c r="A35" s="149">
        <v>25</v>
      </c>
      <c r="B35" s="152" t="s">
        <v>786</v>
      </c>
      <c r="C35" s="180">
        <v>0</v>
      </c>
      <c r="D35" s="211"/>
      <c r="E35" s="181">
        <v>0</v>
      </c>
      <c r="F35" s="181">
        <v>0</v>
      </c>
      <c r="G35" s="181">
        <v>0</v>
      </c>
      <c r="H35" s="211"/>
      <c r="I35" s="211"/>
      <c r="J35" s="156">
        <v>0</v>
      </c>
      <c r="K35" s="156">
        <v>0</v>
      </c>
      <c r="L35" s="892"/>
    </row>
    <row r="36" spans="1:12" ht="12.75">
      <c r="A36" s="149"/>
      <c r="B36" s="197" t="s">
        <v>1092</v>
      </c>
      <c r="C36" s="1305"/>
      <c r="D36" s="1306"/>
      <c r="E36" s="243"/>
      <c r="F36" s="243"/>
      <c r="G36" s="243"/>
      <c r="H36" s="1306"/>
      <c r="I36" s="1306"/>
      <c r="J36" s="244"/>
      <c r="K36" s="244">
        <v>2688779</v>
      </c>
      <c r="L36" s="893"/>
    </row>
    <row r="37" spans="1:12" ht="13.5" thickBot="1">
      <c r="A37" s="182">
        <v>26</v>
      </c>
      <c r="B37" s="157" t="s">
        <v>782</v>
      </c>
      <c r="C37" s="183">
        <v>202321812</v>
      </c>
      <c r="D37" s="212"/>
      <c r="E37" s="160">
        <f>104483115+10976885</f>
        <v>115460000</v>
      </c>
      <c r="F37" s="160">
        <v>75330433</v>
      </c>
      <c r="G37" s="160">
        <v>11531379</v>
      </c>
      <c r="H37" s="212"/>
      <c r="I37" s="212"/>
      <c r="J37" s="162">
        <v>54734977</v>
      </c>
      <c r="K37" s="162">
        <f>57968707</f>
        <v>57968707</v>
      </c>
      <c r="L37" s="893"/>
    </row>
    <row r="38" spans="1:12" ht="13.5" thickBot="1">
      <c r="A38" s="151">
        <v>27</v>
      </c>
      <c r="B38" s="163" t="s">
        <v>783</v>
      </c>
      <c r="C38" s="164">
        <f aca="true" t="shared" si="3" ref="C38:K38">SUM(C35:C37)</f>
        <v>202321812</v>
      </c>
      <c r="D38" s="166"/>
      <c r="E38" s="165">
        <f t="shared" si="3"/>
        <v>115460000</v>
      </c>
      <c r="F38" s="165">
        <f t="shared" si="3"/>
        <v>75330433</v>
      </c>
      <c r="G38" s="165">
        <f t="shared" si="3"/>
        <v>11531379</v>
      </c>
      <c r="H38" s="166"/>
      <c r="I38" s="166"/>
      <c r="J38" s="168">
        <f>SUM(J35:J37)</f>
        <v>54734977</v>
      </c>
      <c r="K38" s="168">
        <f t="shared" si="3"/>
        <v>60657486</v>
      </c>
      <c r="L38" s="894"/>
    </row>
    <row r="39" spans="1:12" ht="13.5" thickBot="1">
      <c r="A39" s="151"/>
      <c r="B39" s="895"/>
      <c r="C39" s="1302"/>
      <c r="D39" s="1302"/>
      <c r="E39" s="1302"/>
      <c r="F39" s="1302"/>
      <c r="G39" s="1302"/>
      <c r="H39" s="1302"/>
      <c r="I39" s="1302"/>
      <c r="J39" s="1302"/>
      <c r="K39" s="896"/>
      <c r="L39" s="150"/>
    </row>
    <row r="40" spans="1:12" ht="13.5" thickBot="1">
      <c r="A40" s="185">
        <v>28</v>
      </c>
      <c r="B40" s="186" t="s">
        <v>787</v>
      </c>
      <c r="C40" s="917">
        <v>89908666</v>
      </c>
      <c r="D40" s="213"/>
      <c r="E40" s="154">
        <f>8545743+1</f>
        <v>8545744</v>
      </c>
      <c r="F40" s="191">
        <v>63219192</v>
      </c>
      <c r="G40" s="191">
        <v>9109530</v>
      </c>
      <c r="H40" s="213"/>
      <c r="I40" s="213"/>
      <c r="J40" s="892"/>
      <c r="K40" s="892"/>
      <c r="L40" s="156">
        <v>22115840</v>
      </c>
    </row>
    <row r="41" spans="1:12" ht="26.25" thickBot="1">
      <c r="A41" s="246">
        <v>29</v>
      </c>
      <c r="B41" s="249" t="s">
        <v>874</v>
      </c>
      <c r="C41" s="918"/>
      <c r="D41" s="247"/>
      <c r="E41" s="245">
        <v>860400</v>
      </c>
      <c r="F41" s="248">
        <v>6883200</v>
      </c>
      <c r="G41" s="248">
        <v>1290600</v>
      </c>
      <c r="H41" s="247"/>
      <c r="I41" s="247"/>
      <c r="J41" s="893"/>
      <c r="K41" s="893"/>
      <c r="L41" s="244">
        <v>4230000</v>
      </c>
    </row>
    <row r="42" spans="1:12" ht="16.5" customHeight="1">
      <c r="A42" s="246">
        <v>30</v>
      </c>
      <c r="B42" s="249" t="s">
        <v>873</v>
      </c>
      <c r="C42" s="257"/>
      <c r="D42" s="247"/>
      <c r="E42" s="245"/>
      <c r="F42" s="248"/>
      <c r="G42" s="248"/>
      <c r="H42" s="247"/>
      <c r="I42" s="247"/>
      <c r="J42" s="893"/>
      <c r="K42" s="893"/>
      <c r="L42" s="244">
        <v>2881247</v>
      </c>
    </row>
    <row r="43" spans="1:12" ht="12.75">
      <c r="A43" s="169">
        <v>31</v>
      </c>
      <c r="B43" s="172" t="s">
        <v>785</v>
      </c>
      <c r="C43" s="214">
        <v>88083888</v>
      </c>
      <c r="D43" s="215"/>
      <c r="E43" s="160">
        <v>4803780</v>
      </c>
      <c r="F43" s="184">
        <v>82148859</v>
      </c>
      <c r="G43" s="184">
        <v>1131249</v>
      </c>
      <c r="H43" s="215"/>
      <c r="I43" s="215"/>
      <c r="J43" s="893"/>
      <c r="K43" s="893"/>
      <c r="L43" s="162">
        <f>22523810+60657486</f>
        <v>83181296</v>
      </c>
    </row>
    <row r="44" spans="1:12" ht="12.75">
      <c r="A44" s="169">
        <v>32</v>
      </c>
      <c r="B44" s="216" t="s">
        <v>784</v>
      </c>
      <c r="C44" s="217">
        <v>17800696</v>
      </c>
      <c r="D44" s="218"/>
      <c r="E44" s="160">
        <v>13003105</v>
      </c>
      <c r="F44" s="184">
        <v>4797591</v>
      </c>
      <c r="G44" s="184">
        <v>0</v>
      </c>
      <c r="H44" s="218"/>
      <c r="I44" s="218"/>
      <c r="J44" s="893"/>
      <c r="K44" s="893"/>
      <c r="L44" s="162">
        <v>2460790</v>
      </c>
    </row>
    <row r="45" spans="1:12" ht="13.5" thickBot="1">
      <c r="A45" s="169">
        <v>33</v>
      </c>
      <c r="B45" s="219" t="s">
        <v>790</v>
      </c>
      <c r="C45" s="214">
        <v>6528562</v>
      </c>
      <c r="D45" s="220"/>
      <c r="E45" s="159"/>
      <c r="F45" s="221">
        <v>6528562</v>
      </c>
      <c r="G45" s="221">
        <v>0</v>
      </c>
      <c r="H45" s="220"/>
      <c r="I45" s="220"/>
      <c r="J45" s="893"/>
      <c r="K45" s="893"/>
      <c r="L45" s="222">
        <v>523290</v>
      </c>
    </row>
    <row r="46" spans="1:12" ht="13.5" thickBot="1">
      <c r="A46" s="187">
        <v>34</v>
      </c>
      <c r="B46" s="188" t="s">
        <v>370</v>
      </c>
      <c r="C46" s="176">
        <f>SUM(C40:C45)</f>
        <v>202321812</v>
      </c>
      <c r="D46" s="201"/>
      <c r="E46" s="189">
        <f>SUM(E40:E45)</f>
        <v>27213029</v>
      </c>
      <c r="F46" s="189">
        <f>SUM(F40:F45)</f>
        <v>163577404</v>
      </c>
      <c r="G46" s="189">
        <f>SUM(G40:G45)</f>
        <v>11531379</v>
      </c>
      <c r="H46" s="201"/>
      <c r="I46" s="201"/>
      <c r="J46" s="897"/>
      <c r="K46" s="897"/>
      <c r="L46" s="178">
        <f>SUM(L40:L45)</f>
        <v>115392463</v>
      </c>
    </row>
    <row r="47" spans="1:12" ht="14.25" thickBot="1" thickTop="1">
      <c r="A47" s="179"/>
      <c r="B47" s="904"/>
      <c r="C47" s="905"/>
      <c r="D47" s="905"/>
      <c r="E47" s="905"/>
      <c r="F47" s="905"/>
      <c r="G47" s="905"/>
      <c r="H47" s="905"/>
      <c r="I47" s="905"/>
      <c r="J47" s="905"/>
      <c r="K47" s="905"/>
      <c r="L47" s="906"/>
    </row>
    <row r="48" spans="1:12" ht="16.5" thickBot="1" thickTop="1">
      <c r="A48" s="206">
        <v>35</v>
      </c>
      <c r="B48" s="914" t="s">
        <v>864</v>
      </c>
      <c r="C48" s="915"/>
      <c r="D48" s="915"/>
      <c r="E48" s="915"/>
      <c r="F48" s="915"/>
      <c r="G48" s="915"/>
      <c r="H48" s="915"/>
      <c r="I48" s="915"/>
      <c r="J48" s="916"/>
      <c r="K48" s="916"/>
      <c r="L48" s="208"/>
    </row>
    <row r="49" spans="1:12" ht="12.75">
      <c r="A49" s="149">
        <v>36</v>
      </c>
      <c r="B49" s="152" t="s">
        <v>786</v>
      </c>
      <c r="C49" s="180">
        <v>0</v>
      </c>
      <c r="D49" s="211"/>
      <c r="E49" s="181">
        <v>0</v>
      </c>
      <c r="F49" s="181">
        <v>0</v>
      </c>
      <c r="G49" s="181">
        <v>0</v>
      </c>
      <c r="H49" s="181"/>
      <c r="I49" s="211"/>
      <c r="J49" s="156">
        <v>0</v>
      </c>
      <c r="K49" s="156">
        <v>0</v>
      </c>
      <c r="L49" s="892"/>
    </row>
    <row r="50" spans="1:12" ht="13.5" thickBot="1">
      <c r="A50" s="182">
        <v>37</v>
      </c>
      <c r="B50" s="157" t="s">
        <v>782</v>
      </c>
      <c r="C50" s="183">
        <v>62107135</v>
      </c>
      <c r="D50" s="212"/>
      <c r="E50" s="160">
        <v>32379432</v>
      </c>
      <c r="F50" s="160">
        <v>8244379</v>
      </c>
      <c r="G50" s="160">
        <v>20495112</v>
      </c>
      <c r="H50" s="160">
        <v>988212</v>
      </c>
      <c r="I50" s="212"/>
      <c r="J50" s="162">
        <v>12082950</v>
      </c>
      <c r="K50" s="162">
        <f>5788759+23938936</f>
        <v>29727695</v>
      </c>
      <c r="L50" s="893"/>
    </row>
    <row r="51" spans="1:12" ht="13.5" thickBot="1">
      <c r="A51" s="151">
        <v>38</v>
      </c>
      <c r="B51" s="163" t="s">
        <v>783</v>
      </c>
      <c r="C51" s="164">
        <f>SUM(C49:C50)</f>
        <v>62107135</v>
      </c>
      <c r="D51" s="166"/>
      <c r="E51" s="165">
        <f>SUM(E49:E50)</f>
        <v>32379432</v>
      </c>
      <c r="F51" s="165">
        <f>SUM(F49:F50)</f>
        <v>8244379</v>
      </c>
      <c r="G51" s="165">
        <f>SUM(G49:G50)</f>
        <v>20495112</v>
      </c>
      <c r="H51" s="165">
        <f>SUM(H49:H50)</f>
        <v>988212</v>
      </c>
      <c r="I51" s="166"/>
      <c r="J51" s="168">
        <f>SUM(J49:J50)</f>
        <v>12082950</v>
      </c>
      <c r="K51" s="168">
        <f>SUM(K49:K50)</f>
        <v>29727695</v>
      </c>
      <c r="L51" s="894"/>
    </row>
    <row r="52" spans="1:12" ht="13.5" thickBot="1">
      <c r="A52" s="151"/>
      <c r="B52" s="895"/>
      <c r="C52" s="1302"/>
      <c r="D52" s="1302"/>
      <c r="E52" s="1302"/>
      <c r="F52" s="1302"/>
      <c r="G52" s="1302"/>
      <c r="H52" s="1302"/>
      <c r="I52" s="1302"/>
      <c r="J52" s="1302"/>
      <c r="K52" s="896"/>
      <c r="L52" s="150"/>
    </row>
    <row r="53" spans="1:12" ht="13.5" thickBot="1">
      <c r="A53" s="185">
        <v>39</v>
      </c>
      <c r="B53" s="186" t="s">
        <v>787</v>
      </c>
      <c r="C53" s="917">
        <v>30232800</v>
      </c>
      <c r="D53" s="213"/>
      <c r="E53" s="154">
        <v>1493750</v>
      </c>
      <c r="F53" s="191">
        <v>10460450</v>
      </c>
      <c r="G53" s="191">
        <v>6062400</v>
      </c>
      <c r="H53" s="191">
        <v>505200</v>
      </c>
      <c r="I53" s="213"/>
      <c r="J53" s="892"/>
      <c r="K53" s="892"/>
      <c r="L53" s="156">
        <f>10059909+5000000+875000</f>
        <v>15934909</v>
      </c>
    </row>
    <row r="54" spans="1:12" ht="25.5">
      <c r="A54" s="246">
        <v>40</v>
      </c>
      <c r="B54" s="249" t="s">
        <v>873</v>
      </c>
      <c r="C54" s="918"/>
      <c r="D54" s="247"/>
      <c r="E54" s="245">
        <v>3346000</v>
      </c>
      <c r="F54" s="248">
        <v>4015200</v>
      </c>
      <c r="G54" s="248">
        <v>4015200</v>
      </c>
      <c r="H54" s="248">
        <v>334600</v>
      </c>
      <c r="I54" s="247"/>
      <c r="J54" s="893"/>
      <c r="K54" s="893"/>
      <c r="L54" s="244">
        <v>5569500</v>
      </c>
    </row>
    <row r="55" spans="1:12" ht="16.5" customHeight="1">
      <c r="A55" s="169">
        <v>41</v>
      </c>
      <c r="B55" s="172" t="s">
        <v>785</v>
      </c>
      <c r="C55" s="173">
        <v>28874335</v>
      </c>
      <c r="D55" s="215"/>
      <c r="E55" s="160">
        <v>10552557</v>
      </c>
      <c r="F55" s="184">
        <v>8855854</v>
      </c>
      <c r="G55" s="184">
        <v>9417512</v>
      </c>
      <c r="H55" s="184">
        <v>48412</v>
      </c>
      <c r="I55" s="215"/>
      <c r="J55" s="893"/>
      <c r="K55" s="893"/>
      <c r="L55" s="162">
        <f>2242300+18063936</f>
        <v>20306236</v>
      </c>
    </row>
    <row r="56" spans="1:12" ht="13.5" thickBot="1">
      <c r="A56" s="169">
        <v>42</v>
      </c>
      <c r="B56" s="216" t="s">
        <v>865</v>
      </c>
      <c r="C56" s="224">
        <v>3000000</v>
      </c>
      <c r="D56" s="218"/>
      <c r="E56" s="160">
        <v>0</v>
      </c>
      <c r="F56" s="184">
        <v>1900000</v>
      </c>
      <c r="G56" s="184">
        <v>1000000</v>
      </c>
      <c r="H56" s="184">
        <v>100000</v>
      </c>
      <c r="I56" s="218"/>
      <c r="J56" s="893"/>
      <c r="K56" s="893"/>
      <c r="L56" s="162"/>
    </row>
    <row r="57" spans="1:12" ht="13.5" thickBot="1">
      <c r="A57" s="187">
        <v>43</v>
      </c>
      <c r="B57" s="188" t="s">
        <v>370</v>
      </c>
      <c r="C57" s="176">
        <f>SUM(C53:C56)</f>
        <v>62107135</v>
      </c>
      <c r="D57" s="201"/>
      <c r="E57" s="189">
        <f>SUM(E53:E56)</f>
        <v>15392307</v>
      </c>
      <c r="F57" s="189">
        <f>SUM(F53:F56)</f>
        <v>25231504</v>
      </c>
      <c r="G57" s="189">
        <f>SUM(G53:G56)</f>
        <v>20495112</v>
      </c>
      <c r="H57" s="189">
        <f>SUM(H53:H56)</f>
        <v>988212</v>
      </c>
      <c r="I57" s="201"/>
      <c r="J57" s="897"/>
      <c r="K57" s="897"/>
      <c r="L57" s="178">
        <f>SUM(L53:L56)</f>
        <v>41810645</v>
      </c>
    </row>
    <row r="58" spans="1:12" ht="14.25" thickBot="1" thickTop="1">
      <c r="A58" s="151"/>
      <c r="B58" s="895"/>
      <c r="C58" s="1302"/>
      <c r="D58" s="1302"/>
      <c r="E58" s="1302"/>
      <c r="F58" s="1302"/>
      <c r="G58" s="1302"/>
      <c r="H58" s="1302"/>
      <c r="I58" s="1302"/>
      <c r="J58" s="1302"/>
      <c r="K58" s="896"/>
      <c r="L58" s="150"/>
    </row>
    <row r="59" spans="1:12" ht="16.5" thickBot="1" thickTop="1">
      <c r="A59" s="206">
        <v>44</v>
      </c>
      <c r="B59" s="909" t="s">
        <v>867</v>
      </c>
      <c r="C59" s="910"/>
      <c r="D59" s="910"/>
      <c r="E59" s="910"/>
      <c r="F59" s="910"/>
      <c r="G59" s="910"/>
      <c r="H59" s="910"/>
      <c r="I59" s="910"/>
      <c r="J59" s="911"/>
      <c r="K59" s="911"/>
      <c r="L59" s="208"/>
    </row>
    <row r="60" spans="1:12" ht="12.75">
      <c r="A60" s="149">
        <v>45</v>
      </c>
      <c r="B60" s="203" t="s">
        <v>786</v>
      </c>
      <c r="C60" s="171">
        <v>0</v>
      </c>
      <c r="D60" s="218"/>
      <c r="E60" s="154">
        <v>0</v>
      </c>
      <c r="F60" s="191">
        <v>0</v>
      </c>
      <c r="G60" s="191">
        <v>0</v>
      </c>
      <c r="H60" s="192"/>
      <c r="I60" s="192"/>
      <c r="J60" s="156">
        <v>0</v>
      </c>
      <c r="K60" s="156">
        <v>254000</v>
      </c>
      <c r="L60" s="892"/>
    </row>
    <row r="61" spans="1:12" ht="13.5" thickBot="1">
      <c r="A61" s="151">
        <v>46</v>
      </c>
      <c r="B61" s="157" t="s">
        <v>782</v>
      </c>
      <c r="C61" s="173">
        <v>196302400</v>
      </c>
      <c r="D61" s="218"/>
      <c r="E61" s="160">
        <v>196302400</v>
      </c>
      <c r="F61" s="160">
        <v>0</v>
      </c>
      <c r="G61" s="160">
        <v>0</v>
      </c>
      <c r="H61" s="193"/>
      <c r="I61" s="194"/>
      <c r="J61" s="162">
        <v>192295450</v>
      </c>
      <c r="K61" s="162"/>
      <c r="L61" s="893"/>
    </row>
    <row r="62" spans="1:12" ht="13.5" thickBot="1">
      <c r="A62" s="151">
        <v>47</v>
      </c>
      <c r="B62" s="163" t="s">
        <v>783</v>
      </c>
      <c r="C62" s="164">
        <f>SUM(C60:C61)</f>
        <v>196302400</v>
      </c>
      <c r="D62" s="199"/>
      <c r="E62" s="165">
        <f>SUM(E60:E61)</f>
        <v>196302400</v>
      </c>
      <c r="F62" s="165">
        <f>SUM(F60:F61)</f>
        <v>0</v>
      </c>
      <c r="G62" s="165">
        <f>SUM(G60:G61)</f>
        <v>0</v>
      </c>
      <c r="H62" s="199"/>
      <c r="I62" s="200"/>
      <c r="J62" s="168">
        <f>SUM(J60:J61)</f>
        <v>192295450</v>
      </c>
      <c r="K62" s="168">
        <f>SUM(K60:K61)</f>
        <v>254000</v>
      </c>
      <c r="L62" s="894"/>
    </row>
    <row r="63" spans="1:12" ht="13.5" thickBot="1">
      <c r="A63" s="151"/>
      <c r="B63" s="895"/>
      <c r="C63" s="1302"/>
      <c r="D63" s="1302"/>
      <c r="E63" s="1302"/>
      <c r="F63" s="1302"/>
      <c r="G63" s="1302"/>
      <c r="H63" s="1302"/>
      <c r="I63" s="1302"/>
      <c r="J63" s="1302"/>
      <c r="K63" s="896"/>
      <c r="L63" s="150"/>
    </row>
    <row r="64" spans="1:12" ht="12.75">
      <c r="A64" s="169">
        <v>48</v>
      </c>
      <c r="B64" s="186" t="s">
        <v>784</v>
      </c>
      <c r="C64" s="171">
        <f>SUM(E64:G64)</f>
        <v>196302400</v>
      </c>
      <c r="D64" s="155"/>
      <c r="E64" s="154">
        <v>0</v>
      </c>
      <c r="F64" s="154">
        <v>96822314</v>
      </c>
      <c r="G64" s="154">
        <v>99480086</v>
      </c>
      <c r="H64" s="155"/>
      <c r="I64" s="258"/>
      <c r="J64" s="892"/>
      <c r="K64" s="892"/>
      <c r="L64" s="156">
        <v>187978206</v>
      </c>
    </row>
    <row r="65" spans="1:12" ht="12.75">
      <c r="A65" s="169">
        <v>49</v>
      </c>
      <c r="B65" s="195" t="s">
        <v>789</v>
      </c>
      <c r="C65" s="173">
        <v>0</v>
      </c>
      <c r="D65" s="259"/>
      <c r="E65" s="196">
        <v>0</v>
      </c>
      <c r="F65" s="196">
        <v>0</v>
      </c>
      <c r="G65" s="196">
        <v>0</v>
      </c>
      <c r="H65" s="161"/>
      <c r="I65" s="260"/>
      <c r="J65" s="893"/>
      <c r="K65" s="893"/>
      <c r="L65" s="162">
        <v>0</v>
      </c>
    </row>
    <row r="66" spans="1:12" ht="12.75">
      <c r="A66" s="169">
        <v>50</v>
      </c>
      <c r="B66" s="172" t="s">
        <v>785</v>
      </c>
      <c r="C66" s="173"/>
      <c r="D66" s="259"/>
      <c r="E66" s="196"/>
      <c r="F66" s="196"/>
      <c r="G66" s="196"/>
      <c r="H66" s="161"/>
      <c r="I66" s="260"/>
      <c r="J66" s="893"/>
      <c r="K66" s="893"/>
      <c r="L66" s="162">
        <v>4317244</v>
      </c>
    </row>
    <row r="67" spans="1:12" ht="13.5" thickBot="1">
      <c r="A67" s="169">
        <v>51</v>
      </c>
      <c r="B67" s="172" t="s">
        <v>952</v>
      </c>
      <c r="C67" s="198"/>
      <c r="D67" s="261"/>
      <c r="E67" s="262"/>
      <c r="F67" s="262"/>
      <c r="G67" s="262"/>
      <c r="H67" s="193"/>
      <c r="I67" s="194"/>
      <c r="J67" s="893"/>
      <c r="K67" s="893"/>
      <c r="L67" s="222">
        <v>254000</v>
      </c>
    </row>
    <row r="68" spans="1:12" ht="13.5" thickBot="1">
      <c r="A68" s="187">
        <v>52</v>
      </c>
      <c r="B68" s="188" t="s">
        <v>370</v>
      </c>
      <c r="C68" s="176">
        <f>SUM(C64:C65)</f>
        <v>196302400</v>
      </c>
      <c r="D68" s="201"/>
      <c r="E68" s="189">
        <f>SUM(E64:E65)</f>
        <v>0</v>
      </c>
      <c r="F68" s="189">
        <f>SUM(F64:F65)</f>
        <v>96822314</v>
      </c>
      <c r="G68" s="189">
        <f>SUM(G64:G65)</f>
        <v>99480086</v>
      </c>
      <c r="H68" s="201"/>
      <c r="I68" s="201"/>
      <c r="J68" s="897"/>
      <c r="K68" s="897"/>
      <c r="L68" s="178">
        <f>SUM(L64:L67)</f>
        <v>192549450</v>
      </c>
    </row>
    <row r="69" spans="1:12" ht="14.25" thickBot="1" thickTop="1">
      <c r="A69" s="151"/>
      <c r="B69" s="895"/>
      <c r="C69" s="1302"/>
      <c r="D69" s="1302"/>
      <c r="E69" s="1302"/>
      <c r="F69" s="1302"/>
      <c r="G69" s="1302"/>
      <c r="H69" s="1302"/>
      <c r="I69" s="1302"/>
      <c r="J69" s="1302"/>
      <c r="K69" s="896"/>
      <c r="L69" s="150"/>
    </row>
    <row r="70" spans="1:12" ht="16.5" thickBot="1" thickTop="1">
      <c r="A70" s="206">
        <v>53</v>
      </c>
      <c r="B70" s="909" t="s">
        <v>868</v>
      </c>
      <c r="C70" s="910"/>
      <c r="D70" s="910"/>
      <c r="E70" s="910"/>
      <c r="F70" s="910"/>
      <c r="G70" s="910"/>
      <c r="H70" s="910"/>
      <c r="I70" s="910"/>
      <c r="J70" s="911"/>
      <c r="K70" s="911"/>
      <c r="L70" s="208"/>
    </row>
    <row r="71" spans="1:12" ht="12.75">
      <c r="A71" s="149">
        <v>54</v>
      </c>
      <c r="B71" s="203" t="s">
        <v>786</v>
      </c>
      <c r="C71" s="171">
        <v>0</v>
      </c>
      <c r="D71" s="218"/>
      <c r="E71" s="154">
        <v>0</v>
      </c>
      <c r="F71" s="191">
        <v>0</v>
      </c>
      <c r="G71" s="192"/>
      <c r="H71" s="192"/>
      <c r="I71" s="192"/>
      <c r="J71" s="156">
        <v>0</v>
      </c>
      <c r="K71" s="156">
        <f>254000+500000</f>
        <v>754000</v>
      </c>
      <c r="L71" s="892"/>
    </row>
    <row r="72" spans="1:12" ht="13.5" thickBot="1">
      <c r="A72" s="151">
        <v>55</v>
      </c>
      <c r="B72" s="157" t="s">
        <v>782</v>
      </c>
      <c r="C72" s="173">
        <v>437625000</v>
      </c>
      <c r="D72" s="218"/>
      <c r="E72" s="160">
        <v>437625000</v>
      </c>
      <c r="F72" s="160">
        <v>0</v>
      </c>
      <c r="G72" s="193"/>
      <c r="H72" s="193"/>
      <c r="I72" s="194"/>
      <c r="J72" s="162">
        <v>414490929</v>
      </c>
      <c r="K72" s="162">
        <v>0</v>
      </c>
      <c r="L72" s="893"/>
    </row>
    <row r="73" spans="1:12" ht="13.5" thickBot="1">
      <c r="A73" s="151">
        <v>56</v>
      </c>
      <c r="B73" s="163" t="s">
        <v>783</v>
      </c>
      <c r="C73" s="164">
        <f>SUM(C71:C72)</f>
        <v>437625000</v>
      </c>
      <c r="D73" s="199"/>
      <c r="E73" s="165">
        <f>SUM(E71:E72)</f>
        <v>437625000</v>
      </c>
      <c r="F73" s="165">
        <f>SUM(F71:F72)</f>
        <v>0</v>
      </c>
      <c r="G73" s="199"/>
      <c r="H73" s="199"/>
      <c r="I73" s="200"/>
      <c r="J73" s="168">
        <f>SUM(J71:J72)</f>
        <v>414490929</v>
      </c>
      <c r="K73" s="168">
        <f>SUM(K71:K72)</f>
        <v>754000</v>
      </c>
      <c r="L73" s="894"/>
    </row>
    <row r="74" spans="1:12" ht="13.5" thickBot="1">
      <c r="A74" s="151"/>
      <c r="B74" s="895"/>
      <c r="C74" s="1302"/>
      <c r="D74" s="1302"/>
      <c r="E74" s="1302"/>
      <c r="F74" s="1302"/>
      <c r="G74" s="1302"/>
      <c r="H74" s="1302"/>
      <c r="I74" s="1302"/>
      <c r="J74" s="1302"/>
      <c r="K74" s="896"/>
      <c r="L74" s="150"/>
    </row>
    <row r="75" spans="1:12" ht="12.75">
      <c r="A75" s="169">
        <v>57</v>
      </c>
      <c r="B75" s="186" t="s">
        <v>784</v>
      </c>
      <c r="C75" s="171">
        <v>429750000</v>
      </c>
      <c r="D75" s="155"/>
      <c r="E75" s="154">
        <v>0</v>
      </c>
      <c r="F75" s="154">
        <v>429750000</v>
      </c>
      <c r="G75" s="192"/>
      <c r="H75" s="192"/>
      <c r="I75" s="192"/>
      <c r="J75" s="892"/>
      <c r="K75" s="892"/>
      <c r="L75" s="156">
        <v>404687022</v>
      </c>
    </row>
    <row r="76" spans="1:12" ht="12.75">
      <c r="A76" s="169">
        <v>58</v>
      </c>
      <c r="B76" s="172" t="s">
        <v>785</v>
      </c>
      <c r="C76" s="173">
        <v>7875000</v>
      </c>
      <c r="D76" s="259"/>
      <c r="E76" s="196"/>
      <c r="F76" s="196">
        <v>7875000</v>
      </c>
      <c r="G76" s="196"/>
      <c r="H76" s="161"/>
      <c r="I76" s="260"/>
      <c r="J76" s="893"/>
      <c r="K76" s="893"/>
      <c r="L76" s="162">
        <v>9803907</v>
      </c>
    </row>
    <row r="77" spans="1:12" ht="13.5" thickBot="1">
      <c r="A77" s="169">
        <v>59</v>
      </c>
      <c r="B77" s="172" t="s">
        <v>952</v>
      </c>
      <c r="C77" s="198"/>
      <c r="D77" s="261"/>
      <c r="E77" s="262"/>
      <c r="F77" s="262"/>
      <c r="G77" s="262"/>
      <c r="H77" s="193"/>
      <c r="I77" s="194"/>
      <c r="J77" s="893"/>
      <c r="K77" s="893"/>
      <c r="L77" s="222">
        <f>254000+500000</f>
        <v>754000</v>
      </c>
    </row>
    <row r="78" spans="1:12" ht="13.5" thickBot="1">
      <c r="A78" s="187">
        <v>60</v>
      </c>
      <c r="B78" s="188" t="s">
        <v>370</v>
      </c>
      <c r="C78" s="176">
        <f>SUM(C75:C77)</f>
        <v>437625000</v>
      </c>
      <c r="D78" s="201"/>
      <c r="E78" s="189">
        <f>SUM(E75:E77)</f>
        <v>0</v>
      </c>
      <c r="F78" s="189">
        <f>SUM(F75:F77)</f>
        <v>437625000</v>
      </c>
      <c r="G78" s="201"/>
      <c r="H78" s="201"/>
      <c r="I78" s="201"/>
      <c r="J78" s="897"/>
      <c r="K78" s="897"/>
      <c r="L78" s="178">
        <f>SUM(L75:L77)</f>
        <v>415244929</v>
      </c>
    </row>
    <row r="79" spans="1:12" ht="14.25" thickBot="1" thickTop="1">
      <c r="A79" s="151"/>
      <c r="B79" s="895"/>
      <c r="C79" s="1302"/>
      <c r="D79" s="1302"/>
      <c r="E79" s="1302"/>
      <c r="F79" s="1302"/>
      <c r="G79" s="1302"/>
      <c r="H79" s="1302"/>
      <c r="I79" s="1302"/>
      <c r="J79" s="1302"/>
      <c r="K79" s="896"/>
      <c r="L79" s="150"/>
    </row>
    <row r="80" spans="1:12" ht="16.5" thickBot="1" thickTop="1">
      <c r="A80" s="206">
        <v>61</v>
      </c>
      <c r="B80" s="909" t="s">
        <v>869</v>
      </c>
      <c r="C80" s="910"/>
      <c r="D80" s="910"/>
      <c r="E80" s="910"/>
      <c r="F80" s="910"/>
      <c r="G80" s="910"/>
      <c r="H80" s="910"/>
      <c r="I80" s="910"/>
      <c r="J80" s="911"/>
      <c r="K80" s="911"/>
      <c r="L80" s="208"/>
    </row>
    <row r="81" spans="1:12" ht="12.75">
      <c r="A81" s="149">
        <v>62</v>
      </c>
      <c r="B81" s="203" t="s">
        <v>786</v>
      </c>
      <c r="C81" s="171">
        <v>0</v>
      </c>
      <c r="D81" s="218"/>
      <c r="E81" s="154">
        <v>0</v>
      </c>
      <c r="F81" s="191">
        <v>0</v>
      </c>
      <c r="G81" s="191">
        <v>0</v>
      </c>
      <c r="H81" s="192"/>
      <c r="I81" s="192"/>
      <c r="J81" s="156">
        <v>0</v>
      </c>
      <c r="K81" s="156">
        <f>254000+863600</f>
        <v>1117600</v>
      </c>
      <c r="L81" s="892"/>
    </row>
    <row r="82" spans="1:12" ht="13.5" thickBot="1">
      <c r="A82" s="151">
        <v>63</v>
      </c>
      <c r="B82" s="157" t="s">
        <v>782</v>
      </c>
      <c r="C82" s="173">
        <v>100000000</v>
      </c>
      <c r="D82" s="218"/>
      <c r="E82" s="160">
        <v>100000000</v>
      </c>
      <c r="F82" s="160">
        <v>0</v>
      </c>
      <c r="G82" s="160">
        <v>0</v>
      </c>
      <c r="H82" s="193"/>
      <c r="I82" s="194"/>
      <c r="J82" s="162">
        <v>96609100</v>
      </c>
      <c r="K82" s="162"/>
      <c r="L82" s="893"/>
    </row>
    <row r="83" spans="1:12" ht="13.5" thickBot="1">
      <c r="A83" s="151">
        <v>64</v>
      </c>
      <c r="B83" s="163" t="s">
        <v>783</v>
      </c>
      <c r="C83" s="164">
        <f>SUM(C81:C82)</f>
        <v>100000000</v>
      </c>
      <c r="D83" s="199"/>
      <c r="E83" s="165">
        <f>SUM(E81:E82)</f>
        <v>100000000</v>
      </c>
      <c r="F83" s="165">
        <f>SUM(F81:F82)</f>
        <v>0</v>
      </c>
      <c r="G83" s="165">
        <f>SUM(G81:G82)</f>
        <v>0</v>
      </c>
      <c r="H83" s="199"/>
      <c r="I83" s="200"/>
      <c r="J83" s="168">
        <f>SUM(J81:J82)</f>
        <v>96609100</v>
      </c>
      <c r="K83" s="168">
        <f>SUM(K81:K82)</f>
        <v>1117600</v>
      </c>
      <c r="L83" s="894"/>
    </row>
    <row r="84" spans="1:12" ht="13.5" thickBot="1">
      <c r="A84" s="151"/>
      <c r="B84" s="895"/>
      <c r="C84" s="1302"/>
      <c r="D84" s="1302"/>
      <c r="E84" s="1302"/>
      <c r="F84" s="1302"/>
      <c r="G84" s="1302"/>
      <c r="H84" s="1302"/>
      <c r="I84" s="1302"/>
      <c r="J84" s="1302"/>
      <c r="K84" s="896"/>
      <c r="L84" s="150"/>
    </row>
    <row r="85" spans="1:12" ht="12.75">
      <c r="A85" s="169">
        <v>65</v>
      </c>
      <c r="B85" s="186" t="s">
        <v>790</v>
      </c>
      <c r="C85" s="171">
        <f>SUM(E85:G85)</f>
        <v>100000000</v>
      </c>
      <c r="D85" s="215"/>
      <c r="E85" s="154">
        <v>2393950</v>
      </c>
      <c r="F85" s="154">
        <v>85795050</v>
      </c>
      <c r="G85" s="154">
        <v>11811000</v>
      </c>
      <c r="H85" s="192"/>
      <c r="I85" s="192"/>
      <c r="J85" s="892"/>
      <c r="K85" s="892"/>
      <c r="L85" s="156">
        <v>91442680</v>
      </c>
    </row>
    <row r="86" spans="1:12" ht="13.5" thickBot="1">
      <c r="A86" s="169">
        <v>66</v>
      </c>
      <c r="B86" s="195" t="s">
        <v>791</v>
      </c>
      <c r="C86" s="173">
        <v>0</v>
      </c>
      <c r="D86" s="218"/>
      <c r="E86" s="196">
        <v>0</v>
      </c>
      <c r="F86" s="196">
        <v>0</v>
      </c>
      <c r="G86" s="196">
        <v>0</v>
      </c>
      <c r="H86" s="263"/>
      <c r="I86" s="264"/>
      <c r="J86" s="893"/>
      <c r="K86" s="893"/>
      <c r="L86" s="162">
        <v>863600</v>
      </c>
    </row>
    <row r="87" spans="1:12" ht="12.75">
      <c r="A87" s="169">
        <v>67</v>
      </c>
      <c r="B87" s="186" t="s">
        <v>787</v>
      </c>
      <c r="C87" s="173"/>
      <c r="D87" s="218"/>
      <c r="E87" s="196"/>
      <c r="F87" s="196"/>
      <c r="G87" s="196"/>
      <c r="H87" s="161"/>
      <c r="I87" s="260"/>
      <c r="J87" s="893"/>
      <c r="K87" s="893"/>
      <c r="L87" s="162">
        <v>752612</v>
      </c>
    </row>
    <row r="88" spans="1:12" ht="12.75">
      <c r="A88" s="169">
        <v>68</v>
      </c>
      <c r="B88" s="172" t="s">
        <v>785</v>
      </c>
      <c r="C88" s="173">
        <v>0</v>
      </c>
      <c r="D88" s="259"/>
      <c r="E88" s="196"/>
      <c r="F88" s="196">
        <v>0</v>
      </c>
      <c r="G88" s="196"/>
      <c r="H88" s="161"/>
      <c r="I88" s="260"/>
      <c r="J88" s="893"/>
      <c r="K88" s="893"/>
      <c r="L88" s="162">
        <v>4413808</v>
      </c>
    </row>
    <row r="89" spans="1:12" ht="13.5" thickBot="1">
      <c r="A89" s="169">
        <v>69</v>
      </c>
      <c r="B89" s="172" t="s">
        <v>952</v>
      </c>
      <c r="C89" s="173">
        <v>0</v>
      </c>
      <c r="D89" s="218"/>
      <c r="E89" s="196">
        <v>0</v>
      </c>
      <c r="F89" s="196">
        <v>0</v>
      </c>
      <c r="G89" s="196">
        <v>0</v>
      </c>
      <c r="H89" s="193"/>
      <c r="I89" s="194"/>
      <c r="J89" s="893"/>
      <c r="K89" s="893"/>
      <c r="L89" s="162">
        <v>254000</v>
      </c>
    </row>
    <row r="90" spans="1:12" ht="13.5" thickBot="1">
      <c r="A90" s="187">
        <v>70</v>
      </c>
      <c r="B90" s="188" t="s">
        <v>370</v>
      </c>
      <c r="C90" s="176">
        <f>SUM(C85:C89)</f>
        <v>100000000</v>
      </c>
      <c r="D90" s="201"/>
      <c r="E90" s="189">
        <f>SUM(E85:E89)</f>
        <v>2393950</v>
      </c>
      <c r="F90" s="189">
        <f>SUM(F85:F89)</f>
        <v>85795050</v>
      </c>
      <c r="G90" s="189">
        <f>SUM(G85:G89)</f>
        <v>11811000</v>
      </c>
      <c r="H90" s="201"/>
      <c r="I90" s="201"/>
      <c r="J90" s="897"/>
      <c r="K90" s="897"/>
      <c r="L90" s="178">
        <f>SUM(L85:L89)</f>
        <v>97726700</v>
      </c>
    </row>
    <row r="91" spans="1:12" ht="14.25" thickBot="1" thickTop="1">
      <c r="A91" s="151"/>
      <c r="B91" s="895"/>
      <c r="C91" s="1302"/>
      <c r="D91" s="1302"/>
      <c r="E91" s="1302"/>
      <c r="F91" s="1302"/>
      <c r="G91" s="1302"/>
      <c r="H91" s="1302"/>
      <c r="I91" s="1302"/>
      <c r="J91" s="1302"/>
      <c r="K91" s="896"/>
      <c r="L91" s="150"/>
    </row>
    <row r="92" spans="1:12" ht="16.5" thickBot="1" thickTop="1">
      <c r="A92" s="206">
        <v>71</v>
      </c>
      <c r="B92" s="909" t="s">
        <v>870</v>
      </c>
      <c r="C92" s="910"/>
      <c r="D92" s="910"/>
      <c r="E92" s="910"/>
      <c r="F92" s="910"/>
      <c r="G92" s="910"/>
      <c r="H92" s="910"/>
      <c r="I92" s="910"/>
      <c r="J92" s="911"/>
      <c r="K92" s="911"/>
      <c r="L92" s="208"/>
    </row>
    <row r="93" spans="1:12" ht="12.75">
      <c r="A93" s="149">
        <v>72</v>
      </c>
      <c r="B93" s="203" t="s">
        <v>786</v>
      </c>
      <c r="C93" s="171">
        <v>0</v>
      </c>
      <c r="D93" s="218"/>
      <c r="E93" s="154">
        <v>0</v>
      </c>
      <c r="F93" s="191">
        <v>0</v>
      </c>
      <c r="G93" s="192"/>
      <c r="H93" s="192"/>
      <c r="I93" s="192"/>
      <c r="J93" s="156">
        <v>0</v>
      </c>
      <c r="K93" s="156"/>
      <c r="L93" s="892"/>
    </row>
    <row r="94" spans="1:12" ht="13.5" thickBot="1">
      <c r="A94" s="151">
        <v>73</v>
      </c>
      <c r="B94" s="157" t="s">
        <v>782</v>
      </c>
      <c r="C94" s="173">
        <v>118000000</v>
      </c>
      <c r="D94" s="218"/>
      <c r="E94" s="160">
        <v>112219000</v>
      </c>
      <c r="F94" s="160">
        <v>5781000</v>
      </c>
      <c r="G94" s="193"/>
      <c r="H94" s="193"/>
      <c r="I94" s="194"/>
      <c r="J94" s="162">
        <v>105181800</v>
      </c>
      <c r="K94" s="162"/>
      <c r="L94" s="893"/>
    </row>
    <row r="95" spans="1:12" ht="13.5" thickBot="1">
      <c r="A95" s="151">
        <v>74</v>
      </c>
      <c r="B95" s="163" t="s">
        <v>783</v>
      </c>
      <c r="C95" s="164">
        <f>SUM(C93:C94)</f>
        <v>118000000</v>
      </c>
      <c r="D95" s="199"/>
      <c r="E95" s="165">
        <f>SUM(E93:E94)</f>
        <v>112219000</v>
      </c>
      <c r="F95" s="165">
        <f>SUM(F93:F94)</f>
        <v>5781000</v>
      </c>
      <c r="G95" s="199"/>
      <c r="H95" s="199"/>
      <c r="I95" s="200"/>
      <c r="J95" s="168">
        <f>SUM(J93:J94)</f>
        <v>105181800</v>
      </c>
      <c r="K95" s="168">
        <f>SUM(K93:K94)</f>
        <v>0</v>
      </c>
      <c r="L95" s="894"/>
    </row>
    <row r="96" spans="1:12" ht="13.5" thickBot="1">
      <c r="A96" s="151"/>
      <c r="B96" s="895"/>
      <c r="C96" s="1302"/>
      <c r="D96" s="1302"/>
      <c r="E96" s="1302"/>
      <c r="F96" s="1302"/>
      <c r="G96" s="1302"/>
      <c r="H96" s="1302"/>
      <c r="I96" s="1302"/>
      <c r="J96" s="1302"/>
      <c r="K96" s="896"/>
      <c r="L96" s="150"/>
    </row>
    <row r="97" spans="1:12" ht="13.5" thickBot="1">
      <c r="A97" s="169">
        <v>75</v>
      </c>
      <c r="B97" s="186" t="s">
        <v>784</v>
      </c>
      <c r="C97" s="171">
        <f>SUM(E97:G97)</f>
        <v>118000000</v>
      </c>
      <c r="D97" s="218"/>
      <c r="E97" s="154">
        <v>5857200</v>
      </c>
      <c r="F97" s="154">
        <v>112142800</v>
      </c>
      <c r="G97" s="192"/>
      <c r="H97" s="192"/>
      <c r="I97" s="192"/>
      <c r="J97" s="892"/>
      <c r="K97" s="892"/>
      <c r="L97" s="156">
        <f>100932090-3817843</f>
        <v>97114247</v>
      </c>
    </row>
    <row r="98" spans="1:12" ht="13.5" thickBot="1">
      <c r="A98" s="169"/>
      <c r="B98" s="195" t="s">
        <v>1091</v>
      </c>
      <c r="C98" s="171"/>
      <c r="D98" s="218"/>
      <c r="E98" s="245"/>
      <c r="F98" s="245"/>
      <c r="G98" s="1303"/>
      <c r="H98" s="1303"/>
      <c r="I98" s="1304"/>
      <c r="J98" s="893"/>
      <c r="K98" s="893"/>
      <c r="L98" s="244">
        <f>3817843</f>
        <v>3817843</v>
      </c>
    </row>
    <row r="99" spans="1:12" ht="13.5" thickBot="1">
      <c r="A99" s="169">
        <v>76</v>
      </c>
      <c r="B99" s="172" t="s">
        <v>785</v>
      </c>
      <c r="C99" s="171">
        <v>0</v>
      </c>
      <c r="D99" s="218"/>
      <c r="E99" s="196">
        <v>0</v>
      </c>
      <c r="F99" s="253">
        <v>0</v>
      </c>
      <c r="G99" s="193"/>
      <c r="H99" s="193"/>
      <c r="I99" s="194"/>
      <c r="J99" s="893"/>
      <c r="K99" s="893"/>
      <c r="L99" s="162">
        <v>4249710</v>
      </c>
    </row>
    <row r="100" spans="1:12" ht="13.5" thickBot="1">
      <c r="A100" s="187">
        <v>77</v>
      </c>
      <c r="B100" s="188" t="s">
        <v>370</v>
      </c>
      <c r="C100" s="176">
        <f>SUM(C97:C99)</f>
        <v>118000000</v>
      </c>
      <c r="D100" s="201"/>
      <c r="E100" s="189">
        <f>SUM(E97:E99)</f>
        <v>5857200</v>
      </c>
      <c r="F100" s="189">
        <f>SUM(F97:F99)</f>
        <v>112142800</v>
      </c>
      <c r="G100" s="201"/>
      <c r="H100" s="201"/>
      <c r="I100" s="201"/>
      <c r="J100" s="897"/>
      <c r="K100" s="897"/>
      <c r="L100" s="178">
        <f>SUM(L97:L99)</f>
        <v>105181800</v>
      </c>
    </row>
    <row r="101" spans="1:12" ht="14.25" thickBot="1" thickTop="1">
      <c r="A101" s="190"/>
      <c r="B101" s="225"/>
      <c r="C101" s="1307"/>
      <c r="D101" s="1308"/>
      <c r="E101" s="1309"/>
      <c r="F101" s="1309"/>
      <c r="G101" s="1308"/>
      <c r="H101" s="1308"/>
      <c r="I101" s="1308"/>
      <c r="J101" s="1310"/>
      <c r="K101" s="1310"/>
      <c r="L101" s="226"/>
    </row>
    <row r="102" spans="1:12" ht="16.5" thickBot="1" thickTop="1">
      <c r="A102" s="206">
        <v>78</v>
      </c>
      <c r="B102" s="909" t="s">
        <v>871</v>
      </c>
      <c r="C102" s="910"/>
      <c r="D102" s="910"/>
      <c r="E102" s="910"/>
      <c r="F102" s="910"/>
      <c r="G102" s="910"/>
      <c r="H102" s="910"/>
      <c r="I102" s="910"/>
      <c r="J102" s="911"/>
      <c r="K102" s="911"/>
      <c r="L102" s="208"/>
    </row>
    <row r="103" spans="1:12" ht="12.75">
      <c r="A103" s="149">
        <v>79</v>
      </c>
      <c r="B103" s="203" t="s">
        <v>786</v>
      </c>
      <c r="C103" s="171">
        <v>0</v>
      </c>
      <c r="D103" s="218"/>
      <c r="E103" s="154">
        <v>0</v>
      </c>
      <c r="F103" s="191">
        <v>0</v>
      </c>
      <c r="G103" s="192"/>
      <c r="H103" s="192"/>
      <c r="I103" s="192"/>
      <c r="J103" s="156">
        <v>0</v>
      </c>
      <c r="K103" s="156">
        <v>0</v>
      </c>
      <c r="L103" s="892"/>
    </row>
    <row r="104" spans="1:12" ht="13.5" thickBot="1">
      <c r="A104" s="151">
        <v>80</v>
      </c>
      <c r="B104" s="157" t="s">
        <v>782</v>
      </c>
      <c r="C104" s="173">
        <v>50000000</v>
      </c>
      <c r="D104" s="218"/>
      <c r="E104" s="160">
        <v>50000000</v>
      </c>
      <c r="F104" s="160">
        <v>0</v>
      </c>
      <c r="G104" s="193"/>
      <c r="H104" s="193"/>
      <c r="I104" s="194"/>
      <c r="J104" s="162">
        <v>23207061</v>
      </c>
      <c r="K104" s="162"/>
      <c r="L104" s="893"/>
    </row>
    <row r="105" spans="1:12" ht="13.5" thickBot="1">
      <c r="A105" s="151">
        <v>81</v>
      </c>
      <c r="B105" s="163" t="s">
        <v>783</v>
      </c>
      <c r="C105" s="164">
        <f>SUM(C103:C104)</f>
        <v>50000000</v>
      </c>
      <c r="D105" s="199"/>
      <c r="E105" s="165">
        <f>SUM(E103:E104)</f>
        <v>50000000</v>
      </c>
      <c r="F105" s="165">
        <f>SUM(F103:F104)</f>
        <v>0</v>
      </c>
      <c r="G105" s="199"/>
      <c r="H105" s="199"/>
      <c r="I105" s="200"/>
      <c r="J105" s="168">
        <f>SUM(J103:J104)</f>
        <v>23207061</v>
      </c>
      <c r="K105" s="168">
        <f>SUM(K103:K104)</f>
        <v>0</v>
      </c>
      <c r="L105" s="894"/>
    </row>
    <row r="106" spans="1:12" ht="13.5" thickBot="1">
      <c r="A106" s="151"/>
      <c r="B106" s="895"/>
      <c r="C106" s="1302"/>
      <c r="D106" s="1302"/>
      <c r="E106" s="1302"/>
      <c r="F106" s="1302"/>
      <c r="G106" s="1302"/>
      <c r="H106" s="1302"/>
      <c r="I106" s="1302"/>
      <c r="J106" s="1302"/>
      <c r="K106" s="896"/>
      <c r="L106" s="150"/>
    </row>
    <row r="107" spans="1:12" ht="12.75">
      <c r="A107" s="169">
        <v>82</v>
      </c>
      <c r="B107" s="186" t="s">
        <v>790</v>
      </c>
      <c r="C107" s="171">
        <v>50000000</v>
      </c>
      <c r="D107" s="215"/>
      <c r="E107" s="227">
        <v>2450000</v>
      </c>
      <c r="F107" s="227">
        <v>47550000</v>
      </c>
      <c r="G107" s="192"/>
      <c r="H107" s="192"/>
      <c r="I107" s="192"/>
      <c r="J107" s="892"/>
      <c r="K107" s="892"/>
      <c r="L107" s="156">
        <v>21830061</v>
      </c>
    </row>
    <row r="108" spans="1:12" ht="13.5" thickBot="1">
      <c r="A108" s="169">
        <v>83</v>
      </c>
      <c r="B108" s="172" t="s">
        <v>785</v>
      </c>
      <c r="C108" s="173">
        <v>0</v>
      </c>
      <c r="D108" s="218"/>
      <c r="E108" s="196">
        <v>0</v>
      </c>
      <c r="F108" s="196">
        <v>0</v>
      </c>
      <c r="G108" s="193"/>
      <c r="H108" s="193"/>
      <c r="I108" s="194"/>
      <c r="J108" s="893"/>
      <c r="K108" s="893"/>
      <c r="L108" s="162">
        <v>1377000</v>
      </c>
    </row>
    <row r="109" spans="1:12" ht="13.5" thickBot="1">
      <c r="A109" s="187">
        <v>84</v>
      </c>
      <c r="B109" s="188" t="s">
        <v>370</v>
      </c>
      <c r="C109" s="176">
        <f>SUM(C107:C108)</f>
        <v>50000000</v>
      </c>
      <c r="D109" s="201"/>
      <c r="E109" s="189">
        <f>SUM(E107:E108)</f>
        <v>2450000</v>
      </c>
      <c r="F109" s="189">
        <f>SUM(F107:F108)</f>
        <v>47550000</v>
      </c>
      <c r="G109" s="201"/>
      <c r="H109" s="201"/>
      <c r="I109" s="201"/>
      <c r="J109" s="897"/>
      <c r="K109" s="897"/>
      <c r="L109" s="178">
        <f>SUM(L107:L108)</f>
        <v>23207061</v>
      </c>
    </row>
    <row r="110" spans="1:12" ht="14.25" thickBot="1" thickTop="1">
      <c r="A110" s="169"/>
      <c r="B110" s="228"/>
      <c r="C110" s="229"/>
      <c r="D110" s="230"/>
      <c r="E110" s="229"/>
      <c r="F110" s="229"/>
      <c r="G110" s="230"/>
      <c r="H110" s="230"/>
      <c r="I110" s="230"/>
      <c r="J110" s="231"/>
      <c r="K110" s="231"/>
      <c r="L110" s="232"/>
    </row>
    <row r="111" spans="1:12" ht="16.5" thickBot="1" thickTop="1">
      <c r="A111" s="206">
        <v>85</v>
      </c>
      <c r="B111" s="909" t="s">
        <v>872</v>
      </c>
      <c r="C111" s="910"/>
      <c r="D111" s="910"/>
      <c r="E111" s="910"/>
      <c r="F111" s="910"/>
      <c r="G111" s="910"/>
      <c r="H111" s="910"/>
      <c r="I111" s="910"/>
      <c r="J111" s="911"/>
      <c r="K111" s="911"/>
      <c r="L111" s="208"/>
    </row>
    <row r="112" spans="1:12" ht="12.75">
      <c r="A112" s="149">
        <v>86</v>
      </c>
      <c r="B112" s="203" t="s">
        <v>786</v>
      </c>
      <c r="C112" s="171">
        <v>0</v>
      </c>
      <c r="D112" s="218"/>
      <c r="E112" s="154">
        <v>0</v>
      </c>
      <c r="F112" s="191">
        <v>0</v>
      </c>
      <c r="G112" s="233">
        <v>0</v>
      </c>
      <c r="H112" s="233">
        <v>0</v>
      </c>
      <c r="I112" s="233">
        <v>0</v>
      </c>
      <c r="J112" s="156">
        <v>0</v>
      </c>
      <c r="K112" s="156">
        <v>0</v>
      </c>
      <c r="L112" s="892"/>
    </row>
    <row r="113" spans="1:12" ht="13.5" thickBot="1">
      <c r="A113" s="151">
        <v>88</v>
      </c>
      <c r="B113" s="157" t="s">
        <v>782</v>
      </c>
      <c r="C113" s="173">
        <v>21635062</v>
      </c>
      <c r="D113" s="218"/>
      <c r="E113" s="160">
        <v>21635062</v>
      </c>
      <c r="F113" s="160">
        <v>0</v>
      </c>
      <c r="G113" s="234">
        <v>0</v>
      </c>
      <c r="H113" s="234">
        <v>0</v>
      </c>
      <c r="I113" s="235">
        <v>0</v>
      </c>
      <c r="J113" s="162">
        <v>12229669</v>
      </c>
      <c r="K113" s="162"/>
      <c r="L113" s="893"/>
    </row>
    <row r="114" spans="1:12" ht="13.5" thickBot="1">
      <c r="A114" s="151">
        <v>89</v>
      </c>
      <c r="B114" s="163" t="s">
        <v>783</v>
      </c>
      <c r="C114" s="164">
        <f>SUM(C112:C113)</f>
        <v>21635062</v>
      </c>
      <c r="D114" s="199"/>
      <c r="E114" s="165">
        <f aca="true" t="shared" si="4" ref="E114:K114">SUM(E112:E113)</f>
        <v>21635062</v>
      </c>
      <c r="F114" s="165">
        <f t="shared" si="4"/>
        <v>0</v>
      </c>
      <c r="G114" s="165">
        <f t="shared" si="4"/>
        <v>0</v>
      </c>
      <c r="H114" s="165">
        <f t="shared" si="4"/>
        <v>0</v>
      </c>
      <c r="I114" s="165">
        <f t="shared" si="4"/>
        <v>0</v>
      </c>
      <c r="J114" s="168">
        <f t="shared" si="4"/>
        <v>12229669</v>
      </c>
      <c r="K114" s="168">
        <f t="shared" si="4"/>
        <v>0</v>
      </c>
      <c r="L114" s="894"/>
    </row>
    <row r="115" spans="1:12" ht="13.5" thickBot="1">
      <c r="A115" s="151"/>
      <c r="B115" s="895"/>
      <c r="C115" s="1302"/>
      <c r="D115" s="1302"/>
      <c r="E115" s="1302"/>
      <c r="F115" s="1302"/>
      <c r="G115" s="1302"/>
      <c r="H115" s="1302"/>
      <c r="I115" s="1302"/>
      <c r="J115" s="1302"/>
      <c r="K115" s="896"/>
      <c r="L115" s="150"/>
    </row>
    <row r="116" spans="1:12" ht="12.75">
      <c r="A116" s="169">
        <v>90</v>
      </c>
      <c r="B116" s="186" t="s">
        <v>787</v>
      </c>
      <c r="C116" s="171">
        <v>10295000</v>
      </c>
      <c r="D116" s="215"/>
      <c r="E116" s="227">
        <v>717000</v>
      </c>
      <c r="F116" s="227">
        <v>3123000</v>
      </c>
      <c r="G116" s="227">
        <v>2880000</v>
      </c>
      <c r="H116" s="227">
        <v>2880000</v>
      </c>
      <c r="I116" s="227">
        <v>695000</v>
      </c>
      <c r="J116" s="912"/>
      <c r="K116" s="912"/>
      <c r="L116" s="171">
        <v>6327500</v>
      </c>
    </row>
    <row r="117" spans="1:12" ht="12.75">
      <c r="A117" s="169">
        <v>91</v>
      </c>
      <c r="B117" s="172" t="s">
        <v>785</v>
      </c>
      <c r="C117" s="224">
        <v>10510062</v>
      </c>
      <c r="D117" s="215"/>
      <c r="E117" s="236">
        <v>315347</v>
      </c>
      <c r="F117" s="236">
        <f>3984278+55</f>
        <v>3984333</v>
      </c>
      <c r="G117" s="237">
        <v>2149813</v>
      </c>
      <c r="H117" s="237">
        <v>2149812</v>
      </c>
      <c r="I117" s="237">
        <v>1910757</v>
      </c>
      <c r="J117" s="913"/>
      <c r="K117" s="913"/>
      <c r="L117" s="224">
        <v>5902169</v>
      </c>
    </row>
    <row r="118" spans="1:12" ht="13.5" thickBot="1">
      <c r="A118" s="169">
        <v>92</v>
      </c>
      <c r="B118" s="216" t="s">
        <v>784</v>
      </c>
      <c r="C118" s="173">
        <v>830000</v>
      </c>
      <c r="D118" s="218"/>
      <c r="E118" s="253">
        <v>829945</v>
      </c>
      <c r="F118" s="196">
        <f>55-55</f>
        <v>0</v>
      </c>
      <c r="G118" s="234">
        <v>0</v>
      </c>
      <c r="H118" s="234">
        <v>0</v>
      </c>
      <c r="I118" s="235">
        <v>0</v>
      </c>
      <c r="J118" s="893"/>
      <c r="K118" s="893"/>
      <c r="L118" s="173">
        <f>55-55</f>
        <v>0</v>
      </c>
    </row>
    <row r="119" spans="1:12" ht="13.5" thickBot="1">
      <c r="A119" s="187">
        <v>93</v>
      </c>
      <c r="B119" s="188" t="s">
        <v>370</v>
      </c>
      <c r="C119" s="176">
        <f>SUM(C116:C118)</f>
        <v>21635062</v>
      </c>
      <c r="D119" s="201"/>
      <c r="E119" s="189">
        <f>SUM(E116:E118)</f>
        <v>1862292</v>
      </c>
      <c r="F119" s="189">
        <f>SUM(F116:F118)</f>
        <v>7107333</v>
      </c>
      <c r="G119" s="189">
        <f>SUM(G116:G118)</f>
        <v>5029813</v>
      </c>
      <c r="H119" s="189">
        <f>SUM(H116:H118)</f>
        <v>5029812</v>
      </c>
      <c r="I119" s="189">
        <f>SUM(I116:I118)</f>
        <v>2605757</v>
      </c>
      <c r="J119" s="897"/>
      <c r="K119" s="897"/>
      <c r="L119" s="178">
        <f>SUM(L116:L118)</f>
        <v>12229669</v>
      </c>
    </row>
    <row r="120" spans="1:12" ht="14.25" thickBot="1" thickTop="1">
      <c r="A120" s="1311"/>
      <c r="B120" s="238"/>
      <c r="C120" s="229"/>
      <c r="D120" s="230"/>
      <c r="E120" s="229"/>
      <c r="F120" s="229"/>
      <c r="G120" s="230"/>
      <c r="H120" s="230"/>
      <c r="I120" s="230"/>
      <c r="J120" s="231"/>
      <c r="K120" s="231"/>
      <c r="L120" s="232"/>
    </row>
    <row r="121" spans="1:12" ht="16.5" thickBot="1" thickTop="1">
      <c r="A121" s="206">
        <v>94</v>
      </c>
      <c r="B121" s="909" t="s">
        <v>950</v>
      </c>
      <c r="C121" s="910"/>
      <c r="D121" s="910"/>
      <c r="E121" s="910"/>
      <c r="F121" s="910"/>
      <c r="G121" s="910"/>
      <c r="H121" s="910"/>
      <c r="I121" s="910"/>
      <c r="J121" s="911"/>
      <c r="K121" s="911"/>
      <c r="L121" s="207"/>
    </row>
    <row r="122" spans="1:12" ht="12.75">
      <c r="A122" s="149">
        <v>95</v>
      </c>
      <c r="B122" s="152" t="s">
        <v>781</v>
      </c>
      <c r="C122" s="153">
        <f>SUM(I122+G122+F122+E122+D122)</f>
        <v>0</v>
      </c>
      <c r="D122" s="155"/>
      <c r="E122" s="155"/>
      <c r="F122" s="154">
        <v>0</v>
      </c>
      <c r="G122" s="154">
        <v>0</v>
      </c>
      <c r="H122" s="154">
        <v>0</v>
      </c>
      <c r="I122" s="155"/>
      <c r="J122" s="156">
        <v>0</v>
      </c>
      <c r="K122" s="156">
        <v>0</v>
      </c>
      <c r="L122" s="892"/>
    </row>
    <row r="123" spans="1:12" ht="13.5" thickBot="1">
      <c r="A123" s="151">
        <v>96</v>
      </c>
      <c r="B123" s="157" t="s">
        <v>782</v>
      </c>
      <c r="C123" s="158">
        <v>6119772</v>
      </c>
      <c r="D123" s="161"/>
      <c r="E123" s="161"/>
      <c r="F123" s="160">
        <v>1647423</v>
      </c>
      <c r="G123" s="160">
        <v>2435901</v>
      </c>
      <c r="H123" s="160">
        <v>2036448</v>
      </c>
      <c r="I123" s="161"/>
      <c r="J123" s="162">
        <v>1475404</v>
      </c>
      <c r="K123" s="162">
        <v>1092680</v>
      </c>
      <c r="L123" s="893"/>
    </row>
    <row r="124" spans="1:12" ht="13.5" thickBot="1">
      <c r="A124" s="151">
        <v>97</v>
      </c>
      <c r="B124" s="163" t="s">
        <v>783</v>
      </c>
      <c r="C124" s="164">
        <f>SUM(G124+F124+H124)</f>
        <v>6119772</v>
      </c>
      <c r="D124" s="166"/>
      <c r="E124" s="166"/>
      <c r="F124" s="165">
        <f>SUM(F122+F123)</f>
        <v>1647423</v>
      </c>
      <c r="G124" s="165">
        <f>SUM(G122+G123)</f>
        <v>2435901</v>
      </c>
      <c r="H124" s="165">
        <f>SUM(H122+H123)</f>
        <v>2036448</v>
      </c>
      <c r="I124" s="167"/>
      <c r="J124" s="168">
        <f>SUM(J122+J123)</f>
        <v>1475404</v>
      </c>
      <c r="K124" s="168">
        <f>SUM(K122+K123)</f>
        <v>1092680</v>
      </c>
      <c r="L124" s="894"/>
    </row>
    <row r="125" spans="1:12" ht="13.5" thickBot="1">
      <c r="A125" s="151"/>
      <c r="B125" s="919"/>
      <c r="C125" s="920"/>
      <c r="D125" s="921"/>
      <c r="E125" s="921"/>
      <c r="F125" s="921"/>
      <c r="G125" s="921"/>
      <c r="H125" s="921"/>
      <c r="I125" s="921"/>
      <c r="J125" s="922"/>
      <c r="K125" s="923"/>
      <c r="L125" s="150"/>
    </row>
    <row r="126" spans="1:12" ht="12.75">
      <c r="A126" s="169"/>
      <c r="B126" s="186" t="s">
        <v>787</v>
      </c>
      <c r="C126" s="171">
        <v>2588370</v>
      </c>
      <c r="D126" s="155"/>
      <c r="E126" s="155"/>
      <c r="F126" s="160">
        <v>816596</v>
      </c>
      <c r="G126" s="160">
        <v>1208430</v>
      </c>
      <c r="H126" s="160">
        <v>563344</v>
      </c>
      <c r="I126" s="258"/>
      <c r="J126" s="912"/>
      <c r="K126" s="912"/>
      <c r="L126" s="156">
        <v>1208430</v>
      </c>
    </row>
    <row r="127" spans="1:12" ht="12.75">
      <c r="A127" s="169"/>
      <c r="B127" s="172" t="s">
        <v>785</v>
      </c>
      <c r="C127" s="173">
        <v>521854</v>
      </c>
      <c r="D127" s="1312"/>
      <c r="E127" s="1312"/>
      <c r="F127" s="160">
        <v>110969</v>
      </c>
      <c r="G127" s="160">
        <v>386554</v>
      </c>
      <c r="H127" s="160">
        <v>24331</v>
      </c>
      <c r="I127" s="1313"/>
      <c r="J127" s="913"/>
      <c r="K127" s="913"/>
      <c r="L127" s="162">
        <v>386554</v>
      </c>
    </row>
    <row r="128" spans="1:12" ht="12.75">
      <c r="A128" s="169">
        <v>99</v>
      </c>
      <c r="B128" s="170" t="s">
        <v>784</v>
      </c>
      <c r="C128" s="224">
        <v>973100</v>
      </c>
      <c r="D128" s="161"/>
      <c r="E128" s="161"/>
      <c r="F128" s="1314">
        <v>0</v>
      </c>
      <c r="G128" s="160">
        <v>973100</v>
      </c>
      <c r="H128" s="1314">
        <v>0</v>
      </c>
      <c r="I128" s="260"/>
      <c r="J128" s="893"/>
      <c r="K128" s="893"/>
      <c r="L128" s="244">
        <v>973100</v>
      </c>
    </row>
    <row r="129" spans="1:12" ht="13.5" thickBot="1">
      <c r="A129" s="169">
        <v>98</v>
      </c>
      <c r="B129" s="170" t="s">
        <v>1093</v>
      </c>
      <c r="C129" s="224">
        <v>2036448</v>
      </c>
      <c r="D129" s="1312"/>
      <c r="E129" s="1312"/>
      <c r="F129" s="1314">
        <v>0</v>
      </c>
      <c r="G129" s="160">
        <v>2036448</v>
      </c>
      <c r="H129" s="1314">
        <v>0</v>
      </c>
      <c r="I129" s="1312"/>
      <c r="J129" s="897"/>
      <c r="K129" s="897"/>
      <c r="L129" s="244">
        <v>0</v>
      </c>
    </row>
    <row r="130" spans="1:12" ht="14.25" thickBot="1" thickTop="1">
      <c r="A130" s="174">
        <v>100</v>
      </c>
      <c r="B130" s="175" t="s">
        <v>370</v>
      </c>
      <c r="C130" s="176">
        <f>SUM(C126:C129)</f>
        <v>6119772</v>
      </c>
      <c r="D130" s="201"/>
      <c r="E130" s="201"/>
      <c r="F130" s="177">
        <f>SUM(F126:F129)</f>
        <v>927565</v>
      </c>
      <c r="G130" s="177">
        <f>SUM(G126:G129)</f>
        <v>4604532</v>
      </c>
      <c r="H130" s="177">
        <f>SUM(H126:H129)</f>
        <v>587675</v>
      </c>
      <c r="I130" s="201"/>
      <c r="J130" s="201"/>
      <c r="K130" s="201"/>
      <c r="L130" s="178">
        <f>SUM(L126:L129)</f>
        <v>2568084</v>
      </c>
    </row>
    <row r="131" spans="1:12" ht="14.25" thickBot="1" thickTop="1">
      <c r="A131" s="1311"/>
      <c r="B131" s="238"/>
      <c r="C131" s="229"/>
      <c r="D131" s="230"/>
      <c r="E131" s="229"/>
      <c r="F131" s="229"/>
      <c r="G131" s="230"/>
      <c r="H131" s="230"/>
      <c r="I131" s="230"/>
      <c r="J131" s="231"/>
      <c r="K131" s="231"/>
      <c r="L131" s="232"/>
    </row>
    <row r="132" spans="1:12" ht="14.25" thickBot="1" thickTop="1">
      <c r="A132" s="149"/>
      <c r="B132" s="901"/>
      <c r="C132" s="902"/>
      <c r="D132" s="902"/>
      <c r="E132" s="902"/>
      <c r="F132" s="902"/>
      <c r="G132" s="902"/>
      <c r="H132" s="902"/>
      <c r="I132" s="902"/>
      <c r="J132" s="902"/>
      <c r="K132" s="902"/>
      <c r="L132" s="903"/>
    </row>
    <row r="133" spans="1:12" ht="19.5" thickBot="1" thickTop="1">
      <c r="A133" s="239"/>
      <c r="B133" s="898" t="s">
        <v>746</v>
      </c>
      <c r="C133" s="899"/>
      <c r="D133" s="899"/>
      <c r="E133" s="899"/>
      <c r="F133" s="899"/>
      <c r="G133" s="899"/>
      <c r="H133" s="899"/>
      <c r="I133" s="899"/>
      <c r="J133" s="899"/>
      <c r="K133" s="899"/>
      <c r="L133" s="900"/>
    </row>
    <row r="134" spans="1:12" ht="14.25" thickBot="1" thickTop="1">
      <c r="A134" s="179"/>
      <c r="B134" s="904"/>
      <c r="C134" s="905"/>
      <c r="D134" s="905"/>
      <c r="E134" s="905"/>
      <c r="F134" s="905"/>
      <c r="G134" s="905"/>
      <c r="H134" s="905"/>
      <c r="I134" s="905"/>
      <c r="J134" s="905"/>
      <c r="K134" s="905"/>
      <c r="L134" s="906"/>
    </row>
    <row r="135" spans="1:12" ht="16.5" thickBot="1" thickTop="1">
      <c r="A135" s="206">
        <v>101</v>
      </c>
      <c r="B135" s="907" t="s">
        <v>864</v>
      </c>
      <c r="C135" s="908"/>
      <c r="D135" s="908"/>
      <c r="E135" s="908"/>
      <c r="F135" s="908"/>
      <c r="G135" s="908"/>
      <c r="H135" s="908"/>
      <c r="I135" s="908"/>
      <c r="J135" s="908"/>
      <c r="K135" s="908"/>
      <c r="L135" s="240"/>
    </row>
    <row r="136" spans="1:12" ht="12.75">
      <c r="A136" s="149">
        <v>102</v>
      </c>
      <c r="B136" s="197" t="s">
        <v>786</v>
      </c>
      <c r="C136" s="241">
        <v>0</v>
      </c>
      <c r="D136" s="242"/>
      <c r="E136" s="243">
        <v>0</v>
      </c>
      <c r="F136" s="243">
        <v>0</v>
      </c>
      <c r="G136" s="243">
        <v>0</v>
      </c>
      <c r="H136" s="243"/>
      <c r="I136" s="242"/>
      <c r="J136" s="244">
        <v>0</v>
      </c>
      <c r="K136" s="244">
        <v>0</v>
      </c>
      <c r="L136" s="893"/>
    </row>
    <row r="137" spans="1:12" ht="13.5" thickBot="1">
      <c r="A137" s="182">
        <v>103</v>
      </c>
      <c r="B137" s="157" t="s">
        <v>782</v>
      </c>
      <c r="C137" s="183">
        <v>88217316</v>
      </c>
      <c r="D137" s="212"/>
      <c r="E137" s="160">
        <v>45094449</v>
      </c>
      <c r="F137" s="160">
        <v>0</v>
      </c>
      <c r="G137" s="160">
        <v>0</v>
      </c>
      <c r="H137" s="160">
        <v>43122867</v>
      </c>
      <c r="I137" s="212"/>
      <c r="J137" s="162">
        <v>7760424</v>
      </c>
      <c r="K137" s="162">
        <v>5354163</v>
      </c>
      <c r="L137" s="893"/>
    </row>
    <row r="138" spans="1:12" ht="13.5" thickBot="1">
      <c r="A138" s="151">
        <v>104</v>
      </c>
      <c r="B138" s="163" t="s">
        <v>783</v>
      </c>
      <c r="C138" s="164">
        <f>SUM(C136:C137)</f>
        <v>88217316</v>
      </c>
      <c r="D138" s="166"/>
      <c r="E138" s="165">
        <f>SUM(E136:E137)</f>
        <v>45094449</v>
      </c>
      <c r="F138" s="165">
        <f>SUM(F136:F137)</f>
        <v>0</v>
      </c>
      <c r="G138" s="165">
        <f>SUM(G136:G137)</f>
        <v>0</v>
      </c>
      <c r="H138" s="165">
        <f>SUM(H136:H137)</f>
        <v>43122867</v>
      </c>
      <c r="I138" s="166"/>
      <c r="J138" s="168">
        <f>SUM(J136:J137)</f>
        <v>7760424</v>
      </c>
      <c r="K138" s="168">
        <f>SUM(K136:K137)</f>
        <v>5354163</v>
      </c>
      <c r="L138" s="894"/>
    </row>
    <row r="139" spans="1:12" ht="16.5" customHeight="1" thickBot="1">
      <c r="A139" s="151"/>
      <c r="B139" s="895"/>
      <c r="C139" s="1302"/>
      <c r="D139" s="1302"/>
      <c r="E139" s="1302"/>
      <c r="F139" s="1302"/>
      <c r="G139" s="1302"/>
      <c r="H139" s="1302"/>
      <c r="I139" s="1302"/>
      <c r="J139" s="1302"/>
      <c r="K139" s="896"/>
      <c r="L139" s="150"/>
    </row>
    <row r="140" spans="1:12" ht="12.75">
      <c r="A140" s="185">
        <v>105</v>
      </c>
      <c r="B140" s="186" t="s">
        <v>787</v>
      </c>
      <c r="C140" s="223">
        <f>SUM(E140:H140)</f>
        <v>53041950</v>
      </c>
      <c r="D140" s="213"/>
      <c r="E140" s="154">
        <v>4082460</v>
      </c>
      <c r="F140" s="191">
        <v>23773325</v>
      </c>
      <c r="G140" s="191">
        <v>23773325</v>
      </c>
      <c r="H140" s="191">
        <v>1412840</v>
      </c>
      <c r="I140" s="213"/>
      <c r="J140" s="892"/>
      <c r="K140" s="892"/>
      <c r="L140" s="156">
        <f>7710424+2756937+482464</f>
        <v>10949825</v>
      </c>
    </row>
    <row r="141" spans="1:12" ht="12.75">
      <c r="A141" s="169">
        <v>106</v>
      </c>
      <c r="B141" s="172" t="s">
        <v>785</v>
      </c>
      <c r="C141" s="173">
        <f>SUM(E141:H141)</f>
        <v>33488176</v>
      </c>
      <c r="D141" s="215"/>
      <c r="E141" s="160">
        <v>12718558</v>
      </c>
      <c r="F141" s="184">
        <v>10002127</v>
      </c>
      <c r="G141" s="184">
        <v>10002126</v>
      </c>
      <c r="H141" s="184">
        <v>765365</v>
      </c>
      <c r="I141" s="215"/>
      <c r="J141" s="893"/>
      <c r="K141" s="893"/>
      <c r="L141" s="162">
        <f>50000+2114762</f>
        <v>2164762</v>
      </c>
    </row>
    <row r="142" spans="1:12" ht="13.5" thickBot="1">
      <c r="A142" s="169">
        <v>107</v>
      </c>
      <c r="B142" s="216" t="s">
        <v>784</v>
      </c>
      <c r="C142" s="224">
        <f>SUM(E142:H142)</f>
        <v>1687190</v>
      </c>
      <c r="D142" s="218"/>
      <c r="E142" s="160">
        <v>862449</v>
      </c>
      <c r="F142" s="184">
        <v>412371</v>
      </c>
      <c r="G142" s="184">
        <v>412370</v>
      </c>
      <c r="H142" s="184">
        <v>0</v>
      </c>
      <c r="I142" s="218"/>
      <c r="J142" s="893"/>
      <c r="K142" s="893"/>
      <c r="L142" s="162">
        <v>0</v>
      </c>
    </row>
    <row r="143" spans="1:12" ht="13.5" thickBot="1">
      <c r="A143" s="187">
        <v>108</v>
      </c>
      <c r="B143" s="188" t="s">
        <v>370</v>
      </c>
      <c r="C143" s="176">
        <f>SUM(C140:C142)</f>
        <v>88217316</v>
      </c>
      <c r="D143" s="201"/>
      <c r="E143" s="189">
        <f>SUM(E140:E142)</f>
        <v>17663467</v>
      </c>
      <c r="F143" s="189">
        <f>SUM(F140:F142)</f>
        <v>34187823</v>
      </c>
      <c r="G143" s="189">
        <f>SUM(G140:G142)</f>
        <v>34187821</v>
      </c>
      <c r="H143" s="189">
        <f>SUM(H140:H142)</f>
        <v>2178205</v>
      </c>
      <c r="I143" s="201"/>
      <c r="J143" s="897"/>
      <c r="K143" s="897"/>
      <c r="L143" s="178">
        <f>SUM(L140:L142)</f>
        <v>13114587</v>
      </c>
    </row>
    <row r="144" ht="14.25" thickBot="1" thickTop="1"/>
    <row r="145" spans="1:12" ht="19.5" thickBot="1" thickTop="1">
      <c r="A145" s="239"/>
      <c r="B145" s="898" t="s">
        <v>796</v>
      </c>
      <c r="C145" s="899"/>
      <c r="D145" s="899"/>
      <c r="E145" s="899"/>
      <c r="F145" s="899"/>
      <c r="G145" s="899"/>
      <c r="H145" s="899"/>
      <c r="I145" s="899"/>
      <c r="J145" s="899"/>
      <c r="K145" s="899"/>
      <c r="L145" s="900"/>
    </row>
    <row r="146" spans="1:12" ht="14.25" thickBot="1" thickTop="1">
      <c r="A146" s="886"/>
      <c r="B146" s="887"/>
      <c r="C146" s="887"/>
      <c r="D146" s="887"/>
      <c r="E146" s="887"/>
      <c r="F146" s="887"/>
      <c r="G146" s="887"/>
      <c r="H146" s="887"/>
      <c r="I146" s="887"/>
      <c r="J146" s="887"/>
      <c r="K146" s="887"/>
      <c r="L146" s="888"/>
    </row>
    <row r="147" spans="1:12" ht="16.5" thickBot="1" thickTop="1">
      <c r="A147" s="206">
        <v>109</v>
      </c>
      <c r="B147" s="889" t="s">
        <v>866</v>
      </c>
      <c r="C147" s="890"/>
      <c r="D147" s="890"/>
      <c r="E147" s="890"/>
      <c r="F147" s="890"/>
      <c r="G147" s="890"/>
      <c r="H147" s="890"/>
      <c r="I147" s="890"/>
      <c r="J147" s="890"/>
      <c r="K147" s="890"/>
      <c r="L147" s="891"/>
    </row>
    <row r="148" spans="1:12" ht="12.75">
      <c r="A148" s="149">
        <v>110</v>
      </c>
      <c r="B148" s="152" t="s">
        <v>786</v>
      </c>
      <c r="C148" s="180">
        <v>0</v>
      </c>
      <c r="D148" s="211"/>
      <c r="E148" s="211"/>
      <c r="F148" s="181">
        <v>0</v>
      </c>
      <c r="G148" s="211"/>
      <c r="H148" s="211"/>
      <c r="I148" s="211"/>
      <c r="J148" s="156">
        <v>0</v>
      </c>
      <c r="K148" s="156">
        <v>0</v>
      </c>
      <c r="L148" s="892"/>
    </row>
    <row r="149" spans="1:12" ht="13.5" thickBot="1">
      <c r="A149" s="182">
        <v>111</v>
      </c>
      <c r="B149" s="157" t="s">
        <v>782</v>
      </c>
      <c r="C149" s="183">
        <v>25000000</v>
      </c>
      <c r="D149" s="212"/>
      <c r="E149" s="212"/>
      <c r="F149" s="160">
        <v>25000000</v>
      </c>
      <c r="G149" s="212"/>
      <c r="H149" s="212"/>
      <c r="I149" s="212"/>
      <c r="J149" s="162">
        <v>5642681</v>
      </c>
      <c r="K149" s="162">
        <v>0</v>
      </c>
      <c r="L149" s="893"/>
    </row>
    <row r="150" spans="1:12" ht="13.5" thickBot="1">
      <c r="A150" s="151">
        <v>112</v>
      </c>
      <c r="B150" s="163" t="s">
        <v>783</v>
      </c>
      <c r="C150" s="164">
        <f>SUM(C148:C149)</f>
        <v>25000000</v>
      </c>
      <c r="D150" s="166"/>
      <c r="E150" s="166"/>
      <c r="F150" s="165">
        <f>SUM(F148:F149)</f>
        <v>25000000</v>
      </c>
      <c r="G150" s="166"/>
      <c r="H150" s="166"/>
      <c r="I150" s="166"/>
      <c r="J150" s="168">
        <f>SUM(J148:J149)</f>
        <v>5642681</v>
      </c>
      <c r="K150" s="168">
        <f>SUM(K148:K149)</f>
        <v>0</v>
      </c>
      <c r="L150" s="894"/>
    </row>
    <row r="151" spans="1:12" ht="16.5" customHeight="1" thickBot="1">
      <c r="A151" s="151"/>
      <c r="B151" s="895"/>
      <c r="C151" s="1302"/>
      <c r="D151" s="1302"/>
      <c r="E151" s="1302"/>
      <c r="F151" s="1302"/>
      <c r="G151" s="1302"/>
      <c r="H151" s="1302"/>
      <c r="I151" s="1302"/>
      <c r="J151" s="1302"/>
      <c r="K151" s="896"/>
      <c r="L151" s="150"/>
    </row>
    <row r="152" spans="1:12" ht="12.75">
      <c r="A152" s="185">
        <v>113</v>
      </c>
      <c r="B152" s="186" t="s">
        <v>787</v>
      </c>
      <c r="C152" s="223">
        <f>SUM(E152:H152)</f>
        <v>8407749</v>
      </c>
      <c r="D152" s="213"/>
      <c r="E152" s="213"/>
      <c r="F152" s="154">
        <v>8407749</v>
      </c>
      <c r="G152" s="213"/>
      <c r="H152" s="213"/>
      <c r="I152" s="213"/>
      <c r="J152" s="892"/>
      <c r="K152" s="892"/>
      <c r="L152" s="156">
        <f>2115000+13166</f>
        <v>2128166</v>
      </c>
    </row>
    <row r="153" spans="1:12" ht="12.75">
      <c r="A153" s="169">
        <v>114</v>
      </c>
      <c r="B153" s="172" t="s">
        <v>785</v>
      </c>
      <c r="C153" s="173">
        <f>SUM(E153:H153)</f>
        <v>14095151</v>
      </c>
      <c r="D153" s="215"/>
      <c r="E153" s="215"/>
      <c r="F153" s="160">
        <v>14095151</v>
      </c>
      <c r="G153" s="215"/>
      <c r="H153" s="215"/>
      <c r="I153" s="215"/>
      <c r="J153" s="893"/>
      <c r="K153" s="893"/>
      <c r="L153" s="162">
        <f>3527681-13166</f>
        <v>3514515</v>
      </c>
    </row>
    <row r="154" spans="1:12" ht="13.5" thickBot="1">
      <c r="A154" s="169">
        <v>115</v>
      </c>
      <c r="B154" s="216" t="s">
        <v>784</v>
      </c>
      <c r="C154" s="224">
        <f>SUM(E154:H154)</f>
        <v>2497100</v>
      </c>
      <c r="D154" s="218"/>
      <c r="E154" s="218"/>
      <c r="F154" s="159">
        <v>2497100</v>
      </c>
      <c r="G154" s="218"/>
      <c r="H154" s="218"/>
      <c r="I154" s="218"/>
      <c r="J154" s="893"/>
      <c r="K154" s="893"/>
      <c r="L154" s="162">
        <v>0</v>
      </c>
    </row>
    <row r="155" spans="1:12" ht="13.5" thickBot="1">
      <c r="A155" s="187">
        <v>116</v>
      </c>
      <c r="B155" s="188" t="s">
        <v>370</v>
      </c>
      <c r="C155" s="176">
        <f>SUM(C152:C154)</f>
        <v>25000000</v>
      </c>
      <c r="D155" s="201"/>
      <c r="E155" s="201"/>
      <c r="F155" s="189">
        <f>SUM(F152:F154)</f>
        <v>25000000</v>
      </c>
      <c r="G155" s="201"/>
      <c r="H155" s="201"/>
      <c r="I155" s="201"/>
      <c r="J155" s="897"/>
      <c r="K155" s="897"/>
      <c r="L155" s="178">
        <f>SUM(L152:L154)</f>
        <v>5642681</v>
      </c>
    </row>
    <row r="156" spans="1:12" ht="13.5" thickTop="1">
      <c r="A156" s="256"/>
      <c r="B156" s="885"/>
      <c r="C156" s="885"/>
      <c r="D156" s="885"/>
      <c r="E156" s="885"/>
      <c r="F156" s="885"/>
      <c r="G156" s="885"/>
      <c r="H156" s="885"/>
      <c r="I156" s="885"/>
      <c r="J156" s="885"/>
      <c r="K156" s="885"/>
      <c r="L156" s="250"/>
    </row>
    <row r="160" spans="1:2" ht="12.75">
      <c r="A160" s="1061">
        <v>33</v>
      </c>
      <c r="B160" s="277" t="s">
        <v>1049</v>
      </c>
    </row>
  </sheetData>
  <sheetProtection/>
  <mergeCells count="92">
    <mergeCell ref="B145:L145"/>
    <mergeCell ref="A146:L146"/>
    <mergeCell ref="B147:L147"/>
    <mergeCell ref="L148:L150"/>
    <mergeCell ref="B151:K151"/>
    <mergeCell ref="J152:J155"/>
    <mergeCell ref="K152:K155"/>
    <mergeCell ref="B132:L132"/>
    <mergeCell ref="B133:L133"/>
    <mergeCell ref="B134:L134"/>
    <mergeCell ref="B135:K135"/>
    <mergeCell ref="L136:L138"/>
    <mergeCell ref="J140:J143"/>
    <mergeCell ref="K140:K143"/>
    <mergeCell ref="J116:J119"/>
    <mergeCell ref="K116:K119"/>
    <mergeCell ref="L122:L124"/>
    <mergeCell ref="B125:K125"/>
    <mergeCell ref="J126:J129"/>
    <mergeCell ref="K126:K129"/>
    <mergeCell ref="L103:L105"/>
    <mergeCell ref="B106:K106"/>
    <mergeCell ref="J107:J109"/>
    <mergeCell ref="K107:K109"/>
    <mergeCell ref="B111:K111"/>
    <mergeCell ref="L112:L114"/>
    <mergeCell ref="K75:K78"/>
    <mergeCell ref="B79:K79"/>
    <mergeCell ref="B80:K80"/>
    <mergeCell ref="L81:L83"/>
    <mergeCell ref="B84:K84"/>
    <mergeCell ref="J85:J90"/>
    <mergeCell ref="K85:K90"/>
    <mergeCell ref="L60:L62"/>
    <mergeCell ref="B63:K63"/>
    <mergeCell ref="J64:J68"/>
    <mergeCell ref="K64:K68"/>
    <mergeCell ref="B69:K69"/>
    <mergeCell ref="L71:L73"/>
    <mergeCell ref="L49:L51"/>
    <mergeCell ref="B52:K52"/>
    <mergeCell ref="C53:C54"/>
    <mergeCell ref="J53:J57"/>
    <mergeCell ref="K53:K57"/>
    <mergeCell ref="B58:K58"/>
    <mergeCell ref="B33:L33"/>
    <mergeCell ref="B34:K34"/>
    <mergeCell ref="L35:L38"/>
    <mergeCell ref="B39:K39"/>
    <mergeCell ref="C40:C41"/>
    <mergeCell ref="J40:J46"/>
    <mergeCell ref="K40:K46"/>
    <mergeCell ref="B1:L1"/>
    <mergeCell ref="B4:L4"/>
    <mergeCell ref="A8:A10"/>
    <mergeCell ref="B8:B10"/>
    <mergeCell ref="C8:I8"/>
    <mergeCell ref="K8:K10"/>
    <mergeCell ref="L8:L10"/>
    <mergeCell ref="C9:C10"/>
    <mergeCell ref="D9:I9"/>
    <mergeCell ref="J8:J10"/>
    <mergeCell ref="B12:L12"/>
    <mergeCell ref="B13:L13"/>
    <mergeCell ref="B14:K14"/>
    <mergeCell ref="L15:L17"/>
    <mergeCell ref="B18:K18"/>
    <mergeCell ref="K19:K22"/>
    <mergeCell ref="B23:L23"/>
    <mergeCell ref="J19:J22"/>
    <mergeCell ref="B28:K28"/>
    <mergeCell ref="B24:K24"/>
    <mergeCell ref="L25:L27"/>
    <mergeCell ref="J29:J32"/>
    <mergeCell ref="K29:K32"/>
    <mergeCell ref="B47:L47"/>
    <mergeCell ref="B48:K48"/>
    <mergeCell ref="B70:K70"/>
    <mergeCell ref="B59:K59"/>
    <mergeCell ref="B74:K74"/>
    <mergeCell ref="J75:J78"/>
    <mergeCell ref="B91:K91"/>
    <mergeCell ref="B92:K92"/>
    <mergeCell ref="L93:L95"/>
    <mergeCell ref="B96:K96"/>
    <mergeCell ref="J97:J100"/>
    <mergeCell ref="K97:K100"/>
    <mergeCell ref="B102:K102"/>
    <mergeCell ref="B121:K121"/>
    <mergeCell ref="B115:K115"/>
    <mergeCell ref="B139:K139"/>
    <mergeCell ref="B156:K1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rowBreaks count="1" manualBreakCount="1">
    <brk id="7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84"/>
  <sheetViews>
    <sheetView zoomScalePageLayoutView="0" workbookViewId="0" topLeftCell="A1">
      <selection activeCell="B84" sqref="B84"/>
    </sheetView>
  </sheetViews>
  <sheetFormatPr defaultColWidth="9.00390625" defaultRowHeight="12.75"/>
  <cols>
    <col min="1" max="1" width="6.125" style="65" customWidth="1"/>
    <col min="2" max="4" width="9.125" style="65" customWidth="1"/>
    <col min="5" max="5" width="40.375" style="65" customWidth="1"/>
    <col min="6" max="6" width="16.125" style="65" bestFit="1" customWidth="1"/>
    <col min="7" max="7" width="14.125" style="65" bestFit="1" customWidth="1"/>
    <col min="8" max="9" width="14.875" style="65" customWidth="1"/>
    <col min="10" max="10" width="16.00390625" style="65" bestFit="1" customWidth="1"/>
    <col min="11" max="16384" width="9.125" style="65" customWidth="1"/>
  </cols>
  <sheetData>
    <row r="1" spans="1:10" s="67" customFormat="1" ht="15.75">
      <c r="A1" s="709" t="s">
        <v>1043</v>
      </c>
      <c r="B1" s="709"/>
      <c r="C1" s="709"/>
      <c r="D1" s="709"/>
      <c r="E1" s="709"/>
      <c r="F1" s="709"/>
      <c r="G1" s="709"/>
      <c r="H1" s="709"/>
      <c r="I1" s="709"/>
      <c r="J1" s="709"/>
    </row>
    <row r="2" spans="1:10" s="67" customFormat="1" ht="9.75" customHeight="1">
      <c r="A2" s="68"/>
      <c r="B2" s="69"/>
      <c r="C2" s="69"/>
      <c r="D2" s="69"/>
      <c r="E2" s="69"/>
      <c r="F2" s="69"/>
      <c r="G2" s="69"/>
      <c r="H2" s="69"/>
      <c r="I2" s="69"/>
      <c r="J2" s="69"/>
    </row>
    <row r="3" spans="1:10" s="67" customFormat="1" ht="16.5">
      <c r="A3" s="950" t="s">
        <v>889</v>
      </c>
      <c r="B3" s="950"/>
      <c r="C3" s="950"/>
      <c r="D3" s="950"/>
      <c r="E3" s="950"/>
      <c r="F3" s="950"/>
      <c r="G3" s="950"/>
      <c r="H3" s="950"/>
      <c r="I3" s="950"/>
      <c r="J3" s="950"/>
    </row>
    <row r="4" spans="1:10" s="67" customFormat="1" ht="12.75">
      <c r="A4" s="951"/>
      <c r="B4" s="952"/>
      <c r="C4" s="952"/>
      <c r="D4" s="952"/>
      <c r="E4" s="952"/>
      <c r="F4" s="952"/>
      <c r="G4" s="952"/>
      <c r="H4" s="952"/>
      <c r="I4" s="952"/>
      <c r="J4" s="952"/>
    </row>
    <row r="5" spans="1:10" ht="78" customHeight="1">
      <c r="A5" s="953" t="s">
        <v>0</v>
      </c>
      <c r="B5" s="954"/>
      <c r="C5" s="954"/>
      <c r="D5" s="954"/>
      <c r="E5" s="955"/>
      <c r="F5" s="945" t="s">
        <v>86</v>
      </c>
      <c r="G5" s="945" t="s">
        <v>372</v>
      </c>
      <c r="H5" s="945" t="s">
        <v>746</v>
      </c>
      <c r="I5" s="945" t="s">
        <v>796</v>
      </c>
      <c r="J5" s="956" t="s">
        <v>365</v>
      </c>
    </row>
    <row r="6" spans="1:10" s="70" customFormat="1" ht="15">
      <c r="A6" s="957" t="s">
        <v>433</v>
      </c>
      <c r="B6" s="958" t="s">
        <v>434</v>
      </c>
      <c r="C6" s="710"/>
      <c r="D6" s="710"/>
      <c r="E6" s="711"/>
      <c r="F6" s="959" t="s">
        <v>435</v>
      </c>
      <c r="G6" s="959" t="s">
        <v>436</v>
      </c>
      <c r="H6" s="959" t="s">
        <v>437</v>
      </c>
      <c r="I6" s="959" t="s">
        <v>438</v>
      </c>
      <c r="J6" s="959" t="s">
        <v>440</v>
      </c>
    </row>
    <row r="7" spans="1:11" ht="14.25" customHeight="1">
      <c r="A7" s="319" t="s">
        <v>1</v>
      </c>
      <c r="B7" s="712" t="s">
        <v>344</v>
      </c>
      <c r="C7" s="712"/>
      <c r="D7" s="712"/>
      <c r="E7" s="712"/>
      <c r="F7" s="316">
        <f>34989435+3693375+12115695+1044000+609406+25000+27396716+80000+5400000+8650000+2543600+24650000+18342800+33000+1350000+1125000+23197320+11080125+6600+5000000+1344830+3459090+2500000+347826+45939</f>
        <v>189029757</v>
      </c>
      <c r="G7" s="316">
        <f>91562414+4740000+2452125+103400+1263600-340425+513114</f>
        <v>100294228</v>
      </c>
      <c r="H7" s="316">
        <f>169355757+3215520+639450-330000-1461600+2756937+1035000-976500+1125000-1245375+216700</f>
        <v>174330889</v>
      </c>
      <c r="I7" s="316">
        <f>2802000+11931088+1980314+1800000-775591+300000</f>
        <v>18037811</v>
      </c>
      <c r="J7" s="335">
        <f>SUM(F7:I7)</f>
        <v>481692685</v>
      </c>
      <c r="K7" s="127"/>
    </row>
    <row r="8" spans="1:11" ht="13.5" customHeight="1">
      <c r="A8" s="319" t="s">
        <v>3</v>
      </c>
      <c r="B8" s="712" t="s">
        <v>4</v>
      </c>
      <c r="C8" s="712"/>
      <c r="D8" s="712"/>
      <c r="E8" s="712"/>
      <c r="F8" s="316">
        <f>8083672+323170+1060123+164430+143206+3938+4793101+38963+927500+1409909+445130+4900455+3773040+5197+236250+196875+2029806+969525+1155+875000+208449+536159+387500+52174-45939</f>
        <v>31518788</v>
      </c>
      <c r="G8" s="316">
        <f>16696818+829500+429122+18095+221130-59575-513114</f>
        <v>17621976</v>
      </c>
      <c r="H8" s="316">
        <f>33361183+562716+111904-57750-255780+482464+181125-170887+196875-217940+37923</f>
        <v>34231833</v>
      </c>
      <c r="I8" s="316">
        <f>490350+2122958+964502+315000-377745+13166+367133</f>
        <v>3895364</v>
      </c>
      <c r="J8" s="335">
        <f aca="true" t="shared" si="0" ref="J8:J70">SUM(F8:I8)</f>
        <v>87267961</v>
      </c>
      <c r="K8" s="127"/>
    </row>
    <row r="9" spans="1:11" ht="12" customHeight="1">
      <c r="A9" s="319" t="s">
        <v>5</v>
      </c>
      <c r="B9" s="712" t="s">
        <v>6</v>
      </c>
      <c r="C9" s="712"/>
      <c r="D9" s="712"/>
      <c r="E9" s="712"/>
      <c r="F9" s="316">
        <f>15275133+40527704+52070+15377340+5249710+4571244+3416864+9798424+4276480+1377000+640554+4667808+416194+24094440+2640000+14028933+360000+27644450+120000+2949420+1830220+73660+5902169+2242300+57876511+11650000+1812600+17254444+2600000+22523810+8285000-54000-254000+500000+1500000+1310301+4441343+600000+1275000+13881090+60657486+18063936+308085+16823647+17596440+175000+92377+6500+1143000</f>
        <v>447600687</v>
      </c>
      <c r="G9" s="316">
        <v>26913440</v>
      </c>
      <c r="H9" s="316">
        <f>56130277-781083+2114762-47925</f>
        <v>57416031</v>
      </c>
      <c r="I9" s="316">
        <f>1082115+290700+14446890+7003586+3527681-317500+144779-2575544-800000-13166+2954117</f>
        <v>25743658</v>
      </c>
      <c r="J9" s="335">
        <f t="shared" si="0"/>
        <v>557673816</v>
      </c>
      <c r="K9" s="127"/>
    </row>
    <row r="10" spans="1:11" ht="12.75">
      <c r="A10" s="319" t="s">
        <v>8</v>
      </c>
      <c r="B10" s="712" t="s">
        <v>9</v>
      </c>
      <c r="C10" s="712"/>
      <c r="D10" s="712"/>
      <c r="E10" s="712"/>
      <c r="F10" s="316">
        <f>SUM(F11,F12,F15:F20)</f>
        <v>3804900</v>
      </c>
      <c r="G10" s="316">
        <f>SUM(G11,G12,G15:G20)</f>
        <v>0</v>
      </c>
      <c r="H10" s="316">
        <f>SUM(H11,H12,H15:H20)</f>
        <v>0</v>
      </c>
      <c r="I10" s="316">
        <f>SUM(I11,I12,I15:I20)</f>
        <v>0</v>
      </c>
      <c r="J10" s="335">
        <f t="shared" si="0"/>
        <v>3804900</v>
      </c>
      <c r="K10" s="127"/>
    </row>
    <row r="11" spans="1:11" ht="12.75">
      <c r="A11" s="314"/>
      <c r="B11" s="314" t="s">
        <v>10</v>
      </c>
      <c r="C11" s="706" t="s">
        <v>11</v>
      </c>
      <c r="D11" s="708"/>
      <c r="E11" s="707"/>
      <c r="F11" s="315">
        <v>0</v>
      </c>
      <c r="G11" s="315">
        <v>0</v>
      </c>
      <c r="H11" s="315">
        <v>0</v>
      </c>
      <c r="I11" s="315">
        <v>0</v>
      </c>
      <c r="J11" s="316">
        <f t="shared" si="0"/>
        <v>0</v>
      </c>
      <c r="K11" s="127"/>
    </row>
    <row r="12" spans="1:11" ht="12.75">
      <c r="A12" s="314"/>
      <c r="B12" s="314" t="s">
        <v>12</v>
      </c>
      <c r="C12" s="703" t="s">
        <v>13</v>
      </c>
      <c r="D12" s="703"/>
      <c r="E12" s="703"/>
      <c r="F12" s="315">
        <f>SUM(F13:F14)</f>
        <v>0</v>
      </c>
      <c r="G12" s="315">
        <f>SUM(G13:G14)</f>
        <v>0</v>
      </c>
      <c r="H12" s="315">
        <f>SUM(H13:H14)</f>
        <v>0</v>
      </c>
      <c r="I12" s="315">
        <f>SUM(I13:I14)</f>
        <v>0</v>
      </c>
      <c r="J12" s="316">
        <f t="shared" si="0"/>
        <v>0</v>
      </c>
      <c r="K12" s="127"/>
    </row>
    <row r="13" spans="1:11" ht="23.25" customHeight="1" hidden="1">
      <c r="A13" s="317"/>
      <c r="B13" s="314"/>
      <c r="C13" s="317"/>
      <c r="D13" s="704" t="s">
        <v>642</v>
      </c>
      <c r="E13" s="705"/>
      <c r="F13" s="318">
        <v>0</v>
      </c>
      <c r="G13" s="318"/>
      <c r="H13" s="318">
        <v>0</v>
      </c>
      <c r="I13" s="318">
        <v>0</v>
      </c>
      <c r="J13" s="320">
        <f t="shared" si="0"/>
        <v>0</v>
      </c>
      <c r="K13" s="127"/>
    </row>
    <row r="14" spans="1:11" ht="22.5" customHeight="1" hidden="1">
      <c r="A14" s="317"/>
      <c r="B14" s="314"/>
      <c r="C14" s="317"/>
      <c r="D14" s="718" t="s">
        <v>643</v>
      </c>
      <c r="E14" s="719"/>
      <c r="F14" s="318">
        <v>0</v>
      </c>
      <c r="G14" s="318">
        <v>0</v>
      </c>
      <c r="H14" s="318">
        <v>0</v>
      </c>
      <c r="I14" s="318">
        <v>0</v>
      </c>
      <c r="J14" s="320">
        <f t="shared" si="0"/>
        <v>0</v>
      </c>
      <c r="K14" s="127"/>
    </row>
    <row r="15" spans="1:11" ht="12.75">
      <c r="A15" s="314"/>
      <c r="B15" s="314" t="s">
        <v>126</v>
      </c>
      <c r="C15" s="703" t="s">
        <v>127</v>
      </c>
      <c r="D15" s="703"/>
      <c r="E15" s="703"/>
      <c r="F15" s="315">
        <v>0</v>
      </c>
      <c r="G15" s="315">
        <v>0</v>
      </c>
      <c r="H15" s="315">
        <v>0</v>
      </c>
      <c r="I15" s="315">
        <v>0</v>
      </c>
      <c r="J15" s="320">
        <f t="shared" si="0"/>
        <v>0</v>
      </c>
      <c r="K15" s="127"/>
    </row>
    <row r="16" spans="1:11" ht="12" customHeight="1">
      <c r="A16" s="314"/>
      <c r="B16" s="314" t="s">
        <v>128</v>
      </c>
      <c r="C16" s="706" t="s">
        <v>129</v>
      </c>
      <c r="D16" s="708"/>
      <c r="E16" s="707"/>
      <c r="F16" s="315">
        <f aca="true" t="shared" si="1" ref="F16:I17">SUM(F17:F18)</f>
        <v>0</v>
      </c>
      <c r="G16" s="315">
        <f t="shared" si="1"/>
        <v>0</v>
      </c>
      <c r="H16" s="315">
        <f t="shared" si="1"/>
        <v>0</v>
      </c>
      <c r="I16" s="315">
        <f t="shared" si="1"/>
        <v>0</v>
      </c>
      <c r="J16" s="320">
        <f t="shared" si="0"/>
        <v>0</v>
      </c>
      <c r="K16" s="127"/>
    </row>
    <row r="17" spans="1:11" ht="13.5" customHeight="1">
      <c r="A17" s="317"/>
      <c r="B17" s="314" t="s">
        <v>130</v>
      </c>
      <c r="C17" s="314" t="s">
        <v>131</v>
      </c>
      <c r="D17" s="272"/>
      <c r="E17" s="273"/>
      <c r="F17" s="315">
        <f t="shared" si="1"/>
        <v>0</v>
      </c>
      <c r="G17" s="315">
        <f t="shared" si="1"/>
        <v>0</v>
      </c>
      <c r="H17" s="315">
        <f t="shared" si="1"/>
        <v>0</v>
      </c>
      <c r="I17" s="315">
        <f t="shared" si="1"/>
        <v>0</v>
      </c>
      <c r="J17" s="320">
        <f t="shared" si="0"/>
        <v>0</v>
      </c>
      <c r="K17" s="127"/>
    </row>
    <row r="18" spans="1:11" ht="12.75">
      <c r="A18" s="314"/>
      <c r="B18" s="314" t="s">
        <v>132</v>
      </c>
      <c r="C18" s="706" t="s">
        <v>133</v>
      </c>
      <c r="D18" s="708"/>
      <c r="E18" s="707"/>
      <c r="F18" s="315">
        <f>SUM(F19)</f>
        <v>0</v>
      </c>
      <c r="G18" s="315">
        <f>SUM(G19)</f>
        <v>0</v>
      </c>
      <c r="H18" s="315">
        <f>SUM(H19)</f>
        <v>0</v>
      </c>
      <c r="I18" s="315">
        <f>SUM(I19)</f>
        <v>0</v>
      </c>
      <c r="J18" s="320">
        <f t="shared" si="0"/>
        <v>0</v>
      </c>
      <c r="K18" s="127"/>
    </row>
    <row r="19" spans="1:11" ht="12.75">
      <c r="A19" s="314"/>
      <c r="B19" s="314" t="s">
        <v>134</v>
      </c>
      <c r="C19" s="703" t="s">
        <v>14</v>
      </c>
      <c r="D19" s="703"/>
      <c r="E19" s="703"/>
      <c r="F19" s="315">
        <v>0</v>
      </c>
      <c r="G19" s="315">
        <v>0</v>
      </c>
      <c r="H19" s="315">
        <v>0</v>
      </c>
      <c r="I19" s="315">
        <v>0</v>
      </c>
      <c r="J19" s="320">
        <f t="shared" si="0"/>
        <v>0</v>
      </c>
      <c r="K19" s="127"/>
    </row>
    <row r="20" spans="1:11" ht="12.75">
      <c r="A20" s="314"/>
      <c r="B20" s="314" t="s">
        <v>135</v>
      </c>
      <c r="C20" s="706" t="s">
        <v>136</v>
      </c>
      <c r="D20" s="708"/>
      <c r="E20" s="707"/>
      <c r="F20" s="315">
        <f>SUM(F21:F22)</f>
        <v>3804900</v>
      </c>
      <c r="G20" s="315">
        <f>SUM(G21:G22)</f>
        <v>0</v>
      </c>
      <c r="H20" s="315">
        <f>SUM(H21:H22)</f>
        <v>0</v>
      </c>
      <c r="I20" s="315">
        <f>SUM(I21:I22)</f>
        <v>0</v>
      </c>
      <c r="J20" s="320">
        <f t="shared" si="0"/>
        <v>3804900</v>
      </c>
      <c r="K20" s="127"/>
    </row>
    <row r="21" spans="1:11" ht="12.75">
      <c r="A21" s="317"/>
      <c r="B21" s="317"/>
      <c r="C21" s="317"/>
      <c r="D21" s="706" t="s">
        <v>601</v>
      </c>
      <c r="E21" s="707"/>
      <c r="F21" s="318">
        <v>1500000</v>
      </c>
      <c r="G21" s="318">
        <v>0</v>
      </c>
      <c r="H21" s="318">
        <v>0</v>
      </c>
      <c r="I21" s="318">
        <v>0</v>
      </c>
      <c r="J21" s="320">
        <f t="shared" si="0"/>
        <v>1500000</v>
      </c>
      <c r="K21" s="127"/>
    </row>
    <row r="22" spans="1:11" s="66" customFormat="1" ht="12.75">
      <c r="A22" s="317"/>
      <c r="B22" s="317"/>
      <c r="C22" s="317"/>
      <c r="D22" s="706" t="s">
        <v>600</v>
      </c>
      <c r="E22" s="707"/>
      <c r="F22" s="318">
        <v>2304900</v>
      </c>
      <c r="G22" s="318">
        <v>0</v>
      </c>
      <c r="H22" s="318">
        <v>0</v>
      </c>
      <c r="I22" s="318">
        <v>0</v>
      </c>
      <c r="J22" s="320">
        <f t="shared" si="0"/>
        <v>2304900</v>
      </c>
      <c r="K22" s="127"/>
    </row>
    <row r="23" spans="1:11" ht="12" customHeight="1">
      <c r="A23" s="319" t="s">
        <v>137</v>
      </c>
      <c r="B23" s="713" t="s">
        <v>138</v>
      </c>
      <c r="C23" s="714"/>
      <c r="D23" s="714"/>
      <c r="E23" s="715"/>
      <c r="F23" s="316">
        <f>SUM(F57+F46+F45+F43+F42+F41+F40+F29+F28+F27+F26+F24+F25)</f>
        <v>140449585</v>
      </c>
      <c r="G23" s="316">
        <f>SUM(G57+G46+G43+G42+G41+G40+G29+G28+G27+G26+G24+G25)</f>
        <v>0</v>
      </c>
      <c r="H23" s="316">
        <f>SUM(H57+H46+H43+H42+H41+H40+H29+H28+H27+H26+H24+H25)</f>
        <v>0</v>
      </c>
      <c r="I23" s="316">
        <f>SUM(I57+I46+I43+I42+I41+I40+I29+I28+I27+I26+I24+I25)</f>
        <v>0</v>
      </c>
      <c r="J23" s="335">
        <f t="shared" si="0"/>
        <v>140449585</v>
      </c>
      <c r="K23" s="127"/>
    </row>
    <row r="24" spans="1:11" ht="6" customHeight="1" hidden="1">
      <c r="A24" s="317"/>
      <c r="B24" s="317"/>
      <c r="C24" s="317" t="s">
        <v>139</v>
      </c>
      <c r="D24" s="317" t="s">
        <v>140</v>
      </c>
      <c r="E24" s="317"/>
      <c r="F24" s="318">
        <v>0</v>
      </c>
      <c r="G24" s="318">
        <v>0</v>
      </c>
      <c r="H24" s="318">
        <v>0</v>
      </c>
      <c r="I24" s="318">
        <v>0</v>
      </c>
      <c r="J24" s="320">
        <f t="shared" si="0"/>
        <v>0</v>
      </c>
      <c r="K24" s="128"/>
    </row>
    <row r="25" spans="1:11" ht="15" customHeight="1">
      <c r="A25" s="317"/>
      <c r="B25" s="317"/>
      <c r="C25" s="317" t="s">
        <v>141</v>
      </c>
      <c r="D25" s="317" t="s">
        <v>142</v>
      </c>
      <c r="E25" s="317"/>
      <c r="F25" s="318">
        <v>0</v>
      </c>
      <c r="G25" s="318">
        <v>0</v>
      </c>
      <c r="H25" s="318">
        <v>0</v>
      </c>
      <c r="I25" s="318">
        <v>0</v>
      </c>
      <c r="J25" s="320">
        <f t="shared" si="0"/>
        <v>0</v>
      </c>
      <c r="K25" s="128"/>
    </row>
    <row r="26" spans="1:11" ht="12.75" customHeight="1" hidden="1">
      <c r="A26" s="317"/>
      <c r="B26" s="317"/>
      <c r="C26" s="317" t="s">
        <v>143</v>
      </c>
      <c r="D26" s="716" t="s">
        <v>144</v>
      </c>
      <c r="E26" s="717"/>
      <c r="F26" s="318">
        <v>0</v>
      </c>
      <c r="G26" s="318">
        <v>0</v>
      </c>
      <c r="H26" s="318">
        <v>0</v>
      </c>
      <c r="I26" s="318">
        <v>0</v>
      </c>
      <c r="J26" s="320">
        <f t="shared" si="0"/>
        <v>0</v>
      </c>
      <c r="K26" s="128"/>
    </row>
    <row r="27" spans="1:11" ht="12.75" customHeight="1" hidden="1">
      <c r="A27" s="317"/>
      <c r="B27" s="317"/>
      <c r="C27" s="317" t="s">
        <v>145</v>
      </c>
      <c r="D27" s="716" t="s">
        <v>146</v>
      </c>
      <c r="E27" s="717"/>
      <c r="F27" s="318">
        <v>0</v>
      </c>
      <c r="G27" s="318">
        <v>0</v>
      </c>
      <c r="H27" s="318">
        <v>0</v>
      </c>
      <c r="I27" s="318">
        <v>0</v>
      </c>
      <c r="J27" s="320">
        <f t="shared" si="0"/>
        <v>0</v>
      </c>
      <c r="K27" s="128"/>
    </row>
    <row r="28" spans="1:11" ht="12.75" customHeight="1" hidden="1">
      <c r="A28" s="317"/>
      <c r="B28" s="317"/>
      <c r="C28" s="317" t="s">
        <v>167</v>
      </c>
      <c r="D28" s="716" t="s">
        <v>168</v>
      </c>
      <c r="E28" s="717"/>
      <c r="F28" s="318">
        <v>0</v>
      </c>
      <c r="G28" s="318">
        <v>0</v>
      </c>
      <c r="H28" s="318">
        <v>0</v>
      </c>
      <c r="I28" s="318">
        <v>0</v>
      </c>
      <c r="J28" s="320">
        <f t="shared" si="0"/>
        <v>0</v>
      </c>
      <c r="K28" s="128"/>
    </row>
    <row r="29" spans="1:11" ht="12.75" customHeight="1" hidden="1">
      <c r="A29" s="317"/>
      <c r="B29" s="317"/>
      <c r="C29" s="317" t="s">
        <v>169</v>
      </c>
      <c r="D29" s="716" t="s">
        <v>170</v>
      </c>
      <c r="E29" s="717"/>
      <c r="F29" s="318">
        <f>SUM(F30:F39)</f>
        <v>0</v>
      </c>
      <c r="G29" s="318">
        <f>SUM(G30:G39)</f>
        <v>0</v>
      </c>
      <c r="H29" s="318">
        <f>SUM(H30:H39)</f>
        <v>0</v>
      </c>
      <c r="I29" s="318">
        <f>SUM(I30:I39)</f>
        <v>0</v>
      </c>
      <c r="J29" s="320">
        <f t="shared" si="0"/>
        <v>0</v>
      </c>
      <c r="K29" s="128"/>
    </row>
    <row r="30" spans="1:11" ht="12.75" customHeight="1" hidden="1">
      <c r="A30" s="321"/>
      <c r="B30" s="321"/>
      <c r="C30" s="322" t="s">
        <v>2</v>
      </c>
      <c r="D30" s="322" t="s">
        <v>147</v>
      </c>
      <c r="E30" s="322" t="s">
        <v>148</v>
      </c>
      <c r="F30" s="323">
        <v>0</v>
      </c>
      <c r="G30" s="323">
        <v>0</v>
      </c>
      <c r="H30" s="323">
        <v>0</v>
      </c>
      <c r="I30" s="323">
        <v>0</v>
      </c>
      <c r="J30" s="320">
        <f t="shared" si="0"/>
        <v>0</v>
      </c>
      <c r="K30" s="128"/>
    </row>
    <row r="31" spans="1:11" ht="12.75" customHeight="1" hidden="1">
      <c r="A31" s="321"/>
      <c r="B31" s="321"/>
      <c r="C31" s="322"/>
      <c r="D31" s="322" t="s">
        <v>149</v>
      </c>
      <c r="E31" s="322" t="s">
        <v>150</v>
      </c>
      <c r="F31" s="323">
        <v>0</v>
      </c>
      <c r="G31" s="323">
        <v>0</v>
      </c>
      <c r="H31" s="323">
        <v>0</v>
      </c>
      <c r="I31" s="323">
        <v>0</v>
      </c>
      <c r="J31" s="320">
        <f t="shared" si="0"/>
        <v>0</v>
      </c>
      <c r="K31" s="128"/>
    </row>
    <row r="32" spans="1:11" ht="12.75" customHeight="1" hidden="1">
      <c r="A32" s="321"/>
      <c r="B32" s="321"/>
      <c r="C32" s="322"/>
      <c r="D32" s="322" t="s">
        <v>151</v>
      </c>
      <c r="E32" s="322" t="s">
        <v>152</v>
      </c>
      <c r="F32" s="323">
        <v>0</v>
      </c>
      <c r="G32" s="323">
        <v>0</v>
      </c>
      <c r="H32" s="323">
        <v>0</v>
      </c>
      <c r="I32" s="323">
        <v>0</v>
      </c>
      <c r="J32" s="320">
        <f t="shared" si="0"/>
        <v>0</v>
      </c>
      <c r="K32" s="128"/>
    </row>
    <row r="33" spans="1:11" ht="12.75" customHeight="1" hidden="1">
      <c r="A33" s="321"/>
      <c r="B33" s="321"/>
      <c r="C33" s="322"/>
      <c r="D33" s="322" t="s">
        <v>153</v>
      </c>
      <c r="E33" s="322" t="s">
        <v>154</v>
      </c>
      <c r="F33" s="323">
        <v>0</v>
      </c>
      <c r="G33" s="323">
        <v>0</v>
      </c>
      <c r="H33" s="323">
        <v>0</v>
      </c>
      <c r="I33" s="323">
        <v>0</v>
      </c>
      <c r="J33" s="320">
        <f t="shared" si="0"/>
        <v>0</v>
      </c>
      <c r="K33" s="128"/>
    </row>
    <row r="34" spans="1:11" ht="12.75" customHeight="1" hidden="1">
      <c r="A34" s="321"/>
      <c r="B34" s="321"/>
      <c r="C34" s="322"/>
      <c r="D34" s="322" t="s">
        <v>155</v>
      </c>
      <c r="E34" s="322" t="s">
        <v>156</v>
      </c>
      <c r="F34" s="323">
        <v>0</v>
      </c>
      <c r="G34" s="323">
        <v>0</v>
      </c>
      <c r="H34" s="323">
        <v>0</v>
      </c>
      <c r="I34" s="323">
        <v>0</v>
      </c>
      <c r="J34" s="320">
        <f t="shared" si="0"/>
        <v>0</v>
      </c>
      <c r="K34" s="128"/>
    </row>
    <row r="35" spans="1:11" ht="12.75" customHeight="1" hidden="1">
      <c r="A35" s="321"/>
      <c r="B35" s="321"/>
      <c r="C35" s="322"/>
      <c r="D35" s="322" t="s">
        <v>157</v>
      </c>
      <c r="E35" s="322" t="s">
        <v>158</v>
      </c>
      <c r="F35" s="323">
        <v>0</v>
      </c>
      <c r="G35" s="323">
        <v>0</v>
      </c>
      <c r="H35" s="323">
        <v>0</v>
      </c>
      <c r="I35" s="323">
        <v>0</v>
      </c>
      <c r="J35" s="320">
        <f t="shared" si="0"/>
        <v>0</v>
      </c>
      <c r="K35" s="128"/>
    </row>
    <row r="36" spans="1:11" ht="0.75" customHeight="1" hidden="1">
      <c r="A36" s="321"/>
      <c r="B36" s="321"/>
      <c r="C36" s="322"/>
      <c r="D36" s="322" t="s">
        <v>159</v>
      </c>
      <c r="E36" s="322" t="s">
        <v>160</v>
      </c>
      <c r="F36" s="323">
        <v>0</v>
      </c>
      <c r="G36" s="323">
        <v>0</v>
      </c>
      <c r="H36" s="323">
        <v>0</v>
      </c>
      <c r="I36" s="323">
        <v>0</v>
      </c>
      <c r="J36" s="320">
        <f t="shared" si="0"/>
        <v>0</v>
      </c>
      <c r="K36" s="128"/>
    </row>
    <row r="37" spans="1:11" ht="12.75" customHeight="1" hidden="1">
      <c r="A37" s="321"/>
      <c r="B37" s="321"/>
      <c r="C37" s="322"/>
      <c r="D37" s="322" t="s">
        <v>161</v>
      </c>
      <c r="E37" s="322" t="s">
        <v>162</v>
      </c>
      <c r="F37" s="323">
        <v>0</v>
      </c>
      <c r="G37" s="323">
        <v>0</v>
      </c>
      <c r="H37" s="323">
        <v>0</v>
      </c>
      <c r="I37" s="323">
        <v>0</v>
      </c>
      <c r="J37" s="320">
        <f t="shared" si="0"/>
        <v>0</v>
      </c>
      <c r="K37" s="128"/>
    </row>
    <row r="38" spans="1:11" ht="12.75" customHeight="1" hidden="1">
      <c r="A38" s="321"/>
      <c r="B38" s="321"/>
      <c r="C38" s="322"/>
      <c r="D38" s="322" t="s">
        <v>163</v>
      </c>
      <c r="E38" s="322" t="s">
        <v>164</v>
      </c>
      <c r="F38" s="323">
        <v>0</v>
      </c>
      <c r="G38" s="323">
        <v>0</v>
      </c>
      <c r="H38" s="323">
        <v>0</v>
      </c>
      <c r="I38" s="323">
        <v>0</v>
      </c>
      <c r="J38" s="320">
        <f t="shared" si="0"/>
        <v>0</v>
      </c>
      <c r="K38" s="128"/>
    </row>
    <row r="39" spans="1:11" ht="12.75" customHeight="1" hidden="1">
      <c r="A39" s="321"/>
      <c r="B39" s="321"/>
      <c r="C39" s="322"/>
      <c r="D39" s="322" t="s">
        <v>165</v>
      </c>
      <c r="E39" s="322" t="s">
        <v>166</v>
      </c>
      <c r="F39" s="323">
        <v>0</v>
      </c>
      <c r="G39" s="323">
        <v>0</v>
      </c>
      <c r="H39" s="323">
        <v>0</v>
      </c>
      <c r="I39" s="323">
        <v>0</v>
      </c>
      <c r="J39" s="320">
        <f t="shared" si="0"/>
        <v>0</v>
      </c>
      <c r="K39" s="128"/>
    </row>
    <row r="40" spans="1:11" ht="12.75" customHeight="1" hidden="1">
      <c r="A40" s="317"/>
      <c r="B40" s="317"/>
      <c r="C40" s="317" t="s">
        <v>171</v>
      </c>
      <c r="D40" s="716" t="s">
        <v>172</v>
      </c>
      <c r="E40" s="717"/>
      <c r="F40" s="318">
        <v>0</v>
      </c>
      <c r="G40" s="318">
        <v>0</v>
      </c>
      <c r="H40" s="318">
        <v>0</v>
      </c>
      <c r="I40" s="318">
        <v>0</v>
      </c>
      <c r="J40" s="320">
        <f t="shared" si="0"/>
        <v>0</v>
      </c>
      <c r="K40" s="128"/>
    </row>
    <row r="41" spans="1:11" ht="12.75" customHeight="1" hidden="1">
      <c r="A41" s="317"/>
      <c r="B41" s="317"/>
      <c r="C41" s="317" t="s">
        <v>173</v>
      </c>
      <c r="D41" s="716" t="s">
        <v>532</v>
      </c>
      <c r="E41" s="717"/>
      <c r="F41" s="318">
        <v>0</v>
      </c>
      <c r="G41" s="318">
        <v>0</v>
      </c>
      <c r="H41" s="318">
        <v>0</v>
      </c>
      <c r="I41" s="318">
        <v>0</v>
      </c>
      <c r="J41" s="320">
        <f t="shared" si="0"/>
        <v>0</v>
      </c>
      <c r="K41" s="128"/>
    </row>
    <row r="42" spans="1:11" ht="12.75" customHeight="1" hidden="1">
      <c r="A42" s="317"/>
      <c r="B42" s="317"/>
      <c r="C42" s="317" t="s">
        <v>184</v>
      </c>
      <c r="D42" s="716" t="s">
        <v>185</v>
      </c>
      <c r="E42" s="717"/>
      <c r="F42" s="318">
        <v>0</v>
      </c>
      <c r="G42" s="318">
        <v>0</v>
      </c>
      <c r="H42" s="318">
        <v>0</v>
      </c>
      <c r="I42" s="318">
        <v>0</v>
      </c>
      <c r="J42" s="320">
        <f t="shared" si="0"/>
        <v>0</v>
      </c>
      <c r="K42" s="128"/>
    </row>
    <row r="43" spans="1:11" ht="12.75" customHeight="1" hidden="1">
      <c r="A43" s="317"/>
      <c r="B43" s="317"/>
      <c r="C43" s="317" t="s">
        <v>186</v>
      </c>
      <c r="D43" s="716" t="s">
        <v>187</v>
      </c>
      <c r="E43" s="717"/>
      <c r="F43" s="318">
        <v>0</v>
      </c>
      <c r="G43" s="318">
        <v>0</v>
      </c>
      <c r="H43" s="318">
        <v>0</v>
      </c>
      <c r="I43" s="318">
        <v>0</v>
      </c>
      <c r="J43" s="320">
        <f t="shared" si="0"/>
        <v>0</v>
      </c>
      <c r="K43" s="128"/>
    </row>
    <row r="44" spans="1:11" ht="12.75" customHeight="1" hidden="1">
      <c r="A44" s="317"/>
      <c r="B44" s="317"/>
      <c r="C44" s="317" t="s">
        <v>188</v>
      </c>
      <c r="D44" s="716" t="s">
        <v>573</v>
      </c>
      <c r="E44" s="717"/>
      <c r="F44" s="318">
        <v>0</v>
      </c>
      <c r="G44" s="318">
        <v>0</v>
      </c>
      <c r="H44" s="318">
        <v>0</v>
      </c>
      <c r="I44" s="318">
        <v>0</v>
      </c>
      <c r="J44" s="320">
        <f t="shared" si="0"/>
        <v>0</v>
      </c>
      <c r="K44" s="128"/>
    </row>
    <row r="45" spans="1:11" ht="12.75" customHeight="1">
      <c r="A45" s="317"/>
      <c r="B45" s="317"/>
      <c r="C45" s="317" t="s">
        <v>169</v>
      </c>
      <c r="D45" s="704" t="s">
        <v>812</v>
      </c>
      <c r="E45" s="705"/>
      <c r="F45" s="318">
        <f>100000+15000</f>
        <v>115000</v>
      </c>
      <c r="G45" s="318">
        <v>0</v>
      </c>
      <c r="H45" s="318">
        <v>0</v>
      </c>
      <c r="I45" s="318">
        <v>0</v>
      </c>
      <c r="J45" s="320">
        <f t="shared" si="0"/>
        <v>115000</v>
      </c>
      <c r="K45" s="128"/>
    </row>
    <row r="46" spans="1:11" ht="12.75" customHeight="1">
      <c r="A46" s="317"/>
      <c r="B46" s="317"/>
      <c r="C46" s="317" t="s">
        <v>190</v>
      </c>
      <c r="D46" s="704" t="s">
        <v>189</v>
      </c>
      <c r="E46" s="705"/>
      <c r="F46" s="318">
        <f>22297000+42084000+12311385+32277000+14018000+16949000+10000000+2032000+2286000-70000-4779000-1444000-6364000-3280000+2626200-1016000-1143000</f>
        <v>138784585</v>
      </c>
      <c r="G46" s="318">
        <f>SUM(G47:G56)</f>
        <v>0</v>
      </c>
      <c r="H46" s="318">
        <f>SUM(H47:H56)</f>
        <v>0</v>
      </c>
      <c r="I46" s="318">
        <f>SUM(I47:I56)</f>
        <v>0</v>
      </c>
      <c r="J46" s="320">
        <f t="shared" si="0"/>
        <v>138784585</v>
      </c>
      <c r="K46" s="128"/>
    </row>
    <row r="47" spans="1:11" ht="12.75" customHeight="1" hidden="1">
      <c r="A47" s="324"/>
      <c r="B47" s="324"/>
      <c r="C47" s="322" t="s">
        <v>2</v>
      </c>
      <c r="D47" s="333" t="s">
        <v>147</v>
      </c>
      <c r="E47" s="333" t="s">
        <v>174</v>
      </c>
      <c r="F47" s="323">
        <v>0</v>
      </c>
      <c r="G47" s="323">
        <v>0</v>
      </c>
      <c r="H47" s="323">
        <v>0</v>
      </c>
      <c r="I47" s="323">
        <v>0</v>
      </c>
      <c r="J47" s="320">
        <f t="shared" si="0"/>
        <v>0</v>
      </c>
      <c r="K47" s="128"/>
    </row>
    <row r="48" spans="1:11" ht="12.75" customHeight="1" hidden="1">
      <c r="A48" s="324"/>
      <c r="B48" s="324"/>
      <c r="C48" s="322"/>
      <c r="D48" s="333" t="s">
        <v>149</v>
      </c>
      <c r="E48" s="333" t="s">
        <v>570</v>
      </c>
      <c r="F48" s="323">
        <v>0</v>
      </c>
      <c r="G48" s="323"/>
      <c r="H48" s="323"/>
      <c r="I48" s="323"/>
      <c r="J48" s="320">
        <f t="shared" si="0"/>
        <v>0</v>
      </c>
      <c r="K48" s="128"/>
    </row>
    <row r="49" spans="1:11" ht="12.75" customHeight="1" hidden="1">
      <c r="A49" s="324"/>
      <c r="B49" s="324"/>
      <c r="C49" s="322"/>
      <c r="D49" s="333" t="s">
        <v>151</v>
      </c>
      <c r="E49" s="333" t="s">
        <v>175</v>
      </c>
      <c r="F49" s="323">
        <f>100000</f>
        <v>100000</v>
      </c>
      <c r="G49" s="323">
        <v>0</v>
      </c>
      <c r="H49" s="323">
        <v>0</v>
      </c>
      <c r="I49" s="323">
        <v>0</v>
      </c>
      <c r="J49" s="320">
        <f t="shared" si="0"/>
        <v>100000</v>
      </c>
      <c r="K49" s="128"/>
    </row>
    <row r="50" spans="1:11" ht="12.75" customHeight="1" hidden="1">
      <c r="A50" s="324"/>
      <c r="B50" s="324"/>
      <c r="C50" s="322"/>
      <c r="D50" s="333" t="s">
        <v>153</v>
      </c>
      <c r="E50" s="333" t="s">
        <v>176</v>
      </c>
      <c r="F50" s="323">
        <v>0</v>
      </c>
      <c r="G50" s="323">
        <v>0</v>
      </c>
      <c r="H50" s="323">
        <v>0</v>
      </c>
      <c r="I50" s="323">
        <v>0</v>
      </c>
      <c r="J50" s="320">
        <f t="shared" si="0"/>
        <v>0</v>
      </c>
      <c r="K50" s="128"/>
    </row>
    <row r="51" spans="1:11" ht="12.75" customHeight="1" hidden="1">
      <c r="A51" s="324"/>
      <c r="B51" s="324"/>
      <c r="C51" s="322"/>
      <c r="D51" s="333" t="s">
        <v>155</v>
      </c>
      <c r="E51" s="333" t="s">
        <v>177</v>
      </c>
      <c r="F51" s="323">
        <v>0</v>
      </c>
      <c r="G51" s="323">
        <v>0</v>
      </c>
      <c r="H51" s="323">
        <v>0</v>
      </c>
      <c r="I51" s="323">
        <v>0</v>
      </c>
      <c r="J51" s="320">
        <f t="shared" si="0"/>
        <v>0</v>
      </c>
      <c r="K51" s="128"/>
    </row>
    <row r="52" spans="1:11" ht="12.75" customHeight="1" hidden="1">
      <c r="A52" s="324"/>
      <c r="B52" s="324"/>
      <c r="C52" s="322"/>
      <c r="D52" s="333" t="s">
        <v>157</v>
      </c>
      <c r="E52" s="333" t="s">
        <v>178</v>
      </c>
      <c r="F52" s="323">
        <v>0</v>
      </c>
      <c r="G52" s="323">
        <v>0</v>
      </c>
      <c r="H52" s="323">
        <v>0</v>
      </c>
      <c r="I52" s="323">
        <v>0</v>
      </c>
      <c r="J52" s="320">
        <f t="shared" si="0"/>
        <v>0</v>
      </c>
      <c r="K52" s="128"/>
    </row>
    <row r="53" spans="1:11" ht="12.75" customHeight="1" hidden="1">
      <c r="A53" s="321"/>
      <c r="B53" s="321"/>
      <c r="C53" s="322"/>
      <c r="D53" s="333" t="s">
        <v>159</v>
      </c>
      <c r="E53" s="333" t="s">
        <v>179</v>
      </c>
      <c r="F53" s="323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3" s="323">
        <v>0</v>
      </c>
      <c r="H53" s="323">
        <v>0</v>
      </c>
      <c r="I53" s="323">
        <v>0</v>
      </c>
      <c r="J53" s="320">
        <f t="shared" si="0"/>
        <v>208924042</v>
      </c>
      <c r="K53" s="128"/>
    </row>
    <row r="54" spans="1:11" ht="12.75" customHeight="1" hidden="1">
      <c r="A54" s="321"/>
      <c r="B54" s="321"/>
      <c r="C54" s="322"/>
      <c r="D54" s="333" t="s">
        <v>161</v>
      </c>
      <c r="E54" s="333" t="s">
        <v>180</v>
      </c>
      <c r="F54" s="323">
        <f>3224350+35026110</f>
        <v>38250460</v>
      </c>
      <c r="G54" s="323">
        <v>0</v>
      </c>
      <c r="H54" s="323">
        <v>0</v>
      </c>
      <c r="I54" s="323">
        <v>0</v>
      </c>
      <c r="J54" s="320">
        <f t="shared" si="0"/>
        <v>38250460</v>
      </c>
      <c r="K54" s="128"/>
    </row>
    <row r="55" spans="1:11" ht="12.75" customHeight="1" hidden="1">
      <c r="A55" s="324"/>
      <c r="B55" s="324"/>
      <c r="C55" s="322"/>
      <c r="D55" s="333" t="s">
        <v>163</v>
      </c>
      <c r="E55" s="333" t="s">
        <v>182</v>
      </c>
      <c r="F55" s="323">
        <v>0</v>
      </c>
      <c r="G55" s="323">
        <v>0</v>
      </c>
      <c r="H55" s="323">
        <v>0</v>
      </c>
      <c r="I55" s="323">
        <v>0</v>
      </c>
      <c r="J55" s="320">
        <f t="shared" si="0"/>
        <v>0</v>
      </c>
      <c r="K55" s="128"/>
    </row>
    <row r="56" spans="1:11" ht="12.75" customHeight="1" hidden="1">
      <c r="A56" s="324"/>
      <c r="B56" s="324"/>
      <c r="C56" s="322"/>
      <c r="D56" s="333" t="s">
        <v>165</v>
      </c>
      <c r="E56" s="333" t="s">
        <v>183</v>
      </c>
      <c r="F56" s="323">
        <v>0</v>
      </c>
      <c r="G56" s="323">
        <v>0</v>
      </c>
      <c r="H56" s="323">
        <v>0</v>
      </c>
      <c r="I56" s="323">
        <v>0</v>
      </c>
      <c r="J56" s="320">
        <f t="shared" si="0"/>
        <v>0</v>
      </c>
      <c r="K56" s="128"/>
    </row>
    <row r="57" spans="1:11" ht="12.75">
      <c r="A57" s="324"/>
      <c r="B57" s="324"/>
      <c r="C57" s="317" t="s">
        <v>574</v>
      </c>
      <c r="D57" s="704" t="s">
        <v>191</v>
      </c>
      <c r="E57" s="705"/>
      <c r="F57" s="318">
        <f>SUM(F58:F61)</f>
        <v>1550000</v>
      </c>
      <c r="G57" s="318">
        <f>SUM(G58:G61)</f>
        <v>0</v>
      </c>
      <c r="H57" s="318">
        <f>SUM(H58:H61)</f>
        <v>0</v>
      </c>
      <c r="I57" s="318">
        <f>SUM(I58:I61)</f>
        <v>0</v>
      </c>
      <c r="J57" s="320">
        <f t="shared" si="0"/>
        <v>1550000</v>
      </c>
      <c r="K57" s="128"/>
    </row>
    <row r="58" spans="1:11" ht="12.75">
      <c r="A58" s="321"/>
      <c r="B58" s="321"/>
      <c r="C58" s="325" t="s">
        <v>2</v>
      </c>
      <c r="D58" s="326"/>
      <c r="E58" s="327" t="s">
        <v>432</v>
      </c>
      <c r="F58" s="323">
        <f>1000000-1000000</f>
        <v>0</v>
      </c>
      <c r="G58" s="323">
        <v>0</v>
      </c>
      <c r="H58" s="323">
        <v>0</v>
      </c>
      <c r="I58" s="323">
        <v>0</v>
      </c>
      <c r="J58" s="320">
        <f t="shared" si="0"/>
        <v>0</v>
      </c>
      <c r="K58" s="128"/>
    </row>
    <row r="59" spans="1:11" ht="12.75">
      <c r="A59" s="321"/>
      <c r="B59" s="321"/>
      <c r="C59" s="322"/>
      <c r="D59" s="326"/>
      <c r="E59" s="327" t="s">
        <v>469</v>
      </c>
      <c r="F59" s="323">
        <v>1000000</v>
      </c>
      <c r="G59" s="323">
        <v>0</v>
      </c>
      <c r="H59" s="323">
        <v>0</v>
      </c>
      <c r="I59" s="323">
        <v>0</v>
      </c>
      <c r="J59" s="320">
        <f t="shared" si="0"/>
        <v>1000000</v>
      </c>
      <c r="K59" s="128"/>
    </row>
    <row r="60" spans="1:11" ht="12.75">
      <c r="A60" s="321"/>
      <c r="B60" s="321"/>
      <c r="C60" s="322"/>
      <c r="D60" s="326"/>
      <c r="E60" s="327" t="s">
        <v>685</v>
      </c>
      <c r="F60" s="323">
        <v>350000</v>
      </c>
      <c r="G60" s="323">
        <v>0</v>
      </c>
      <c r="H60" s="323">
        <v>0</v>
      </c>
      <c r="I60" s="323">
        <v>0</v>
      </c>
      <c r="J60" s="320">
        <f t="shared" si="0"/>
        <v>350000</v>
      </c>
      <c r="K60" s="128"/>
    </row>
    <row r="61" spans="1:11" ht="22.5">
      <c r="A61" s="321"/>
      <c r="B61" s="321"/>
      <c r="C61" s="322"/>
      <c r="D61" s="326"/>
      <c r="E61" s="334" t="s">
        <v>885</v>
      </c>
      <c r="F61" s="336">
        <v>200000</v>
      </c>
      <c r="G61" s="336">
        <v>0</v>
      </c>
      <c r="H61" s="336">
        <v>0</v>
      </c>
      <c r="I61" s="336">
        <v>0</v>
      </c>
      <c r="J61" s="337">
        <f t="shared" si="0"/>
        <v>200000</v>
      </c>
      <c r="K61" s="128"/>
    </row>
    <row r="62" spans="1:11" ht="12" customHeight="1">
      <c r="A62" s="319" t="s">
        <v>119</v>
      </c>
      <c r="B62" s="713" t="s">
        <v>367</v>
      </c>
      <c r="C62" s="714"/>
      <c r="D62" s="714"/>
      <c r="E62" s="715"/>
      <c r="F62" s="316">
        <f>452341169+25000000+363120+101682090+187978206+1940000+973100+19510500+3348220+190500+730250+74930+2460790-20000000-1730500+1000000+74295+190500-17780000+400000+100000+6000000+4790554-3817843-13005804+560000+250000</f>
        <v>753624077</v>
      </c>
      <c r="G62" s="316">
        <v>1934590</v>
      </c>
      <c r="H62" s="316">
        <f>1174115+47925</f>
        <v>1222040</v>
      </c>
      <c r="I62" s="316">
        <f>304800-177800+800000+700000</f>
        <v>1627000</v>
      </c>
      <c r="J62" s="335">
        <f t="shared" si="0"/>
        <v>758407707</v>
      </c>
      <c r="K62" s="127"/>
    </row>
    <row r="63" spans="1:11" ht="12.75">
      <c r="A63" s="319" t="s">
        <v>121</v>
      </c>
      <c r="B63" s="713" t="s">
        <v>120</v>
      </c>
      <c r="C63" s="714"/>
      <c r="D63" s="714"/>
      <c r="E63" s="715"/>
      <c r="F63" s="316">
        <f>8794813+21830061+91442680+6759599+2794000+2000000+31599998+523290+863600-5098639</f>
        <v>161509402</v>
      </c>
      <c r="G63" s="316">
        <v>0</v>
      </c>
      <c r="H63" s="316">
        <v>508000</v>
      </c>
      <c r="I63" s="316">
        <f>578000-578000</f>
        <v>0</v>
      </c>
      <c r="J63" s="335">
        <f t="shared" si="0"/>
        <v>162017402</v>
      </c>
      <c r="K63" s="127"/>
    </row>
    <row r="64" spans="1:11" ht="12.75">
      <c r="A64" s="319" t="s">
        <v>123</v>
      </c>
      <c r="B64" s="713" t="s">
        <v>122</v>
      </c>
      <c r="C64" s="714"/>
      <c r="D64" s="714"/>
      <c r="E64" s="715"/>
      <c r="F64" s="316">
        <f>SUM(F73)</f>
        <v>5449520</v>
      </c>
      <c r="G64" s="316">
        <f>SUM(G73)</f>
        <v>0</v>
      </c>
      <c r="H64" s="316">
        <f>SUM(H73)</f>
        <v>0</v>
      </c>
      <c r="I64" s="316">
        <f>SUM(I73)</f>
        <v>0</v>
      </c>
      <c r="J64" s="335">
        <f t="shared" si="0"/>
        <v>5449520</v>
      </c>
      <c r="K64" s="127"/>
    </row>
    <row r="65" spans="1:11" ht="12.75" customHeight="1" hidden="1">
      <c r="A65" s="314"/>
      <c r="B65" s="314" t="s">
        <v>193</v>
      </c>
      <c r="C65" s="703" t="s">
        <v>194</v>
      </c>
      <c r="D65" s="703"/>
      <c r="E65" s="703"/>
      <c r="F65" s="315">
        <v>0</v>
      </c>
      <c r="G65" s="315">
        <v>0</v>
      </c>
      <c r="H65" s="315">
        <v>0</v>
      </c>
      <c r="I65" s="315">
        <v>0</v>
      </c>
      <c r="J65" s="316">
        <f t="shared" si="0"/>
        <v>0</v>
      </c>
      <c r="K65" s="127"/>
    </row>
    <row r="66" spans="1:11" ht="12.75" customHeight="1" hidden="1">
      <c r="A66" s="314"/>
      <c r="B66" s="314" t="s">
        <v>195</v>
      </c>
      <c r="C66" s="703" t="s">
        <v>196</v>
      </c>
      <c r="D66" s="703"/>
      <c r="E66" s="703"/>
      <c r="F66" s="315">
        <v>0</v>
      </c>
      <c r="G66" s="315">
        <v>0</v>
      </c>
      <c r="H66" s="315">
        <v>0</v>
      </c>
      <c r="I66" s="315">
        <v>0</v>
      </c>
      <c r="J66" s="316">
        <f t="shared" si="0"/>
        <v>0</v>
      </c>
      <c r="K66" s="127"/>
    </row>
    <row r="67" spans="1:11" ht="12.75" customHeight="1" hidden="1">
      <c r="A67" s="314" t="s">
        <v>192</v>
      </c>
      <c r="B67" s="314" t="s">
        <v>197</v>
      </c>
      <c r="C67" s="703" t="s">
        <v>198</v>
      </c>
      <c r="D67" s="703"/>
      <c r="E67" s="703"/>
      <c r="F67" s="315">
        <v>0</v>
      </c>
      <c r="G67" s="315">
        <v>0</v>
      </c>
      <c r="H67" s="315">
        <v>0</v>
      </c>
      <c r="I67" s="315">
        <v>0</v>
      </c>
      <c r="J67" s="316">
        <f t="shared" si="0"/>
        <v>0</v>
      </c>
      <c r="K67" s="127"/>
    </row>
    <row r="68" spans="1:11" ht="12.75" customHeight="1" hidden="1">
      <c r="A68" s="314"/>
      <c r="B68" s="314" t="s">
        <v>199</v>
      </c>
      <c r="C68" s="703" t="s">
        <v>200</v>
      </c>
      <c r="D68" s="703"/>
      <c r="E68" s="703"/>
      <c r="F68" s="315">
        <v>0</v>
      </c>
      <c r="G68" s="315">
        <v>0</v>
      </c>
      <c r="H68" s="315">
        <v>0</v>
      </c>
      <c r="I68" s="315">
        <v>0</v>
      </c>
      <c r="J68" s="316">
        <f t="shared" si="0"/>
        <v>0</v>
      </c>
      <c r="K68" s="127"/>
    </row>
    <row r="69" spans="1:11" ht="12.75" customHeight="1" hidden="1">
      <c r="A69" s="314"/>
      <c r="B69" s="314" t="s">
        <v>201</v>
      </c>
      <c r="C69" s="703" t="s">
        <v>202</v>
      </c>
      <c r="D69" s="703"/>
      <c r="E69" s="703"/>
      <c r="F69" s="315">
        <v>0</v>
      </c>
      <c r="G69" s="315">
        <v>0</v>
      </c>
      <c r="H69" s="315">
        <v>0</v>
      </c>
      <c r="I69" s="315">
        <v>0</v>
      </c>
      <c r="J69" s="316">
        <f t="shared" si="0"/>
        <v>0</v>
      </c>
      <c r="K69" s="127"/>
    </row>
    <row r="70" spans="1:11" ht="12.75" customHeight="1" hidden="1">
      <c r="A70" s="314"/>
      <c r="B70" s="314" t="s">
        <v>203</v>
      </c>
      <c r="C70" s="703" t="s">
        <v>204</v>
      </c>
      <c r="D70" s="703"/>
      <c r="E70" s="703"/>
      <c r="F70" s="315">
        <v>0</v>
      </c>
      <c r="G70" s="315">
        <v>0</v>
      </c>
      <c r="H70" s="315">
        <v>0</v>
      </c>
      <c r="I70" s="315">
        <v>0</v>
      </c>
      <c r="J70" s="316">
        <f t="shared" si="0"/>
        <v>0</v>
      </c>
      <c r="K70" s="127"/>
    </row>
    <row r="71" spans="1:11" ht="12.75" customHeight="1" hidden="1">
      <c r="A71" s="314"/>
      <c r="B71" s="314" t="s">
        <v>205</v>
      </c>
      <c r="C71" s="703" t="s">
        <v>206</v>
      </c>
      <c r="D71" s="703"/>
      <c r="E71" s="703"/>
      <c r="F71" s="315">
        <v>0</v>
      </c>
      <c r="G71" s="315">
        <v>0</v>
      </c>
      <c r="H71" s="315">
        <v>0</v>
      </c>
      <c r="I71" s="315">
        <v>0</v>
      </c>
      <c r="J71" s="316">
        <f>SUM(F71:I71)</f>
        <v>0</v>
      </c>
      <c r="K71" s="127"/>
    </row>
    <row r="72" spans="1:11" ht="12.75" customHeight="1" hidden="1">
      <c r="A72" s="314"/>
      <c r="B72" s="314" t="s">
        <v>207</v>
      </c>
      <c r="C72" s="703" t="s">
        <v>576</v>
      </c>
      <c r="D72" s="703"/>
      <c r="E72" s="703"/>
      <c r="F72" s="315">
        <v>0</v>
      </c>
      <c r="G72" s="315">
        <v>0</v>
      </c>
      <c r="H72" s="315">
        <v>0</v>
      </c>
      <c r="I72" s="315">
        <v>0</v>
      </c>
      <c r="J72" s="316">
        <f>SUM(F72:I72)</f>
        <v>0</v>
      </c>
      <c r="K72" s="127"/>
    </row>
    <row r="73" spans="1:11" ht="12.75">
      <c r="A73" s="314"/>
      <c r="B73" s="314" t="s">
        <v>575</v>
      </c>
      <c r="C73" s="703" t="s">
        <v>684</v>
      </c>
      <c r="D73" s="703"/>
      <c r="E73" s="703"/>
      <c r="F73" s="315">
        <f>449520+5000000</f>
        <v>5449520</v>
      </c>
      <c r="G73" s="315">
        <v>0</v>
      </c>
      <c r="H73" s="315">
        <v>0</v>
      </c>
      <c r="I73" s="315">
        <v>0</v>
      </c>
      <c r="J73" s="320">
        <f>SUM(F73:I73)</f>
        <v>5449520</v>
      </c>
      <c r="K73" s="127"/>
    </row>
    <row r="74" spans="1:11" ht="12.75">
      <c r="A74" s="319" t="s">
        <v>125</v>
      </c>
      <c r="B74" s="713" t="s">
        <v>124</v>
      </c>
      <c r="C74" s="714"/>
      <c r="D74" s="714"/>
      <c r="E74" s="715"/>
      <c r="F74" s="316">
        <v>19299537</v>
      </c>
      <c r="G74" s="316">
        <v>0</v>
      </c>
      <c r="H74" s="316">
        <v>0</v>
      </c>
      <c r="I74" s="316">
        <v>0</v>
      </c>
      <c r="J74" s="335">
        <f>SUM(F74:I74)</f>
        <v>19299537</v>
      </c>
      <c r="K74" s="127"/>
    </row>
    <row r="75" spans="1:10" ht="12.75">
      <c r="A75" s="328"/>
      <c r="B75" s="329"/>
      <c r="C75" s="329"/>
      <c r="D75" s="329"/>
      <c r="E75" s="329"/>
      <c r="F75" s="330"/>
      <c r="G75" s="338"/>
      <c r="H75" s="338"/>
      <c r="I75" s="338"/>
      <c r="J75" s="331"/>
    </row>
    <row r="76" spans="1:10" ht="15.75">
      <c r="A76" s="720" t="s">
        <v>208</v>
      </c>
      <c r="B76" s="721"/>
      <c r="C76" s="721"/>
      <c r="D76" s="721"/>
      <c r="E76" s="722"/>
      <c r="F76" s="332">
        <f>SUM(F7+F8+F9+F10+F23+F62+F63+F64+F74)</f>
        <v>1752286253</v>
      </c>
      <c r="G76" s="332">
        <f>SUM(G7+G8+G9+G10+G23+G62+G63+G64+G74)</f>
        <v>146764234</v>
      </c>
      <c r="H76" s="332">
        <f>SUM(H7+H8+H9+H10+H23+H62+H63+H64+H74)</f>
        <v>267708793</v>
      </c>
      <c r="I76" s="332">
        <f>SUM(I7+I8+I9+I10+I23+I62+I63+I64+I74)</f>
        <v>49303833</v>
      </c>
      <c r="J76" s="332">
        <f>SUM(J7+J8+J9+J10+J23+J62+J63+J64+J74)</f>
        <v>2216063113</v>
      </c>
    </row>
    <row r="83" spans="1:2" ht="12.75">
      <c r="A83" s="277">
        <v>14</v>
      </c>
      <c r="B83" s="277" t="s">
        <v>1020</v>
      </c>
    </row>
    <row r="84" spans="1:2" ht="12.75">
      <c r="A84" s="277">
        <v>15</v>
      </c>
      <c r="B84" s="277" t="s">
        <v>1049</v>
      </c>
    </row>
  </sheetData>
  <sheetProtection/>
  <mergeCells count="46">
    <mergeCell ref="C73:E73"/>
    <mergeCell ref="B74:E74"/>
    <mergeCell ref="A76:E76"/>
    <mergeCell ref="C67:E67"/>
    <mergeCell ref="C68:E68"/>
    <mergeCell ref="C69:E69"/>
    <mergeCell ref="C70:E70"/>
    <mergeCell ref="B64:E64"/>
    <mergeCell ref="C65:E65"/>
    <mergeCell ref="C66:E66"/>
    <mergeCell ref="B63:E63"/>
    <mergeCell ref="D46:E46"/>
    <mergeCell ref="D57:E57"/>
    <mergeCell ref="B62:E62"/>
    <mergeCell ref="D29:E29"/>
    <mergeCell ref="D40:E40"/>
    <mergeCell ref="D41:E41"/>
    <mergeCell ref="D42:E42"/>
    <mergeCell ref="D43:E43"/>
    <mergeCell ref="D44:E44"/>
    <mergeCell ref="D26:E26"/>
    <mergeCell ref="D27:E27"/>
    <mergeCell ref="D28:E28"/>
    <mergeCell ref="D13:E13"/>
    <mergeCell ref="D14:E14"/>
    <mergeCell ref="C15:E15"/>
    <mergeCell ref="A1:J1"/>
    <mergeCell ref="A3:J3"/>
    <mergeCell ref="A5:E5"/>
    <mergeCell ref="B6:E6"/>
    <mergeCell ref="B7:E7"/>
    <mergeCell ref="C12:E12"/>
    <mergeCell ref="C11:E11"/>
    <mergeCell ref="B10:E10"/>
    <mergeCell ref="B8:E8"/>
    <mergeCell ref="B9:E9"/>
    <mergeCell ref="C71:E71"/>
    <mergeCell ref="C72:E72"/>
    <mergeCell ref="D45:E45"/>
    <mergeCell ref="D21:E21"/>
    <mergeCell ref="D22:E22"/>
    <mergeCell ref="C16:E16"/>
    <mergeCell ref="C18:E18"/>
    <mergeCell ref="C19:E19"/>
    <mergeCell ref="C20:E20"/>
    <mergeCell ref="B23:E2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62"/>
  <sheetViews>
    <sheetView zoomScalePageLayoutView="0" workbookViewId="0" topLeftCell="A1">
      <selection activeCell="B62" sqref="B62"/>
    </sheetView>
  </sheetViews>
  <sheetFormatPr defaultColWidth="9.00390625" defaultRowHeight="12.75"/>
  <cols>
    <col min="1" max="1" width="4.125" style="48" bestFit="1" customWidth="1"/>
    <col min="2" max="2" width="55.125" style="10" bestFit="1" customWidth="1"/>
    <col min="3" max="3" width="13.375" style="10" bestFit="1" customWidth="1"/>
    <col min="4" max="5" width="15.125" style="10" bestFit="1" customWidth="1"/>
    <col min="6" max="6" width="53.875" style="10" bestFit="1" customWidth="1"/>
    <col min="7" max="7" width="15.00390625" style="10" bestFit="1" customWidth="1"/>
    <col min="8" max="9" width="15.875" style="10" bestFit="1" customWidth="1"/>
    <col min="10" max="16384" width="9.125" style="10" customWidth="1"/>
  </cols>
  <sheetData>
    <row r="1" spans="6:10" ht="12.75" customHeight="1">
      <c r="F1" s="723" t="s">
        <v>1044</v>
      </c>
      <c r="G1" s="724"/>
      <c r="H1" s="724"/>
      <c r="I1" s="724"/>
      <c r="J1" s="34"/>
    </row>
    <row r="2" spans="2:9" ht="15.75">
      <c r="B2" s="728" t="s">
        <v>890</v>
      </c>
      <c r="C2" s="728"/>
      <c r="D2" s="728"/>
      <c r="E2" s="728"/>
      <c r="F2" s="728"/>
      <c r="G2" s="728"/>
      <c r="H2" s="728"/>
      <c r="I2" s="728"/>
    </row>
    <row r="3" ht="8.25" customHeight="1"/>
    <row r="4" spans="1:9" s="11" customFormat="1" ht="15" customHeight="1">
      <c r="A4" s="730" t="s">
        <v>439</v>
      </c>
      <c r="B4" s="729" t="s">
        <v>445</v>
      </c>
      <c r="C4" s="729"/>
      <c r="D4" s="729"/>
      <c r="E4" s="729"/>
      <c r="F4" s="729" t="s">
        <v>362</v>
      </c>
      <c r="G4" s="729"/>
      <c r="H4" s="729"/>
      <c r="I4" s="729"/>
    </row>
    <row r="5" spans="1:9" s="12" customFormat="1" ht="14.25">
      <c r="A5" s="730"/>
      <c r="B5" s="339" t="s">
        <v>361</v>
      </c>
      <c r="C5" s="340" t="s">
        <v>339</v>
      </c>
      <c r="D5" s="340" t="s">
        <v>338</v>
      </c>
      <c r="E5" s="340" t="s">
        <v>428</v>
      </c>
      <c r="F5" s="339" t="s">
        <v>361</v>
      </c>
      <c r="G5" s="340" t="s">
        <v>339</v>
      </c>
      <c r="H5" s="340" t="s">
        <v>338</v>
      </c>
      <c r="I5" s="340" t="s">
        <v>428</v>
      </c>
    </row>
    <row r="6" spans="1:9" s="47" customFormat="1" ht="12">
      <c r="A6" s="730"/>
      <c r="B6" s="364" t="s">
        <v>433</v>
      </c>
      <c r="C6" s="364" t="s">
        <v>434</v>
      </c>
      <c r="D6" s="364" t="s">
        <v>435</v>
      </c>
      <c r="E6" s="364" t="s">
        <v>436</v>
      </c>
      <c r="F6" s="364" t="s">
        <v>437</v>
      </c>
      <c r="G6" s="364" t="s">
        <v>438</v>
      </c>
      <c r="H6" s="364" t="s">
        <v>440</v>
      </c>
      <c r="I6" s="364" t="s">
        <v>441</v>
      </c>
    </row>
    <row r="7" spans="1:9" s="24" customFormat="1" ht="14.25">
      <c r="A7" s="364">
        <v>1</v>
      </c>
      <c r="B7" s="349" t="s">
        <v>516</v>
      </c>
      <c r="C7" s="361">
        <f>SUM(C8)</f>
        <v>1102293633</v>
      </c>
      <c r="D7" s="361">
        <f>SUM(D32,D8)</f>
        <v>64131719</v>
      </c>
      <c r="E7" s="361">
        <f aca="true" t="shared" si="0" ref="E7:E30">SUM(C7:D7)</f>
        <v>1166425352</v>
      </c>
      <c r="F7" s="349" t="s">
        <v>517</v>
      </c>
      <c r="G7" s="361">
        <f>SUM(G8,G32)</f>
        <v>1270888947</v>
      </c>
      <c r="H7" s="361">
        <f>SUM(H8,H32)</f>
        <v>925874629</v>
      </c>
      <c r="I7" s="361">
        <f aca="true" t="shared" si="1" ref="I7:I18">SUM(G7:H7)</f>
        <v>2196763576</v>
      </c>
    </row>
    <row r="8" spans="1:9" s="27" customFormat="1" ht="12.75">
      <c r="A8" s="365">
        <v>2</v>
      </c>
      <c r="B8" s="353" t="s">
        <v>463</v>
      </c>
      <c r="C8" s="354">
        <f>SUM(C28+C18+C13+C9)</f>
        <v>1102293633</v>
      </c>
      <c r="D8" s="354">
        <f>SUM(D28+D18+D13+D9)</f>
        <v>0</v>
      </c>
      <c r="E8" s="354">
        <f t="shared" si="0"/>
        <v>1102293633</v>
      </c>
      <c r="F8" s="355" t="s">
        <v>466</v>
      </c>
      <c r="G8" s="354">
        <f>SUM(G9:G13)</f>
        <v>1270888947</v>
      </c>
      <c r="H8" s="354">
        <f>SUM(H9:H13)</f>
        <v>0</v>
      </c>
      <c r="I8" s="354">
        <f t="shared" si="1"/>
        <v>1270888947</v>
      </c>
    </row>
    <row r="9" spans="1:9" s="14" customFormat="1" ht="12.75">
      <c r="A9" s="365">
        <v>3</v>
      </c>
      <c r="B9" s="359" t="s">
        <v>15</v>
      </c>
      <c r="C9" s="346">
        <f>SUM(C10:C12)</f>
        <v>790762838</v>
      </c>
      <c r="D9" s="346">
        <v>0</v>
      </c>
      <c r="E9" s="346">
        <f t="shared" si="0"/>
        <v>790762838</v>
      </c>
      <c r="F9" s="360" t="s">
        <v>467</v>
      </c>
      <c r="G9" s="346">
        <f>426163725+33000+1350000+1125000+3215520+639450-330000-1461600+2756937+1035000-976500+1125000-1245375-775591+23197320+11080125+6600+103400+216700+5000000+1263600+300000+1344830+3459090+2500000+347826+45939+513114-340425</f>
        <v>481692685</v>
      </c>
      <c r="H9" s="346">
        <v>0</v>
      </c>
      <c r="I9" s="346">
        <f t="shared" si="1"/>
        <v>481692685</v>
      </c>
    </row>
    <row r="10" spans="1:9" s="14" customFormat="1" ht="12.75">
      <c r="A10" s="364">
        <v>4</v>
      </c>
      <c r="B10" s="343" t="s">
        <v>16</v>
      </c>
      <c r="C10" s="348">
        <f>482488434+22486700+418000+383873+10959511+1038000+426173+10068391+848820-11343384+8095006</f>
        <v>525869524</v>
      </c>
      <c r="D10" s="348">
        <v>0</v>
      </c>
      <c r="E10" s="348">
        <f t="shared" si="0"/>
        <v>525869524</v>
      </c>
      <c r="F10" s="360" t="s">
        <v>698</v>
      </c>
      <c r="G10" s="346">
        <f>81276070+5197+236250+196875+562716+111904-57750-255780+482464+181125-170887+196875-217940-377745+2029806+969525+1155+18095+37923+875000+221130+13166+367133+208449+536159+387500+52174-45939-513114-59575</f>
        <v>87267961</v>
      </c>
      <c r="H10" s="346">
        <v>0</v>
      </c>
      <c r="I10" s="346">
        <f t="shared" si="1"/>
        <v>87267961</v>
      </c>
    </row>
    <row r="11" spans="1:9" s="14" customFormat="1" ht="12.75">
      <c r="A11" s="365">
        <v>5</v>
      </c>
      <c r="B11" s="343" t="s">
        <v>696</v>
      </c>
      <c r="C11" s="348">
        <v>0</v>
      </c>
      <c r="D11" s="348">
        <v>0</v>
      </c>
      <c r="E11" s="348">
        <f t="shared" si="0"/>
        <v>0</v>
      </c>
      <c r="F11" s="360" t="s">
        <v>38</v>
      </c>
      <c r="G11" s="346">
        <f>418929171-54000-254000+500000-781083+2114762-317500+144779-2575544+1500000+1310301+4441343-800000+600000+1275000+13881090+60657486+18063936+308085+16823647-13166+2954117-47925+17596440+175000+92377+6500+1143000</f>
        <v>557673816</v>
      </c>
      <c r="H11" s="346">
        <v>0</v>
      </c>
      <c r="I11" s="346">
        <f t="shared" si="1"/>
        <v>557673816</v>
      </c>
    </row>
    <row r="12" spans="1:9" s="14" customFormat="1" ht="12.75">
      <c r="A12" s="365">
        <v>6</v>
      </c>
      <c r="B12" s="343" t="s">
        <v>17</v>
      </c>
      <c r="C12" s="348">
        <f>110463289+5354163+26537427+16490993+13881090+60657486+23938936+2626200+1484730+571500+2887500</f>
        <v>264893314</v>
      </c>
      <c r="D12" s="348">
        <v>0</v>
      </c>
      <c r="E12" s="348">
        <f t="shared" si="0"/>
        <v>264893314</v>
      </c>
      <c r="F12" s="360" t="s">
        <v>39</v>
      </c>
      <c r="G12" s="346">
        <v>3804900</v>
      </c>
      <c r="H12" s="346">
        <v>0</v>
      </c>
      <c r="I12" s="346">
        <f t="shared" si="1"/>
        <v>3804900</v>
      </c>
    </row>
    <row r="13" spans="1:9" s="14" customFormat="1" ht="12.75">
      <c r="A13" s="364">
        <v>7</v>
      </c>
      <c r="B13" s="359" t="s">
        <v>21</v>
      </c>
      <c r="C13" s="346">
        <f>SUM(C14:C17)</f>
        <v>239700000</v>
      </c>
      <c r="D13" s="346">
        <f>SUM(D14:D17)</f>
        <v>0</v>
      </c>
      <c r="E13" s="346">
        <f t="shared" si="0"/>
        <v>239700000</v>
      </c>
      <c r="F13" s="363" t="s">
        <v>40</v>
      </c>
      <c r="G13" s="346">
        <f>SUM(G14:G18)</f>
        <v>140449585</v>
      </c>
      <c r="H13" s="346">
        <f>SUM(H14:H18)</f>
        <v>0</v>
      </c>
      <c r="I13" s="346">
        <f t="shared" si="1"/>
        <v>140449585</v>
      </c>
    </row>
    <row r="14" spans="1:9" s="15" customFormat="1" ht="12.75">
      <c r="A14" s="365">
        <v>8</v>
      </c>
      <c r="B14" s="343" t="s">
        <v>110</v>
      </c>
      <c r="C14" s="348">
        <v>239000000</v>
      </c>
      <c r="D14" s="348">
        <v>0</v>
      </c>
      <c r="E14" s="348">
        <f t="shared" si="0"/>
        <v>239000000</v>
      </c>
      <c r="F14" s="345" t="s">
        <v>760</v>
      </c>
      <c r="G14" s="348">
        <v>0</v>
      </c>
      <c r="H14" s="348">
        <v>0</v>
      </c>
      <c r="I14" s="348">
        <f t="shared" si="1"/>
        <v>0</v>
      </c>
    </row>
    <row r="15" spans="1:9" s="15" customFormat="1" ht="12.75">
      <c r="A15" s="365"/>
      <c r="B15" s="344" t="s">
        <v>792</v>
      </c>
      <c r="C15" s="348">
        <v>50000</v>
      </c>
      <c r="D15" s="348">
        <v>0</v>
      </c>
      <c r="E15" s="348">
        <f t="shared" si="0"/>
        <v>50000</v>
      </c>
      <c r="F15" s="345" t="s">
        <v>697</v>
      </c>
      <c r="G15" s="348">
        <v>0</v>
      </c>
      <c r="H15" s="348">
        <v>0</v>
      </c>
      <c r="I15" s="348">
        <f t="shared" si="1"/>
        <v>0</v>
      </c>
    </row>
    <row r="16" spans="1:9" s="15" customFormat="1" ht="12.75">
      <c r="A16" s="365">
        <v>9</v>
      </c>
      <c r="B16" s="344" t="s">
        <v>793</v>
      </c>
      <c r="C16" s="348">
        <f>22000000-10269500-11730500</f>
        <v>0</v>
      </c>
      <c r="D16" s="348">
        <v>0</v>
      </c>
      <c r="E16" s="348">
        <f t="shared" si="0"/>
        <v>0</v>
      </c>
      <c r="F16" s="345" t="s">
        <v>813</v>
      </c>
      <c r="G16" s="348">
        <v>115000</v>
      </c>
      <c r="H16" s="348">
        <v>0</v>
      </c>
      <c r="I16" s="348">
        <f t="shared" si="1"/>
        <v>115000</v>
      </c>
    </row>
    <row r="17" spans="1:9" s="15" customFormat="1" ht="12.75">
      <c r="A17" s="364">
        <v>10</v>
      </c>
      <c r="B17" s="343" t="s">
        <v>794</v>
      </c>
      <c r="C17" s="348">
        <v>650000</v>
      </c>
      <c r="D17" s="348">
        <v>0</v>
      </c>
      <c r="E17" s="348">
        <f t="shared" si="0"/>
        <v>650000</v>
      </c>
      <c r="F17" s="345" t="s">
        <v>814</v>
      </c>
      <c r="G17" s="348">
        <f>154254385-70000-4779000-1444000-6364000-3280000+2626200-1016000-1143000</f>
        <v>138784585</v>
      </c>
      <c r="H17" s="348">
        <v>0</v>
      </c>
      <c r="I17" s="348">
        <f t="shared" si="1"/>
        <v>138784585</v>
      </c>
    </row>
    <row r="18" spans="1:9" s="15" customFormat="1" ht="12.75">
      <c r="A18" s="365">
        <v>11</v>
      </c>
      <c r="B18" s="359" t="s">
        <v>22</v>
      </c>
      <c r="C18" s="346">
        <f>SUM(C19:C27)</f>
        <v>71455795</v>
      </c>
      <c r="D18" s="346">
        <f>SUM(D19:D27)</f>
        <v>0</v>
      </c>
      <c r="E18" s="346">
        <f t="shared" si="0"/>
        <v>71455795</v>
      </c>
      <c r="F18" s="345" t="s">
        <v>815</v>
      </c>
      <c r="G18" s="348">
        <f>26199000-23849000+200000-1000000</f>
        <v>1550000</v>
      </c>
      <c r="H18" s="348">
        <v>0</v>
      </c>
      <c r="I18" s="348">
        <f t="shared" si="1"/>
        <v>1550000</v>
      </c>
    </row>
    <row r="19" spans="1:9" s="14" customFormat="1" ht="12.75">
      <c r="A19" s="365">
        <v>12</v>
      </c>
      <c r="B19" s="343" t="s">
        <v>577</v>
      </c>
      <c r="C19" s="348">
        <v>9500000</v>
      </c>
      <c r="D19" s="348">
        <v>0</v>
      </c>
      <c r="E19" s="348">
        <f t="shared" si="0"/>
        <v>9500000</v>
      </c>
      <c r="F19" s="363"/>
      <c r="G19" s="346"/>
      <c r="H19" s="346"/>
      <c r="I19" s="346"/>
    </row>
    <row r="20" spans="1:9" s="14" customFormat="1" ht="12.75">
      <c r="A20" s="364">
        <v>13</v>
      </c>
      <c r="B20" s="343" t="s">
        <v>23</v>
      </c>
      <c r="C20" s="348">
        <f>21002978+536221+3402559+342137</f>
        <v>25283895</v>
      </c>
      <c r="D20" s="348">
        <v>0</v>
      </c>
      <c r="E20" s="348">
        <f t="shared" si="0"/>
        <v>25283895</v>
      </c>
      <c r="F20" s="345"/>
      <c r="G20" s="348"/>
      <c r="H20" s="348"/>
      <c r="I20" s="348"/>
    </row>
    <row r="21" spans="1:9" s="14" customFormat="1" ht="12.75">
      <c r="A21" s="365">
        <v>14</v>
      </c>
      <c r="B21" s="343" t="s">
        <v>24</v>
      </c>
      <c r="C21" s="348">
        <v>7687837</v>
      </c>
      <c r="D21" s="348">
        <v>0</v>
      </c>
      <c r="E21" s="348">
        <f t="shared" si="0"/>
        <v>7687837</v>
      </c>
      <c r="F21" s="345"/>
      <c r="G21" s="348"/>
      <c r="H21" s="348"/>
      <c r="I21" s="348"/>
    </row>
    <row r="22" spans="1:9" s="14" customFormat="1" ht="12.75">
      <c r="A22" s="365">
        <v>15</v>
      </c>
      <c r="B22" s="343" t="s">
        <v>533</v>
      </c>
      <c r="C22" s="348">
        <v>746000</v>
      </c>
      <c r="D22" s="348">
        <v>0</v>
      </c>
      <c r="E22" s="348">
        <f t="shared" si="0"/>
        <v>746000</v>
      </c>
      <c r="F22" s="345"/>
      <c r="G22" s="348"/>
      <c r="H22" s="348"/>
      <c r="I22" s="348"/>
    </row>
    <row r="23" spans="1:9" s="14" customFormat="1" ht="12.75">
      <c r="A23" s="364">
        <v>16</v>
      </c>
      <c r="B23" s="343" t="s">
        <v>25</v>
      </c>
      <c r="C23" s="348">
        <f>7036704+12898200+635625</f>
        <v>20570529</v>
      </c>
      <c r="D23" s="348">
        <v>0</v>
      </c>
      <c r="E23" s="348">
        <f t="shared" si="0"/>
        <v>20570529</v>
      </c>
      <c r="F23" s="345"/>
      <c r="G23" s="348"/>
      <c r="H23" s="348"/>
      <c r="I23" s="348"/>
    </row>
    <row r="24" spans="1:9" s="14" customFormat="1" ht="12.75">
      <c r="A24" s="365">
        <v>17</v>
      </c>
      <c r="B24" s="343" t="s">
        <v>26</v>
      </c>
      <c r="C24" s="348">
        <f>6431187+144779+918691+92377</f>
        <v>7587034</v>
      </c>
      <c r="D24" s="348">
        <v>0</v>
      </c>
      <c r="E24" s="348">
        <f t="shared" si="0"/>
        <v>7587034</v>
      </c>
      <c r="F24" s="341"/>
      <c r="G24" s="348"/>
      <c r="H24" s="347"/>
      <c r="I24" s="347"/>
    </row>
    <row r="25" spans="1:9" s="14" customFormat="1" ht="12.75">
      <c r="A25" s="365">
        <v>18</v>
      </c>
      <c r="B25" s="343" t="s">
        <v>300</v>
      </c>
      <c r="C25" s="348">
        <v>0</v>
      </c>
      <c r="D25" s="348">
        <v>0</v>
      </c>
      <c r="E25" s="348">
        <f t="shared" si="0"/>
        <v>0</v>
      </c>
      <c r="F25" s="341"/>
      <c r="G25" s="348"/>
      <c r="H25" s="347"/>
      <c r="I25" s="347"/>
    </row>
    <row r="26" spans="1:9" s="14" customFormat="1" ht="12.75">
      <c r="A26" s="365">
        <v>19</v>
      </c>
      <c r="B26" s="343" t="s">
        <v>717</v>
      </c>
      <c r="C26" s="348">
        <v>500</v>
      </c>
      <c r="D26" s="348">
        <v>0</v>
      </c>
      <c r="E26" s="348">
        <f t="shared" si="0"/>
        <v>500</v>
      </c>
      <c r="F26" s="341"/>
      <c r="G26" s="348"/>
      <c r="H26" s="347"/>
      <c r="I26" s="347"/>
    </row>
    <row r="27" spans="1:9" s="13" customFormat="1" ht="12.75">
      <c r="A27" s="364">
        <v>20</v>
      </c>
      <c r="B27" s="343" t="s">
        <v>718</v>
      </c>
      <c r="C27" s="348">
        <f>11039511-10959511</f>
        <v>80000</v>
      </c>
      <c r="D27" s="348">
        <v>0</v>
      </c>
      <c r="E27" s="348">
        <f t="shared" si="0"/>
        <v>80000</v>
      </c>
      <c r="F27" s="341"/>
      <c r="G27" s="347"/>
      <c r="H27" s="347"/>
      <c r="I27" s="347"/>
    </row>
    <row r="28" spans="1:9" s="13" customFormat="1" ht="12.75">
      <c r="A28" s="365">
        <v>21</v>
      </c>
      <c r="B28" s="359" t="s">
        <v>32</v>
      </c>
      <c r="C28" s="346">
        <f>SUM(C29:C30)</f>
        <v>375000</v>
      </c>
      <c r="D28" s="346">
        <v>0</v>
      </c>
      <c r="E28" s="346">
        <f t="shared" si="0"/>
        <v>375000</v>
      </c>
      <c r="F28" s="341"/>
      <c r="G28" s="347"/>
      <c r="H28" s="347"/>
      <c r="I28" s="347"/>
    </row>
    <row r="29" spans="1:9" s="13" customFormat="1" ht="12.75">
      <c r="A29" s="365">
        <v>22</v>
      </c>
      <c r="B29" s="343" t="s">
        <v>33</v>
      </c>
      <c r="C29" s="348">
        <v>0</v>
      </c>
      <c r="D29" s="348">
        <v>0</v>
      </c>
      <c r="E29" s="348">
        <f t="shared" si="0"/>
        <v>0</v>
      </c>
      <c r="F29" s="341"/>
      <c r="G29" s="347"/>
      <c r="H29" s="347"/>
      <c r="I29" s="347"/>
    </row>
    <row r="30" spans="1:9" s="13" customFormat="1" ht="12.75">
      <c r="A30" s="364">
        <v>23</v>
      </c>
      <c r="B30" s="343" t="s">
        <v>34</v>
      </c>
      <c r="C30" s="348">
        <v>375000</v>
      </c>
      <c r="D30" s="348">
        <v>0</v>
      </c>
      <c r="E30" s="348">
        <f t="shared" si="0"/>
        <v>375000</v>
      </c>
      <c r="F30" s="341"/>
      <c r="G30" s="347"/>
      <c r="H30" s="347"/>
      <c r="I30" s="347"/>
    </row>
    <row r="31" spans="1:9" s="13" customFormat="1" ht="12.75">
      <c r="A31" s="365">
        <v>24</v>
      </c>
      <c r="B31" s="343"/>
      <c r="C31" s="348"/>
      <c r="D31" s="348"/>
      <c r="E31" s="348"/>
      <c r="F31" s="341"/>
      <c r="G31" s="347"/>
      <c r="H31" s="347"/>
      <c r="I31" s="347"/>
    </row>
    <row r="32" spans="1:9" s="27" customFormat="1" ht="12.75">
      <c r="A32" s="365">
        <v>25</v>
      </c>
      <c r="B32" s="356" t="s">
        <v>465</v>
      </c>
      <c r="C32" s="354">
        <f>SUM(C41+C36+C33)</f>
        <v>0</v>
      </c>
      <c r="D32" s="354">
        <f>SUM(D41+D36+D33)</f>
        <v>64131719</v>
      </c>
      <c r="E32" s="354">
        <f>SUM(D32:D32)</f>
        <v>64131719</v>
      </c>
      <c r="F32" s="355" t="s">
        <v>334</v>
      </c>
      <c r="G32" s="354">
        <f>SUM(G33:G35)</f>
        <v>0</v>
      </c>
      <c r="H32" s="354">
        <f>SUM(H33:H35)</f>
        <v>925874629</v>
      </c>
      <c r="I32" s="354">
        <f aca="true" t="shared" si="2" ref="I32:I40">SUM(G32:H32)</f>
        <v>925874629</v>
      </c>
    </row>
    <row r="33" spans="1:9" s="13" customFormat="1" ht="12.75">
      <c r="A33" s="364">
        <v>26</v>
      </c>
      <c r="B33" s="359" t="s">
        <v>18</v>
      </c>
      <c r="C33" s="346">
        <f>SUM(C34:C35)</f>
        <v>0</v>
      </c>
      <c r="D33" s="346">
        <f>SUM(D34:D35)</f>
        <v>6264795</v>
      </c>
      <c r="E33" s="346">
        <f>SUM(D33:D33)</f>
        <v>6264795</v>
      </c>
      <c r="F33" s="360" t="s">
        <v>41</v>
      </c>
      <c r="G33" s="346">
        <v>0</v>
      </c>
      <c r="H33" s="346">
        <f>800006380-20000000-1730500-177800+1000000+74295+190500+800000-17780000+400000+100000+6000000+4790554-3817843-13005804+700000+47925+560000+250000</f>
        <v>758407707</v>
      </c>
      <c r="I33" s="346">
        <f t="shared" si="2"/>
        <v>758407707</v>
      </c>
    </row>
    <row r="34" spans="1:9" s="13" customFormat="1" ht="12.75">
      <c r="A34" s="365">
        <v>27</v>
      </c>
      <c r="B34" s="343" t="s">
        <v>19</v>
      </c>
      <c r="C34" s="348">
        <v>0</v>
      </c>
      <c r="D34" s="348">
        <v>0</v>
      </c>
      <c r="E34" s="348">
        <f aca="true" t="shared" si="3" ref="E34:E43">SUM(D34:D34)</f>
        <v>0</v>
      </c>
      <c r="F34" s="360" t="s">
        <v>42</v>
      </c>
      <c r="G34" s="346">
        <v>0</v>
      </c>
      <c r="H34" s="346">
        <f>166252441+863600+578000-5098639-578000</f>
        <v>162017402</v>
      </c>
      <c r="I34" s="346">
        <f t="shared" si="2"/>
        <v>162017402</v>
      </c>
    </row>
    <row r="35" spans="1:9" s="13" customFormat="1" ht="12.75">
      <c r="A35" s="365">
        <v>28</v>
      </c>
      <c r="B35" s="343" t="s">
        <v>20</v>
      </c>
      <c r="C35" s="348">
        <v>0</v>
      </c>
      <c r="D35" s="348">
        <f>6000000+74295+190500-6000000+6000000</f>
        <v>6264795</v>
      </c>
      <c r="E35" s="348">
        <f t="shared" si="3"/>
        <v>6264795</v>
      </c>
      <c r="F35" s="360" t="s">
        <v>43</v>
      </c>
      <c r="G35" s="346">
        <f>SUM(G36:G40)</f>
        <v>0</v>
      </c>
      <c r="H35" s="346">
        <v>5449520</v>
      </c>
      <c r="I35" s="346">
        <f t="shared" si="2"/>
        <v>5449520</v>
      </c>
    </row>
    <row r="36" spans="1:9" s="13" customFormat="1" ht="12.75">
      <c r="A36" s="364">
        <v>29</v>
      </c>
      <c r="B36" s="359" t="s">
        <v>27</v>
      </c>
      <c r="C36" s="346">
        <f>SUM(C37:C40)</f>
        <v>0</v>
      </c>
      <c r="D36" s="346">
        <f>SUM(D37:D40)</f>
        <v>57599464</v>
      </c>
      <c r="E36" s="346">
        <f t="shared" si="3"/>
        <v>57599464</v>
      </c>
      <c r="F36" s="345" t="s">
        <v>44</v>
      </c>
      <c r="G36" s="348">
        <v>0</v>
      </c>
      <c r="H36" s="348">
        <v>0</v>
      </c>
      <c r="I36" s="348">
        <f t="shared" si="2"/>
        <v>0</v>
      </c>
    </row>
    <row r="37" spans="1:9" s="13" customFormat="1" ht="12.75">
      <c r="A37" s="365">
        <v>30</v>
      </c>
      <c r="B37" s="343" t="s">
        <v>28</v>
      </c>
      <c r="C37" s="348">
        <v>0</v>
      </c>
      <c r="D37" s="348">
        <v>0</v>
      </c>
      <c r="E37" s="348">
        <f t="shared" si="3"/>
        <v>0</v>
      </c>
      <c r="F37" s="345" t="s">
        <v>45</v>
      </c>
      <c r="G37" s="348">
        <v>0</v>
      </c>
      <c r="H37" s="348">
        <v>0</v>
      </c>
      <c r="I37" s="348">
        <f t="shared" si="2"/>
        <v>0</v>
      </c>
    </row>
    <row r="38" spans="1:9" s="14" customFormat="1" ht="12.75">
      <c r="A38" s="365">
        <v>31</v>
      </c>
      <c r="B38" s="343" t="s">
        <v>29</v>
      </c>
      <c r="C38" s="348">
        <f>SUM(C39:C40)</f>
        <v>0</v>
      </c>
      <c r="D38" s="348">
        <f>44406964+1500000+1000000+11730500-1038000</f>
        <v>57599464</v>
      </c>
      <c r="E38" s="348">
        <f t="shared" si="3"/>
        <v>57599464</v>
      </c>
      <c r="F38" s="345" t="s">
        <v>46</v>
      </c>
      <c r="G38" s="348">
        <v>0</v>
      </c>
      <c r="H38" s="348">
        <v>0</v>
      </c>
      <c r="I38" s="348">
        <f t="shared" si="2"/>
        <v>0</v>
      </c>
    </row>
    <row r="39" spans="1:9" s="14" customFormat="1" ht="12.75">
      <c r="A39" s="364">
        <v>32</v>
      </c>
      <c r="B39" s="343" t="s">
        <v>30</v>
      </c>
      <c r="C39" s="348">
        <v>0</v>
      </c>
      <c r="D39" s="348">
        <v>0</v>
      </c>
      <c r="E39" s="348">
        <f t="shared" si="3"/>
        <v>0</v>
      </c>
      <c r="F39" s="345" t="s">
        <v>47</v>
      </c>
      <c r="G39" s="348">
        <v>0</v>
      </c>
      <c r="H39" s="348">
        <v>0</v>
      </c>
      <c r="I39" s="348">
        <f t="shared" si="2"/>
        <v>0</v>
      </c>
    </row>
    <row r="40" spans="1:9" s="16" customFormat="1" ht="13.5">
      <c r="A40" s="365">
        <v>33</v>
      </c>
      <c r="B40" s="343" t="s">
        <v>31</v>
      </c>
      <c r="C40" s="348">
        <v>0</v>
      </c>
      <c r="D40" s="348">
        <v>0</v>
      </c>
      <c r="E40" s="348">
        <f t="shared" si="3"/>
        <v>0</v>
      </c>
      <c r="F40" s="345" t="s">
        <v>48</v>
      </c>
      <c r="G40" s="348">
        <v>0</v>
      </c>
      <c r="H40" s="348">
        <v>5449520</v>
      </c>
      <c r="I40" s="348">
        <f t="shared" si="2"/>
        <v>5449520</v>
      </c>
    </row>
    <row r="41" spans="1:9" s="16" customFormat="1" ht="13.5">
      <c r="A41" s="365">
        <v>34</v>
      </c>
      <c r="B41" s="359" t="s">
        <v>35</v>
      </c>
      <c r="C41" s="346">
        <f>SUM(C42:C43)</f>
        <v>0</v>
      </c>
      <c r="D41" s="346">
        <f>SUM(D42:D43)</f>
        <v>267460</v>
      </c>
      <c r="E41" s="346">
        <f t="shared" si="3"/>
        <v>267460</v>
      </c>
      <c r="F41" s="345"/>
      <c r="G41" s="348"/>
      <c r="H41" s="348"/>
      <c r="I41" s="348"/>
    </row>
    <row r="42" spans="1:9" s="16" customFormat="1" ht="13.5">
      <c r="A42" s="364">
        <v>35</v>
      </c>
      <c r="B42" s="343" t="s">
        <v>689</v>
      </c>
      <c r="C42" s="348">
        <v>0</v>
      </c>
      <c r="D42" s="348">
        <v>0</v>
      </c>
      <c r="E42" s="348">
        <f t="shared" si="3"/>
        <v>0</v>
      </c>
      <c r="F42" s="342"/>
      <c r="G42" s="348"/>
      <c r="H42" s="348"/>
      <c r="I42" s="348"/>
    </row>
    <row r="43" spans="1:9" s="16" customFormat="1" ht="13.5">
      <c r="A43" s="365">
        <v>36</v>
      </c>
      <c r="B43" s="343" t="s">
        <v>688</v>
      </c>
      <c r="C43" s="348">
        <v>0</v>
      </c>
      <c r="D43" s="348">
        <v>267460</v>
      </c>
      <c r="E43" s="348">
        <f t="shared" si="3"/>
        <v>267460</v>
      </c>
      <c r="F43" s="342"/>
      <c r="G43" s="348"/>
      <c r="H43" s="348"/>
      <c r="I43" s="348"/>
    </row>
    <row r="44" spans="1:9" s="17" customFormat="1" ht="6" customHeight="1">
      <c r="A44" s="731"/>
      <c r="B44" s="732"/>
      <c r="C44" s="732"/>
      <c r="D44" s="732"/>
      <c r="E44" s="732"/>
      <c r="F44" s="732"/>
      <c r="G44" s="732"/>
      <c r="H44" s="732"/>
      <c r="I44" s="733"/>
    </row>
    <row r="45" spans="1:9" s="17" customFormat="1" ht="15">
      <c r="A45" s="365">
        <v>37</v>
      </c>
      <c r="B45" s="734" t="s">
        <v>518</v>
      </c>
      <c r="C45" s="735"/>
      <c r="D45" s="735"/>
      <c r="E45" s="735"/>
      <c r="F45" s="735"/>
      <c r="G45" s="366">
        <f>C7-G7</f>
        <v>-168595314</v>
      </c>
      <c r="H45" s="366">
        <f>D7-H7</f>
        <v>-861742910</v>
      </c>
      <c r="I45" s="366">
        <f>SUM(G45:H45)</f>
        <v>-1030338224</v>
      </c>
    </row>
    <row r="46" spans="1:9" s="17" customFormat="1" ht="6" customHeight="1">
      <c r="A46" s="725"/>
      <c r="B46" s="726"/>
      <c r="C46" s="726"/>
      <c r="D46" s="726"/>
      <c r="E46" s="726"/>
      <c r="F46" s="726"/>
      <c r="G46" s="726"/>
      <c r="H46" s="726"/>
      <c r="I46" s="727"/>
    </row>
    <row r="47" spans="1:9" s="25" customFormat="1" ht="28.5">
      <c r="A47" s="365">
        <v>38</v>
      </c>
      <c r="B47" s="349" t="s">
        <v>335</v>
      </c>
      <c r="C47" s="350">
        <f>SUM(C48)</f>
        <v>153530385</v>
      </c>
      <c r="D47" s="350">
        <f>SUM(D48)</f>
        <v>896107376</v>
      </c>
      <c r="E47" s="350">
        <f aca="true" t="shared" si="4" ref="E47:E54">SUM(C47:D47)</f>
        <v>1049637761</v>
      </c>
      <c r="F47" s="351"/>
      <c r="G47" s="350"/>
      <c r="H47" s="350"/>
      <c r="I47" s="350"/>
    </row>
    <row r="48" spans="1:9" s="28" customFormat="1" ht="13.5">
      <c r="A48" s="364">
        <v>39</v>
      </c>
      <c r="B48" s="358" t="s">
        <v>690</v>
      </c>
      <c r="C48" s="354">
        <f>152741175+789210</f>
        <v>153530385</v>
      </c>
      <c r="D48" s="354">
        <f>896617876-510500</f>
        <v>896107376</v>
      </c>
      <c r="E48" s="354">
        <f t="shared" si="4"/>
        <v>1049637761</v>
      </c>
      <c r="F48" s="355"/>
      <c r="G48" s="354"/>
      <c r="H48" s="354"/>
      <c r="I48" s="354"/>
    </row>
    <row r="49" spans="1:9" s="28" customFormat="1" ht="13.5">
      <c r="A49" s="364">
        <v>40</v>
      </c>
      <c r="B49" s="358" t="s">
        <v>691</v>
      </c>
      <c r="C49" s="354">
        <v>0</v>
      </c>
      <c r="D49" s="354">
        <v>0</v>
      </c>
      <c r="E49" s="354">
        <f>SUM(C49:D49)</f>
        <v>0</v>
      </c>
      <c r="F49" s="355"/>
      <c r="G49" s="354"/>
      <c r="H49" s="354"/>
      <c r="I49" s="354"/>
    </row>
    <row r="50" spans="1:9" s="25" customFormat="1" ht="28.5">
      <c r="A50" s="365">
        <v>41</v>
      </c>
      <c r="B50" s="349" t="s">
        <v>336</v>
      </c>
      <c r="C50" s="367">
        <f>SUM(C51:C53)</f>
        <v>0</v>
      </c>
      <c r="D50" s="367">
        <f>SUM(D51:D53)</f>
        <v>0</v>
      </c>
      <c r="E50" s="367">
        <f t="shared" si="4"/>
        <v>0</v>
      </c>
      <c r="F50" s="368" t="s">
        <v>337</v>
      </c>
      <c r="G50" s="367">
        <f>SUM(G51:G53)</f>
        <v>19299537</v>
      </c>
      <c r="H50" s="367">
        <f>SUM(H51:H53)</f>
        <v>0</v>
      </c>
      <c r="I50" s="367">
        <f>SUM(G50:H50)</f>
        <v>19299537</v>
      </c>
    </row>
    <row r="51" spans="1:9" s="28" customFormat="1" ht="13.5">
      <c r="A51" s="365">
        <v>42</v>
      </c>
      <c r="B51" s="357" t="s">
        <v>692</v>
      </c>
      <c r="C51" s="354">
        <v>0</v>
      </c>
      <c r="D51" s="354">
        <v>0</v>
      </c>
      <c r="E51" s="354">
        <f t="shared" si="4"/>
        <v>0</v>
      </c>
      <c r="F51" s="355" t="s">
        <v>694</v>
      </c>
      <c r="G51" s="354">
        <v>0</v>
      </c>
      <c r="H51" s="354">
        <v>0</v>
      </c>
      <c r="I51" s="354">
        <f>SUM(G51:H51)</f>
        <v>0</v>
      </c>
    </row>
    <row r="52" spans="1:9" s="29" customFormat="1" ht="12.75">
      <c r="A52" s="365">
        <v>43</v>
      </c>
      <c r="B52" s="357" t="s">
        <v>693</v>
      </c>
      <c r="C52" s="354">
        <v>0</v>
      </c>
      <c r="D52" s="354">
        <v>0</v>
      </c>
      <c r="E52" s="354">
        <f>SUM(C52:D52)</f>
        <v>0</v>
      </c>
      <c r="F52" s="355" t="s">
        <v>695</v>
      </c>
      <c r="G52" s="354">
        <v>0</v>
      </c>
      <c r="H52" s="354">
        <v>0</v>
      </c>
      <c r="I52" s="354">
        <f>SUM(G52:H52)</f>
        <v>0</v>
      </c>
    </row>
    <row r="53" spans="1:9" s="29" customFormat="1" ht="12.75">
      <c r="A53" s="365">
        <v>44</v>
      </c>
      <c r="B53" s="357" t="s">
        <v>686</v>
      </c>
      <c r="C53" s="354">
        <v>0</v>
      </c>
      <c r="D53" s="354">
        <v>0</v>
      </c>
      <c r="E53" s="354">
        <f>SUM(C53:D53)</f>
        <v>0</v>
      </c>
      <c r="F53" s="357" t="s">
        <v>687</v>
      </c>
      <c r="G53" s="354">
        <v>19299537</v>
      </c>
      <c r="H53" s="354">
        <v>0</v>
      </c>
      <c r="I53" s="354">
        <f>SUM(G53:H53)</f>
        <v>19299537</v>
      </c>
    </row>
    <row r="54" spans="1:9" s="26" customFormat="1" ht="15.75">
      <c r="A54" s="365">
        <v>45</v>
      </c>
      <c r="B54" s="352" t="s">
        <v>446</v>
      </c>
      <c r="C54" s="362">
        <f>SUM(C7,C47,C50)</f>
        <v>1255824018</v>
      </c>
      <c r="D54" s="362">
        <f>SUM(D7,D47,D50)</f>
        <v>960239095</v>
      </c>
      <c r="E54" s="362">
        <f t="shared" si="4"/>
        <v>2216063113</v>
      </c>
      <c r="F54" s="352" t="s">
        <v>345</v>
      </c>
      <c r="G54" s="362">
        <f>SUM(G7,G50)</f>
        <v>1290188484</v>
      </c>
      <c r="H54" s="362">
        <f>SUM(H7,H50)</f>
        <v>925874629</v>
      </c>
      <c r="I54" s="362">
        <f>SUM(G54:H54)</f>
        <v>2216063113</v>
      </c>
    </row>
    <row r="61" spans="1:2" ht="15">
      <c r="A61" s="277">
        <v>16</v>
      </c>
      <c r="B61" s="277" t="s">
        <v>1020</v>
      </c>
    </row>
    <row r="62" spans="1:2" ht="15">
      <c r="A62" s="960">
        <v>17</v>
      </c>
      <c r="B62" s="277" t="s">
        <v>1049</v>
      </c>
    </row>
  </sheetData>
  <sheetProtection/>
  <mergeCells count="8">
    <mergeCell ref="F1:I1"/>
    <mergeCell ref="A46:I46"/>
    <mergeCell ref="B2:I2"/>
    <mergeCell ref="B4:E4"/>
    <mergeCell ref="F4:I4"/>
    <mergeCell ref="A4:A6"/>
    <mergeCell ref="A44:I44"/>
    <mergeCell ref="B45:F4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Y60"/>
  <sheetViews>
    <sheetView zoomScale="95" zoomScaleNormal="95" zoomScalePageLayoutView="0" workbookViewId="0" topLeftCell="C1">
      <pane xSplit="4" ySplit="7" topLeftCell="M8" activePane="bottomRight" state="frozen"/>
      <selection pane="topLeft" activeCell="C1" sqref="C1"/>
      <selection pane="topRight" activeCell="G1" sqref="G1"/>
      <selection pane="bottomLeft" activeCell="C8" sqref="C8"/>
      <selection pane="bottomRight" activeCell="E60" sqref="E60"/>
    </sheetView>
  </sheetViews>
  <sheetFormatPr defaultColWidth="8.875" defaultRowHeight="12.75"/>
  <cols>
    <col min="1" max="1" width="1.37890625" style="92" hidden="1" customWidth="1"/>
    <col min="2" max="2" width="8.00390625" style="93" hidden="1" customWidth="1"/>
    <col min="3" max="3" width="8.00390625" style="93" customWidth="1"/>
    <col min="4" max="4" width="4.625" style="94" bestFit="1" customWidth="1"/>
    <col min="5" max="5" width="30.375" style="92" customWidth="1"/>
    <col min="6" max="6" width="9.25390625" style="95" hidden="1" customWidth="1"/>
    <col min="7" max="7" width="11.375" style="92" bestFit="1" customWidth="1"/>
    <col min="8" max="8" width="11.125" style="92" customWidth="1"/>
    <col min="9" max="9" width="11.375" style="92" customWidth="1"/>
    <col min="10" max="11" width="10.25390625" style="92" customWidth="1"/>
    <col min="12" max="12" width="11.625" style="92" customWidth="1"/>
    <col min="13" max="13" width="9.875" style="92" customWidth="1"/>
    <col min="14" max="14" width="9.25390625" style="92" customWidth="1"/>
    <col min="15" max="16" width="10.00390625" style="92" customWidth="1"/>
    <col min="17" max="17" width="10.375" style="92" bestFit="1" customWidth="1"/>
    <col min="18" max="18" width="12.875" style="92" bestFit="1" customWidth="1"/>
    <col min="19" max="19" width="11.375" style="92" bestFit="1" customWidth="1"/>
    <col min="20" max="20" width="11.125" style="92" customWidth="1"/>
    <col min="21" max="21" width="10.625" style="92" customWidth="1"/>
    <col min="22" max="22" width="15.75390625" style="110" bestFit="1" customWidth="1"/>
    <col min="23" max="23" width="14.375" style="92" customWidth="1"/>
    <col min="24" max="24" width="9.875" style="92" bestFit="1" customWidth="1"/>
    <col min="25" max="16384" width="8.875" style="92" customWidth="1"/>
  </cols>
  <sheetData>
    <row r="1" spans="3:22" ht="18">
      <c r="C1" s="962"/>
      <c r="M1" s="67"/>
      <c r="N1" s="67"/>
      <c r="O1" s="67"/>
      <c r="P1" s="67"/>
      <c r="Q1" s="737" t="s">
        <v>1045</v>
      </c>
      <c r="R1" s="738"/>
      <c r="S1" s="738"/>
      <c r="T1" s="738"/>
      <c r="U1" s="738"/>
      <c r="V1" s="738"/>
    </row>
    <row r="2" spans="1:22" ht="15.75">
      <c r="A2" s="96"/>
      <c r="B2" s="97"/>
      <c r="C2" s="963"/>
      <c r="D2" s="964"/>
      <c r="E2" s="859" t="s">
        <v>891</v>
      </c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</row>
    <row r="3" spans="3:22" ht="12.75" thickBot="1">
      <c r="C3" s="965"/>
      <c r="D3" s="966"/>
      <c r="E3" s="71"/>
      <c r="F3" s="967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968"/>
    </row>
    <row r="4" spans="2:22" s="98" customFormat="1" ht="12.75" customHeight="1">
      <c r="B4" s="99"/>
      <c r="C4" s="969"/>
      <c r="D4" s="970" t="s">
        <v>439</v>
      </c>
      <c r="E4" s="971" t="s">
        <v>361</v>
      </c>
      <c r="F4" s="972" t="s">
        <v>368</v>
      </c>
      <c r="G4" s="973" t="s">
        <v>369</v>
      </c>
      <c r="H4" s="974"/>
      <c r="I4" s="974"/>
      <c r="J4" s="974"/>
      <c r="K4" s="974"/>
      <c r="L4" s="974"/>
      <c r="M4" s="974"/>
      <c r="N4" s="974"/>
      <c r="O4" s="974"/>
      <c r="P4" s="974"/>
      <c r="Q4" s="974"/>
      <c r="R4" s="974"/>
      <c r="S4" s="974"/>
      <c r="T4" s="974"/>
      <c r="U4" s="975"/>
      <c r="V4" s="976" t="s">
        <v>370</v>
      </c>
    </row>
    <row r="5" spans="2:22" s="100" customFormat="1" ht="12" customHeight="1">
      <c r="B5" s="101"/>
      <c r="C5" s="977"/>
      <c r="D5" s="978"/>
      <c r="E5" s="979"/>
      <c r="F5" s="980"/>
      <c r="G5" s="981" t="s">
        <v>1</v>
      </c>
      <c r="H5" s="981" t="s">
        <v>3</v>
      </c>
      <c r="I5" s="981" t="s">
        <v>5</v>
      </c>
      <c r="J5" s="981" t="s">
        <v>8</v>
      </c>
      <c r="K5" s="982" t="s">
        <v>641</v>
      </c>
      <c r="L5" s="983"/>
      <c r="M5" s="983"/>
      <c r="N5" s="983"/>
      <c r="O5" s="983"/>
      <c r="P5" s="983"/>
      <c r="Q5" s="984"/>
      <c r="R5" s="985" t="s">
        <v>119</v>
      </c>
      <c r="S5" s="985" t="s">
        <v>121</v>
      </c>
      <c r="T5" s="981" t="s">
        <v>123</v>
      </c>
      <c r="U5" s="981" t="s">
        <v>125</v>
      </c>
      <c r="V5" s="986"/>
    </row>
    <row r="6" spans="2:22" s="100" customFormat="1" ht="63.75" customHeight="1">
      <c r="B6" s="101"/>
      <c r="C6" s="977"/>
      <c r="D6" s="978"/>
      <c r="E6" s="857"/>
      <c r="F6" s="987"/>
      <c r="G6" s="988" t="s">
        <v>344</v>
      </c>
      <c r="H6" s="988" t="s">
        <v>632</v>
      </c>
      <c r="I6" s="988" t="s">
        <v>363</v>
      </c>
      <c r="J6" s="988" t="s">
        <v>9</v>
      </c>
      <c r="K6" s="988" t="s">
        <v>142</v>
      </c>
      <c r="L6" s="988" t="s">
        <v>118</v>
      </c>
      <c r="M6" s="988" t="s">
        <v>820</v>
      </c>
      <c r="N6" s="988" t="s">
        <v>432</v>
      </c>
      <c r="O6" s="988" t="s">
        <v>444</v>
      </c>
      <c r="P6" s="988" t="s">
        <v>469</v>
      </c>
      <c r="Q6" s="988" t="s">
        <v>886</v>
      </c>
      <c r="R6" s="989" t="s">
        <v>342</v>
      </c>
      <c r="S6" s="989" t="s">
        <v>373</v>
      </c>
      <c r="T6" s="988" t="s">
        <v>640</v>
      </c>
      <c r="U6" s="988" t="s">
        <v>124</v>
      </c>
      <c r="V6" s="990"/>
    </row>
    <row r="7" spans="2:22" s="102" customFormat="1" ht="12">
      <c r="B7" s="103"/>
      <c r="C7" s="991"/>
      <c r="D7" s="992"/>
      <c r="E7" s="993" t="s">
        <v>433</v>
      </c>
      <c r="F7" s="994" t="s">
        <v>434</v>
      </c>
      <c r="G7" s="995" t="s">
        <v>434</v>
      </c>
      <c r="H7" s="995" t="s">
        <v>435</v>
      </c>
      <c r="I7" s="996" t="s">
        <v>436</v>
      </c>
      <c r="J7" s="993" t="s">
        <v>437</v>
      </c>
      <c r="K7" s="993" t="s">
        <v>438</v>
      </c>
      <c r="L7" s="996" t="s">
        <v>440</v>
      </c>
      <c r="M7" s="996" t="s">
        <v>441</v>
      </c>
      <c r="N7" s="996" t="s">
        <v>392</v>
      </c>
      <c r="O7" s="996" t="s">
        <v>393</v>
      </c>
      <c r="P7" s="995" t="s">
        <v>394</v>
      </c>
      <c r="Q7" s="995" t="s">
        <v>395</v>
      </c>
      <c r="R7" s="996" t="s">
        <v>396</v>
      </c>
      <c r="S7" s="996" t="s">
        <v>397</v>
      </c>
      <c r="T7" s="997" t="s">
        <v>398</v>
      </c>
      <c r="U7" s="998" t="s">
        <v>399</v>
      </c>
      <c r="V7" s="999" t="s">
        <v>845</v>
      </c>
    </row>
    <row r="8" spans="1:22" s="104" customFormat="1" ht="24">
      <c r="A8" s="92"/>
      <c r="B8" s="93"/>
      <c r="C8" s="965" t="s">
        <v>58</v>
      </c>
      <c r="D8" s="1000" t="s">
        <v>400</v>
      </c>
      <c r="E8" s="1001" t="s">
        <v>59</v>
      </c>
      <c r="F8" s="1002"/>
      <c r="G8" s="1003">
        <f>34989435+6600+347826+45939</f>
        <v>35389800</v>
      </c>
      <c r="H8" s="1003">
        <f>8083672+1155+52174-45939</f>
        <v>8091062</v>
      </c>
      <c r="I8" s="1004">
        <f>15275133+16823647+92377+6500</f>
        <v>32197657</v>
      </c>
      <c r="J8" s="1004"/>
      <c r="K8" s="1004"/>
      <c r="L8" s="1004">
        <f>22297000-70000</f>
        <v>22227000</v>
      </c>
      <c r="M8" s="1004">
        <v>100000</v>
      </c>
      <c r="N8" s="1004"/>
      <c r="O8" s="1004"/>
      <c r="P8" s="1004"/>
      <c r="Q8" s="1004"/>
      <c r="R8" s="1003"/>
      <c r="S8" s="1004"/>
      <c r="T8" s="309"/>
      <c r="U8" s="1004"/>
      <c r="V8" s="1005">
        <f aca="true" t="shared" si="0" ref="V8:V49">SUM(G8:U8)</f>
        <v>98005519</v>
      </c>
    </row>
    <row r="9" spans="1:22" s="104" customFormat="1" ht="24">
      <c r="A9" s="92"/>
      <c r="B9" s="93" t="s">
        <v>52</v>
      </c>
      <c r="C9" s="965" t="s">
        <v>55</v>
      </c>
      <c r="D9" s="1006" t="s">
        <v>401</v>
      </c>
      <c r="E9" s="1007" t="s">
        <v>56</v>
      </c>
      <c r="F9" s="1008"/>
      <c r="G9" s="1009"/>
      <c r="H9" s="1009"/>
      <c r="I9" s="309">
        <f>40527704-54000+500000+308085+1143000</f>
        <v>42424789</v>
      </c>
      <c r="J9" s="309"/>
      <c r="K9" s="309"/>
      <c r="L9" s="309">
        <f>42084000-4779000</f>
        <v>37305000</v>
      </c>
      <c r="M9" s="309"/>
      <c r="N9" s="309"/>
      <c r="O9" s="309"/>
      <c r="P9" s="309"/>
      <c r="Q9" s="309"/>
      <c r="R9" s="1009">
        <f>452341169+4790554-13005804</f>
        <v>444125919</v>
      </c>
      <c r="S9" s="309">
        <f>8794813-5098639</f>
        <v>3696174</v>
      </c>
      <c r="T9" s="309">
        <v>449520</v>
      </c>
      <c r="U9" s="309"/>
      <c r="V9" s="1005">
        <f t="shared" si="0"/>
        <v>528001402</v>
      </c>
    </row>
    <row r="10" spans="1:22" s="104" customFormat="1" ht="23.25" customHeight="1">
      <c r="A10" s="92"/>
      <c r="B10" s="93"/>
      <c r="C10" s="965" t="s">
        <v>629</v>
      </c>
      <c r="D10" s="1006" t="s">
        <v>402</v>
      </c>
      <c r="E10" s="1007" t="s">
        <v>630</v>
      </c>
      <c r="F10" s="1008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309"/>
      <c r="T10" s="309"/>
      <c r="U10" s="309">
        <v>19299537</v>
      </c>
      <c r="V10" s="1005">
        <f t="shared" si="0"/>
        <v>19299537</v>
      </c>
    </row>
    <row r="11" spans="1:22" s="104" customFormat="1" ht="24">
      <c r="A11" s="92">
        <v>20215</v>
      </c>
      <c r="B11" s="93" t="s">
        <v>55</v>
      </c>
      <c r="C11" s="965" t="s">
        <v>63</v>
      </c>
      <c r="D11" s="1006" t="s">
        <v>403</v>
      </c>
      <c r="E11" s="1007" t="s">
        <v>64</v>
      </c>
      <c r="F11" s="1008"/>
      <c r="G11" s="1009"/>
      <c r="H11" s="1009"/>
      <c r="I11" s="309"/>
      <c r="J11" s="309"/>
      <c r="K11" s="309"/>
      <c r="L11" s="309">
        <v>12311385</v>
      </c>
      <c r="M11" s="309"/>
      <c r="N11" s="309"/>
      <c r="O11" s="309"/>
      <c r="P11" s="309"/>
      <c r="Q11" s="309"/>
      <c r="R11" s="1009"/>
      <c r="S11" s="309"/>
      <c r="T11" s="309"/>
      <c r="U11" s="309"/>
      <c r="V11" s="1005">
        <f t="shared" si="0"/>
        <v>12311385</v>
      </c>
    </row>
    <row r="12" spans="1:22" s="104" customFormat="1" ht="24">
      <c r="A12" s="92"/>
      <c r="B12" s="93"/>
      <c r="C12" s="965" t="s">
        <v>767</v>
      </c>
      <c r="D12" s="1006" t="s">
        <v>404</v>
      </c>
      <c r="E12" s="1007" t="s">
        <v>761</v>
      </c>
      <c r="F12" s="1008"/>
      <c r="G12" s="1009">
        <f>3693375+11080125</f>
        <v>14773500</v>
      </c>
      <c r="H12" s="1009">
        <f>323170+969525</f>
        <v>1292695</v>
      </c>
      <c r="I12" s="1009">
        <f>4441343</f>
        <v>4441343</v>
      </c>
      <c r="J12" s="1009"/>
      <c r="K12" s="1009"/>
      <c r="L12" s="1009"/>
      <c r="M12" s="1009"/>
      <c r="N12" s="1009"/>
      <c r="O12" s="1009"/>
      <c r="P12" s="1009"/>
      <c r="Q12" s="1009"/>
      <c r="R12" s="1009">
        <f>190500</f>
        <v>190500</v>
      </c>
      <c r="S12" s="309"/>
      <c r="T12" s="1009"/>
      <c r="U12" s="309"/>
      <c r="V12" s="1005">
        <f t="shared" si="0"/>
        <v>20698038</v>
      </c>
    </row>
    <row r="13" spans="1:22" s="104" customFormat="1" ht="24">
      <c r="A13" s="92"/>
      <c r="B13" s="93"/>
      <c r="C13" s="965" t="s">
        <v>768</v>
      </c>
      <c r="D13" s="1006" t="s">
        <v>405</v>
      </c>
      <c r="E13" s="1007" t="s">
        <v>762</v>
      </c>
      <c r="F13" s="1008"/>
      <c r="G13" s="1009">
        <f>12115695+23197320</f>
        <v>35313015</v>
      </c>
      <c r="H13" s="1009">
        <f>1060123+2029806</f>
        <v>3089929</v>
      </c>
      <c r="I13" s="1009">
        <f>52070+1310301</f>
        <v>1362371</v>
      </c>
      <c r="J13" s="1009"/>
      <c r="K13" s="1009"/>
      <c r="L13" s="1009"/>
      <c r="M13" s="1009"/>
      <c r="N13" s="1009"/>
      <c r="O13" s="1009"/>
      <c r="P13" s="1009"/>
      <c r="Q13" s="1009"/>
      <c r="R13" s="1009">
        <f>74295</f>
        <v>74295</v>
      </c>
      <c r="S13" s="309"/>
      <c r="T13" s="1009"/>
      <c r="U13" s="309"/>
      <c r="V13" s="1005">
        <f t="shared" si="0"/>
        <v>39839610</v>
      </c>
    </row>
    <row r="14" spans="1:22" s="104" customFormat="1" ht="22.5" customHeight="1">
      <c r="A14" s="92"/>
      <c r="B14" s="93"/>
      <c r="C14" s="965" t="s">
        <v>631</v>
      </c>
      <c r="D14" s="1006" t="s">
        <v>406</v>
      </c>
      <c r="E14" s="1007" t="s">
        <v>892</v>
      </c>
      <c r="F14" s="1008"/>
      <c r="G14" s="1009"/>
      <c r="H14" s="1009"/>
      <c r="I14" s="1009"/>
      <c r="J14" s="1009"/>
      <c r="K14" s="1009"/>
      <c r="L14" s="1009"/>
      <c r="M14" s="1009"/>
      <c r="N14" s="1009"/>
      <c r="O14" s="1009"/>
      <c r="P14" s="1009"/>
      <c r="Q14" s="1009"/>
      <c r="R14" s="1009">
        <f>25000000-20000000</f>
        <v>5000000</v>
      </c>
      <c r="S14" s="309"/>
      <c r="T14" s="1009"/>
      <c r="U14" s="309"/>
      <c r="V14" s="1005">
        <f t="shared" si="0"/>
        <v>5000000</v>
      </c>
    </row>
    <row r="15" spans="2:22" ht="24">
      <c r="B15" s="93" t="s">
        <v>58</v>
      </c>
      <c r="C15" s="965" t="s">
        <v>53</v>
      </c>
      <c r="D15" s="1006" t="s">
        <v>407</v>
      </c>
      <c r="E15" s="1007" t="s">
        <v>535</v>
      </c>
      <c r="F15" s="1008"/>
      <c r="G15" s="1009"/>
      <c r="H15" s="1009"/>
      <c r="I15" s="309">
        <v>15377340</v>
      </c>
      <c r="J15" s="309"/>
      <c r="K15" s="309"/>
      <c r="L15" s="309"/>
      <c r="M15" s="309"/>
      <c r="N15" s="309"/>
      <c r="O15" s="309"/>
      <c r="P15" s="309"/>
      <c r="Q15" s="309"/>
      <c r="R15" s="309">
        <v>363120</v>
      </c>
      <c r="S15" s="309"/>
      <c r="T15" s="309"/>
      <c r="U15" s="309"/>
      <c r="V15" s="1005">
        <f t="shared" si="0"/>
        <v>15740460</v>
      </c>
    </row>
    <row r="16" spans="2:22" ht="24">
      <c r="B16" s="93" t="s">
        <v>60</v>
      </c>
      <c r="C16" s="965" t="s">
        <v>65</v>
      </c>
      <c r="D16" s="1006" t="s">
        <v>408</v>
      </c>
      <c r="E16" s="1007" t="s">
        <v>66</v>
      </c>
      <c r="F16" s="1008"/>
      <c r="G16" s="1009"/>
      <c r="H16" s="1009"/>
      <c r="I16" s="309">
        <v>5249710</v>
      </c>
      <c r="J16" s="309"/>
      <c r="K16" s="309"/>
      <c r="L16" s="309"/>
      <c r="M16" s="309"/>
      <c r="N16" s="309"/>
      <c r="O16" s="309"/>
      <c r="P16" s="309"/>
      <c r="Q16" s="309"/>
      <c r="R16" s="309">
        <f>101682090-3817843</f>
        <v>97864247</v>
      </c>
      <c r="S16" s="309"/>
      <c r="T16" s="309"/>
      <c r="U16" s="309"/>
      <c r="V16" s="1005">
        <f t="shared" si="0"/>
        <v>103113957</v>
      </c>
    </row>
    <row r="17" spans="3:22" ht="24">
      <c r="C17" s="965" t="s">
        <v>839</v>
      </c>
      <c r="D17" s="1006" t="s">
        <v>409</v>
      </c>
      <c r="E17" s="1007" t="s">
        <v>821</v>
      </c>
      <c r="F17" s="1010"/>
      <c r="G17" s="1009"/>
      <c r="H17" s="1009"/>
      <c r="I17" s="309">
        <v>4571244</v>
      </c>
      <c r="J17" s="309"/>
      <c r="K17" s="309"/>
      <c r="L17" s="309"/>
      <c r="M17" s="309"/>
      <c r="N17" s="309"/>
      <c r="O17" s="309"/>
      <c r="P17" s="309"/>
      <c r="Q17" s="309"/>
      <c r="R17" s="309">
        <v>187978206</v>
      </c>
      <c r="S17" s="309"/>
      <c r="T17" s="309"/>
      <c r="U17" s="309"/>
      <c r="V17" s="1005">
        <f t="shared" si="0"/>
        <v>192549450</v>
      </c>
    </row>
    <row r="18" spans="1:22" ht="24">
      <c r="A18" s="92">
        <v>751791</v>
      </c>
      <c r="B18" s="93" t="s">
        <v>61</v>
      </c>
      <c r="C18" s="965" t="s">
        <v>49</v>
      </c>
      <c r="D18" s="1006" t="s">
        <v>410</v>
      </c>
      <c r="E18" s="1007" t="s">
        <v>50</v>
      </c>
      <c r="F18" s="1010"/>
      <c r="G18" s="309"/>
      <c r="H18" s="1009"/>
      <c r="I18" s="309">
        <v>3416864</v>
      </c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1005">
        <f t="shared" si="0"/>
        <v>3416864</v>
      </c>
    </row>
    <row r="19" spans="1:22" ht="24">
      <c r="A19" s="92">
        <v>751834</v>
      </c>
      <c r="B19" s="93" t="s">
        <v>62</v>
      </c>
      <c r="C19" s="965" t="s">
        <v>51</v>
      </c>
      <c r="D19" s="1006" t="s">
        <v>411</v>
      </c>
      <c r="E19" s="1007" t="s">
        <v>377</v>
      </c>
      <c r="F19" s="1008"/>
      <c r="G19" s="1009"/>
      <c r="H19" s="1009"/>
      <c r="I19" s="309">
        <v>9798424</v>
      </c>
      <c r="J19" s="309"/>
      <c r="K19" s="309"/>
      <c r="L19" s="309"/>
      <c r="M19" s="309"/>
      <c r="N19" s="309"/>
      <c r="O19" s="309"/>
      <c r="P19" s="309"/>
      <c r="Q19" s="309"/>
      <c r="R19" s="309">
        <v>1000000</v>
      </c>
      <c r="S19" s="309"/>
      <c r="T19" s="309"/>
      <c r="U19" s="309"/>
      <c r="V19" s="1005">
        <f t="shared" si="0"/>
        <v>10798424</v>
      </c>
    </row>
    <row r="20" spans="3:22" ht="24">
      <c r="C20" s="965" t="s">
        <v>52</v>
      </c>
      <c r="D20" s="1006" t="s">
        <v>412</v>
      </c>
      <c r="E20" s="1007" t="s">
        <v>822</v>
      </c>
      <c r="F20" s="1008"/>
      <c r="G20" s="1009"/>
      <c r="H20" s="1009"/>
      <c r="I20" s="309">
        <v>4276480</v>
      </c>
      <c r="J20" s="309"/>
      <c r="K20" s="309"/>
      <c r="L20" s="309"/>
      <c r="M20" s="309"/>
      <c r="N20" s="309"/>
      <c r="O20" s="309"/>
      <c r="P20" s="309"/>
      <c r="Q20" s="309"/>
      <c r="R20" s="1009">
        <v>1940000</v>
      </c>
      <c r="S20" s="309"/>
      <c r="T20" s="309">
        <v>5000000</v>
      </c>
      <c r="U20" s="309"/>
      <c r="V20" s="1005">
        <f t="shared" si="0"/>
        <v>11216480</v>
      </c>
    </row>
    <row r="21" spans="3:22" ht="24">
      <c r="C21" s="965" t="s">
        <v>840</v>
      </c>
      <c r="D21" s="1006" t="s">
        <v>413</v>
      </c>
      <c r="E21" s="1007" t="s">
        <v>823</v>
      </c>
      <c r="F21" s="1008"/>
      <c r="G21" s="1009"/>
      <c r="H21" s="1009"/>
      <c r="I21" s="309">
        <v>1377000</v>
      </c>
      <c r="J21" s="309"/>
      <c r="K21" s="309"/>
      <c r="L21" s="309"/>
      <c r="M21" s="309"/>
      <c r="N21" s="309"/>
      <c r="O21" s="309"/>
      <c r="P21" s="309"/>
      <c r="Q21" s="309"/>
      <c r="R21" s="1009"/>
      <c r="S21" s="309">
        <v>21830061</v>
      </c>
      <c r="T21" s="309"/>
      <c r="U21" s="309"/>
      <c r="V21" s="1005">
        <f t="shared" si="0"/>
        <v>23207061</v>
      </c>
    </row>
    <row r="22" spans="3:22" ht="24">
      <c r="C22" s="965" t="s">
        <v>951</v>
      </c>
      <c r="D22" s="1006" t="s">
        <v>414</v>
      </c>
      <c r="E22" s="1007" t="s">
        <v>893</v>
      </c>
      <c r="F22" s="1008"/>
      <c r="G22" s="1009">
        <v>1044000</v>
      </c>
      <c r="H22" s="1009">
        <v>164430</v>
      </c>
      <c r="I22" s="309">
        <f>640554-254000</f>
        <v>386554</v>
      </c>
      <c r="J22" s="309"/>
      <c r="K22" s="309"/>
      <c r="L22" s="309"/>
      <c r="M22" s="309"/>
      <c r="N22" s="309"/>
      <c r="O22" s="309"/>
      <c r="P22" s="309"/>
      <c r="Q22" s="309"/>
      <c r="R22" s="1009">
        <v>973100</v>
      </c>
      <c r="S22" s="309"/>
      <c r="T22" s="309"/>
      <c r="U22" s="309"/>
      <c r="V22" s="1005">
        <f t="shared" si="0"/>
        <v>2568084</v>
      </c>
    </row>
    <row r="23" spans="3:22" ht="24">
      <c r="C23" s="965" t="s">
        <v>841</v>
      </c>
      <c r="D23" s="1006" t="s">
        <v>415</v>
      </c>
      <c r="E23" s="1007" t="s">
        <v>824</v>
      </c>
      <c r="F23" s="1008"/>
      <c r="G23" s="1009">
        <v>609406</v>
      </c>
      <c r="H23" s="1009">
        <v>143206</v>
      </c>
      <c r="I23" s="309">
        <v>4667808</v>
      </c>
      <c r="J23" s="309"/>
      <c r="K23" s="309"/>
      <c r="L23" s="309"/>
      <c r="M23" s="309"/>
      <c r="N23" s="309"/>
      <c r="O23" s="309"/>
      <c r="P23" s="309"/>
      <c r="Q23" s="309"/>
      <c r="R23" s="1009">
        <f>19510500-1730500-17780000</f>
        <v>0</v>
      </c>
      <c r="S23" s="309">
        <f>91442680+863600</f>
        <v>92306280</v>
      </c>
      <c r="T23" s="309"/>
      <c r="U23" s="309"/>
      <c r="V23" s="1005">
        <f t="shared" si="0"/>
        <v>97726700</v>
      </c>
    </row>
    <row r="24" spans="3:22" ht="24" customHeight="1">
      <c r="C24" s="965" t="s">
        <v>763</v>
      </c>
      <c r="D24" s="1006" t="s">
        <v>416</v>
      </c>
      <c r="E24" s="1007" t="s">
        <v>764</v>
      </c>
      <c r="F24" s="1008"/>
      <c r="G24" s="1009"/>
      <c r="H24" s="309"/>
      <c r="I24" s="309">
        <v>416194</v>
      </c>
      <c r="J24" s="309"/>
      <c r="K24" s="309"/>
      <c r="L24" s="309"/>
      <c r="M24" s="309"/>
      <c r="N24" s="309"/>
      <c r="O24" s="309"/>
      <c r="P24" s="309"/>
      <c r="Q24" s="309"/>
      <c r="R24" s="1009"/>
      <c r="S24" s="309">
        <v>6759599</v>
      </c>
      <c r="T24" s="309"/>
      <c r="U24" s="309"/>
      <c r="V24" s="1005">
        <f t="shared" si="0"/>
        <v>7175793</v>
      </c>
    </row>
    <row r="25" spans="1:22" ht="24" customHeight="1">
      <c r="A25" s="92">
        <v>751966</v>
      </c>
      <c r="B25" s="93" t="s">
        <v>63</v>
      </c>
      <c r="C25" s="965" t="s">
        <v>61</v>
      </c>
      <c r="D25" s="1006" t="s">
        <v>417</v>
      </c>
      <c r="E25" s="1007" t="s">
        <v>380</v>
      </c>
      <c r="F25" s="1008"/>
      <c r="G25" s="1009"/>
      <c r="H25" s="309"/>
      <c r="I25" s="309">
        <v>24094440</v>
      </c>
      <c r="J25" s="309"/>
      <c r="K25" s="309"/>
      <c r="L25" s="309"/>
      <c r="M25" s="309"/>
      <c r="N25" s="309"/>
      <c r="O25" s="309"/>
      <c r="P25" s="309"/>
      <c r="Q25" s="309"/>
      <c r="R25" s="1009"/>
      <c r="S25" s="309">
        <v>2794000</v>
      </c>
      <c r="T25" s="309"/>
      <c r="U25" s="309"/>
      <c r="V25" s="1005">
        <f t="shared" si="0"/>
        <v>26888440</v>
      </c>
    </row>
    <row r="26" spans="1:22" ht="24" customHeight="1">
      <c r="A26" s="92">
        <v>751999</v>
      </c>
      <c r="B26" s="93" t="s">
        <v>65</v>
      </c>
      <c r="C26" s="965" t="s">
        <v>57</v>
      </c>
      <c r="D26" s="1006" t="s">
        <v>418</v>
      </c>
      <c r="E26" s="1007" t="s">
        <v>536</v>
      </c>
      <c r="F26" s="1008"/>
      <c r="G26" s="1009"/>
      <c r="H26" s="1009"/>
      <c r="I26" s="309">
        <v>2640000</v>
      </c>
      <c r="J26" s="309"/>
      <c r="K26" s="309"/>
      <c r="L26" s="309">
        <f>32277000-1444000</f>
        <v>30833000</v>
      </c>
      <c r="M26" s="309"/>
      <c r="N26" s="309"/>
      <c r="O26" s="309"/>
      <c r="P26" s="309"/>
      <c r="Q26" s="309"/>
      <c r="R26" s="1009"/>
      <c r="S26" s="309"/>
      <c r="T26" s="309"/>
      <c r="U26" s="309"/>
      <c r="V26" s="1005">
        <f t="shared" si="0"/>
        <v>33473000</v>
      </c>
    </row>
    <row r="27" spans="2:23" ht="24">
      <c r="B27" s="93" t="s">
        <v>67</v>
      </c>
      <c r="C27" s="965" t="s">
        <v>62</v>
      </c>
      <c r="D27" s="1006" t="s">
        <v>419</v>
      </c>
      <c r="E27" s="1007" t="s">
        <v>537</v>
      </c>
      <c r="F27" s="1008"/>
      <c r="G27" s="1009">
        <f>25000+33000</f>
        <v>58000</v>
      </c>
      <c r="H27" s="1009">
        <f>3938+5197</f>
        <v>9135</v>
      </c>
      <c r="I27" s="309">
        <v>14028933</v>
      </c>
      <c r="J27" s="309"/>
      <c r="K27" s="309"/>
      <c r="L27" s="309">
        <f>14018000-6364000-3280000</f>
        <v>4374000</v>
      </c>
      <c r="M27" s="309"/>
      <c r="N27" s="309"/>
      <c r="O27" s="309"/>
      <c r="P27" s="309"/>
      <c r="Q27" s="309"/>
      <c r="R27" s="1009">
        <v>3348220</v>
      </c>
      <c r="S27" s="309">
        <v>2000000</v>
      </c>
      <c r="T27" s="309"/>
      <c r="U27" s="309"/>
      <c r="V27" s="1005">
        <f t="shared" si="0"/>
        <v>23818288</v>
      </c>
      <c r="W27" s="105"/>
    </row>
    <row r="28" spans="2:23" ht="24" customHeight="1">
      <c r="B28" s="93" t="s">
        <v>68</v>
      </c>
      <c r="C28" s="965" t="s">
        <v>68</v>
      </c>
      <c r="D28" s="1011" t="s">
        <v>899</v>
      </c>
      <c r="E28" s="1007" t="s">
        <v>382</v>
      </c>
      <c r="F28" s="1012"/>
      <c r="G28" s="309"/>
      <c r="H28" s="309"/>
      <c r="I28" s="309">
        <v>360000</v>
      </c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1005">
        <f t="shared" si="0"/>
        <v>360000</v>
      </c>
      <c r="W28" s="105"/>
    </row>
    <row r="29" spans="2:24" ht="24" customHeight="1">
      <c r="B29" s="93" t="s">
        <v>69</v>
      </c>
      <c r="C29" s="965" t="s">
        <v>69</v>
      </c>
      <c r="D29" s="1011"/>
      <c r="E29" s="1007" t="s">
        <v>383</v>
      </c>
      <c r="F29" s="1012"/>
      <c r="G29" s="309"/>
      <c r="H29" s="309"/>
      <c r="I29" s="309">
        <v>27644450</v>
      </c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1005">
        <f t="shared" si="0"/>
        <v>27644450</v>
      </c>
      <c r="X29" s="92" t="s">
        <v>734</v>
      </c>
    </row>
    <row r="30" spans="1:24" ht="24" customHeight="1">
      <c r="A30" s="92">
        <v>851286</v>
      </c>
      <c r="B30" s="93" t="s">
        <v>70</v>
      </c>
      <c r="C30" s="965" t="s">
        <v>70</v>
      </c>
      <c r="D30" s="1011"/>
      <c r="E30" s="1007" t="s">
        <v>384</v>
      </c>
      <c r="F30" s="1012"/>
      <c r="G30" s="309"/>
      <c r="H30" s="309"/>
      <c r="I30" s="309">
        <v>120000</v>
      </c>
      <c r="J30" s="309"/>
      <c r="K30" s="309"/>
      <c r="L30" s="309">
        <v>2626200</v>
      </c>
      <c r="M30" s="309"/>
      <c r="N30" s="309"/>
      <c r="O30" s="309"/>
      <c r="P30" s="309"/>
      <c r="Q30" s="309"/>
      <c r="R30" s="309"/>
      <c r="S30" s="309"/>
      <c r="T30" s="309"/>
      <c r="U30" s="309"/>
      <c r="V30" s="1005">
        <f t="shared" si="0"/>
        <v>2746200</v>
      </c>
      <c r="X30" s="105">
        <f>SUM(V28:V31)</f>
        <v>68967887</v>
      </c>
    </row>
    <row r="31" spans="1:22" s="104" customFormat="1" ht="27" customHeight="1">
      <c r="A31" s="92">
        <v>851297</v>
      </c>
      <c r="B31" s="93" t="s">
        <v>71</v>
      </c>
      <c r="C31" s="965" t="s">
        <v>71</v>
      </c>
      <c r="D31" s="1011"/>
      <c r="E31" s="1007" t="s">
        <v>443</v>
      </c>
      <c r="F31" s="1012"/>
      <c r="G31" s="309">
        <f>27396716+2500000</f>
        <v>29896716</v>
      </c>
      <c r="H31" s="309">
        <f>4793101+387500</f>
        <v>5180601</v>
      </c>
      <c r="I31" s="309">
        <v>2949420</v>
      </c>
      <c r="J31" s="309"/>
      <c r="K31" s="309"/>
      <c r="L31" s="309"/>
      <c r="M31" s="309"/>
      <c r="N31" s="309"/>
      <c r="O31" s="309"/>
      <c r="P31" s="309"/>
      <c r="Q31" s="309"/>
      <c r="R31" s="309">
        <v>190500</v>
      </c>
      <c r="S31" s="309"/>
      <c r="T31" s="309"/>
      <c r="U31" s="309"/>
      <c r="V31" s="1005">
        <f t="shared" si="0"/>
        <v>38217237</v>
      </c>
    </row>
    <row r="32" spans="1:22" s="104" customFormat="1" ht="24" customHeight="1">
      <c r="A32" s="92">
        <v>853322</v>
      </c>
      <c r="B32" s="93" t="s">
        <v>72</v>
      </c>
      <c r="C32" s="965" t="s">
        <v>1046</v>
      </c>
      <c r="D32" s="1006" t="s">
        <v>421</v>
      </c>
      <c r="E32" s="1007" t="s">
        <v>1047</v>
      </c>
      <c r="F32" s="1013"/>
      <c r="G32" s="309"/>
      <c r="H32" s="309"/>
      <c r="I32" s="309">
        <f>600000+1275000</f>
        <v>1875000</v>
      </c>
      <c r="J32" s="309"/>
      <c r="K32" s="309"/>
      <c r="L32" s="309"/>
      <c r="M32" s="309"/>
      <c r="N32" s="309"/>
      <c r="O32" s="309"/>
      <c r="P32" s="309"/>
      <c r="Q32" s="309"/>
      <c r="R32" s="309">
        <f>400000+100000</f>
        <v>500000</v>
      </c>
      <c r="S32" s="309"/>
      <c r="T32" s="309"/>
      <c r="U32" s="309"/>
      <c r="V32" s="1005">
        <f t="shared" si="0"/>
        <v>2375000</v>
      </c>
    </row>
    <row r="33" spans="1:22" s="104" customFormat="1" ht="24" customHeight="1">
      <c r="A33" s="92"/>
      <c r="B33" s="93"/>
      <c r="C33" s="965" t="s">
        <v>80</v>
      </c>
      <c r="D33" s="1006" t="s">
        <v>487</v>
      </c>
      <c r="E33" s="1007" t="s">
        <v>81</v>
      </c>
      <c r="F33" s="1013"/>
      <c r="G33" s="309"/>
      <c r="H33" s="309"/>
      <c r="I33" s="309">
        <v>1500000</v>
      </c>
      <c r="J33" s="309"/>
      <c r="K33" s="309"/>
      <c r="L33" s="309">
        <f>16949000</f>
        <v>16949000</v>
      </c>
      <c r="M33" s="309"/>
      <c r="N33" s="309"/>
      <c r="O33" s="309"/>
      <c r="P33" s="309"/>
      <c r="Q33" s="309"/>
      <c r="R33" s="309"/>
      <c r="S33" s="309"/>
      <c r="T33" s="309"/>
      <c r="U33" s="309"/>
      <c r="V33" s="1005">
        <f t="shared" si="0"/>
        <v>18449000</v>
      </c>
    </row>
    <row r="34" spans="1:22" s="104" customFormat="1" ht="24">
      <c r="A34" s="92"/>
      <c r="B34" s="93" t="s">
        <v>73</v>
      </c>
      <c r="C34" s="965" t="s">
        <v>54</v>
      </c>
      <c r="D34" s="1006" t="s">
        <v>488</v>
      </c>
      <c r="E34" s="1007" t="s">
        <v>825</v>
      </c>
      <c r="F34" s="1013"/>
      <c r="G34" s="309"/>
      <c r="H34" s="309"/>
      <c r="I34" s="309"/>
      <c r="J34" s="309"/>
      <c r="K34" s="309"/>
      <c r="L34" s="309"/>
      <c r="M34" s="309">
        <v>15000</v>
      </c>
      <c r="N34" s="309"/>
      <c r="O34" s="309"/>
      <c r="P34" s="309"/>
      <c r="Q34" s="309"/>
      <c r="R34" s="309"/>
      <c r="S34" s="309"/>
      <c r="T34" s="309"/>
      <c r="U34" s="309"/>
      <c r="V34" s="1005">
        <f t="shared" si="0"/>
        <v>15000</v>
      </c>
    </row>
    <row r="35" spans="2:24" ht="20.25" customHeight="1">
      <c r="B35" s="93" t="s">
        <v>75</v>
      </c>
      <c r="C35" s="965" t="s">
        <v>534</v>
      </c>
      <c r="D35" s="1006" t="s">
        <v>489</v>
      </c>
      <c r="E35" s="1014" t="s">
        <v>604</v>
      </c>
      <c r="F35" s="1013"/>
      <c r="G35" s="309">
        <v>80000</v>
      </c>
      <c r="H35" s="309">
        <v>38963</v>
      </c>
      <c r="I35" s="309">
        <v>1830220</v>
      </c>
      <c r="J35" s="309"/>
      <c r="K35" s="309"/>
      <c r="L35" s="309"/>
      <c r="M35" s="309"/>
      <c r="N35" s="309"/>
      <c r="O35" s="309"/>
      <c r="P35" s="309"/>
      <c r="Q35" s="309"/>
      <c r="R35" s="309">
        <v>730250</v>
      </c>
      <c r="S35" s="309"/>
      <c r="T35" s="309"/>
      <c r="U35" s="309"/>
      <c r="V35" s="1005">
        <f t="shared" si="0"/>
        <v>2679433</v>
      </c>
      <c r="X35" s="105">
        <f>SUM(V35:V35)</f>
        <v>2679433</v>
      </c>
    </row>
    <row r="36" spans="3:24" ht="27" customHeight="1">
      <c r="C36" s="965" t="s">
        <v>842</v>
      </c>
      <c r="D36" s="1015" t="s">
        <v>468</v>
      </c>
      <c r="E36" s="1007" t="s">
        <v>83</v>
      </c>
      <c r="F36" s="1012"/>
      <c r="G36" s="309"/>
      <c r="H36" s="309"/>
      <c r="I36" s="309">
        <v>73660</v>
      </c>
      <c r="J36" s="309"/>
      <c r="K36" s="1016"/>
      <c r="L36" s="1016"/>
      <c r="M36" s="309"/>
      <c r="N36" s="309"/>
      <c r="O36" s="309"/>
      <c r="P36" s="309"/>
      <c r="Q36" s="309"/>
      <c r="R36" s="309"/>
      <c r="S36" s="309"/>
      <c r="T36" s="309"/>
      <c r="U36" s="309"/>
      <c r="V36" s="1005">
        <f t="shared" si="0"/>
        <v>73660</v>
      </c>
      <c r="X36" s="105"/>
    </row>
    <row r="37" spans="3:24" ht="26.25" customHeight="1">
      <c r="C37" s="965" t="s">
        <v>843</v>
      </c>
      <c r="D37" s="1015" t="s">
        <v>490</v>
      </c>
      <c r="E37" s="1007" t="s">
        <v>826</v>
      </c>
      <c r="F37" s="1012"/>
      <c r="G37" s="309">
        <v>5400000</v>
      </c>
      <c r="H37" s="309">
        <v>927500</v>
      </c>
      <c r="I37" s="309">
        <v>5902169</v>
      </c>
      <c r="J37" s="309"/>
      <c r="K37" s="1016"/>
      <c r="L37" s="1016"/>
      <c r="M37" s="309"/>
      <c r="N37" s="309"/>
      <c r="O37" s="309"/>
      <c r="P37" s="309"/>
      <c r="Q37" s="309"/>
      <c r="R37" s="309"/>
      <c r="S37" s="309"/>
      <c r="T37" s="309"/>
      <c r="U37" s="309"/>
      <c r="V37" s="1005">
        <f t="shared" si="0"/>
        <v>12229669</v>
      </c>
      <c r="X37" s="105"/>
    </row>
    <row r="38" spans="3:24" ht="24.75" customHeight="1">
      <c r="C38" s="965" t="s">
        <v>67</v>
      </c>
      <c r="D38" s="1015" t="s">
        <v>1048</v>
      </c>
      <c r="E38" s="1007" t="s">
        <v>827</v>
      </c>
      <c r="F38" s="1012"/>
      <c r="G38" s="309"/>
      <c r="H38" s="309"/>
      <c r="I38" s="309"/>
      <c r="J38" s="309"/>
      <c r="K38" s="1016"/>
      <c r="L38" s="1016"/>
      <c r="M38" s="309"/>
      <c r="N38" s="309"/>
      <c r="O38" s="309"/>
      <c r="P38" s="309"/>
      <c r="Q38" s="309"/>
      <c r="R38" s="309"/>
      <c r="S38" s="309">
        <v>31599998</v>
      </c>
      <c r="T38" s="309"/>
      <c r="U38" s="309"/>
      <c r="V38" s="1005">
        <f t="shared" si="0"/>
        <v>31599998</v>
      </c>
      <c r="X38" s="105"/>
    </row>
    <row r="39" spans="3:22" ht="24">
      <c r="C39" s="965" t="s">
        <v>844</v>
      </c>
      <c r="D39" s="1015" t="s">
        <v>423</v>
      </c>
      <c r="E39" s="1007" t="s">
        <v>828</v>
      </c>
      <c r="F39" s="1012"/>
      <c r="G39" s="309">
        <f>8650000+5000000</f>
        <v>13650000</v>
      </c>
      <c r="H39" s="309">
        <f>1409909+875000</f>
        <v>2284909</v>
      </c>
      <c r="I39" s="309">
        <f>2242300+18063936</f>
        <v>20306236</v>
      </c>
      <c r="J39" s="309"/>
      <c r="K39" s="1016"/>
      <c r="L39" s="1016"/>
      <c r="M39" s="309"/>
      <c r="N39" s="309"/>
      <c r="O39" s="309"/>
      <c r="P39" s="309"/>
      <c r="Q39" s="309"/>
      <c r="R39" s="309"/>
      <c r="S39" s="309"/>
      <c r="T39" s="309"/>
      <c r="U39" s="309"/>
      <c r="V39" s="1005">
        <f t="shared" si="0"/>
        <v>36241145</v>
      </c>
    </row>
    <row r="40" spans="2:22" ht="24" customHeight="1">
      <c r="B40" s="93" t="s">
        <v>76</v>
      </c>
      <c r="C40" s="965" t="s">
        <v>636</v>
      </c>
      <c r="D40" s="1015" t="s">
        <v>424</v>
      </c>
      <c r="E40" s="1007" t="s">
        <v>637</v>
      </c>
      <c r="F40" s="1012"/>
      <c r="G40" s="309">
        <v>2543600</v>
      </c>
      <c r="H40" s="309">
        <v>445130</v>
      </c>
      <c r="I40" s="309">
        <v>57876511</v>
      </c>
      <c r="J40" s="309"/>
      <c r="K40" s="309"/>
      <c r="L40" s="309"/>
      <c r="M40" s="309"/>
      <c r="N40" s="309"/>
      <c r="O40" s="309"/>
      <c r="P40" s="309"/>
      <c r="Q40" s="309"/>
      <c r="R40" s="309">
        <v>74930</v>
      </c>
      <c r="S40" s="309"/>
      <c r="T40" s="309"/>
      <c r="U40" s="309"/>
      <c r="V40" s="1005">
        <f t="shared" si="0"/>
        <v>60940171</v>
      </c>
    </row>
    <row r="41" spans="3:22" ht="24">
      <c r="C41" s="965" t="s">
        <v>633</v>
      </c>
      <c r="D41" s="1015" t="s">
        <v>491</v>
      </c>
      <c r="E41" s="1007" t="s">
        <v>634</v>
      </c>
      <c r="F41" s="1012"/>
      <c r="G41" s="309"/>
      <c r="H41" s="309"/>
      <c r="I41" s="309">
        <v>11650000</v>
      </c>
      <c r="J41" s="309"/>
      <c r="K41" s="309"/>
      <c r="L41" s="309">
        <v>10000000</v>
      </c>
      <c r="M41" s="309"/>
      <c r="N41" s="309"/>
      <c r="O41" s="309"/>
      <c r="P41" s="309"/>
      <c r="Q41" s="309"/>
      <c r="R41" s="309"/>
      <c r="S41" s="309"/>
      <c r="T41" s="309"/>
      <c r="U41" s="309"/>
      <c r="V41" s="1005">
        <f t="shared" si="0"/>
        <v>21650000</v>
      </c>
    </row>
    <row r="42" spans="3:24" ht="24" customHeight="1">
      <c r="C42" s="965" t="s">
        <v>638</v>
      </c>
      <c r="D42" s="1015" t="s">
        <v>425</v>
      </c>
      <c r="E42" s="1007" t="s">
        <v>639</v>
      </c>
      <c r="F42" s="1012"/>
      <c r="G42" s="309"/>
      <c r="H42" s="309"/>
      <c r="I42" s="309">
        <v>1812600</v>
      </c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1005">
        <f t="shared" si="0"/>
        <v>1812600</v>
      </c>
      <c r="X42" s="105">
        <f>SUM(V40:V43)</f>
        <v>151088760</v>
      </c>
    </row>
    <row r="43" spans="2:22" ht="24" customHeight="1">
      <c r="B43" s="93" t="s">
        <v>78</v>
      </c>
      <c r="C43" s="965" t="s">
        <v>76</v>
      </c>
      <c r="D43" s="1015" t="s">
        <v>442</v>
      </c>
      <c r="E43" s="1007" t="s">
        <v>765</v>
      </c>
      <c r="F43" s="1012"/>
      <c r="G43" s="309">
        <v>24650000</v>
      </c>
      <c r="H43" s="309">
        <v>4900455</v>
      </c>
      <c r="I43" s="309">
        <f>17254444+13881090</f>
        <v>31135534</v>
      </c>
      <c r="J43" s="309"/>
      <c r="K43" s="309"/>
      <c r="L43" s="309"/>
      <c r="M43" s="309"/>
      <c r="N43" s="309"/>
      <c r="O43" s="309"/>
      <c r="P43" s="309"/>
      <c r="Q43" s="309"/>
      <c r="R43" s="309">
        <v>6000000</v>
      </c>
      <c r="S43" s="309"/>
      <c r="T43" s="309"/>
      <c r="U43" s="309"/>
      <c r="V43" s="1005">
        <f t="shared" si="0"/>
        <v>66685989</v>
      </c>
    </row>
    <row r="44" spans="3:22" ht="24" customHeight="1">
      <c r="C44" s="965" t="s">
        <v>74</v>
      </c>
      <c r="D44" s="1015" t="s">
        <v>492</v>
      </c>
      <c r="E44" s="1007" t="s">
        <v>464</v>
      </c>
      <c r="F44" s="1012"/>
      <c r="G44" s="309">
        <f>1344830</f>
        <v>1344830</v>
      </c>
      <c r="H44" s="309">
        <f>208449</f>
        <v>208449</v>
      </c>
      <c r="I44" s="309">
        <f>2600000+17596440</f>
        <v>20196440</v>
      </c>
      <c r="J44" s="309"/>
      <c r="K44" s="309"/>
      <c r="L44" s="309">
        <f>2032000-1016000</f>
        <v>1016000</v>
      </c>
      <c r="M44" s="309"/>
      <c r="N44" s="309"/>
      <c r="O44" s="309"/>
      <c r="P44" s="309"/>
      <c r="Q44" s="309"/>
      <c r="R44" s="309">
        <v>560000</v>
      </c>
      <c r="S44" s="309"/>
      <c r="T44" s="309"/>
      <c r="U44" s="309"/>
      <c r="V44" s="1005">
        <f t="shared" si="0"/>
        <v>23325719</v>
      </c>
    </row>
    <row r="45" spans="2:22" ht="12">
      <c r="B45" s="93" t="s">
        <v>80</v>
      </c>
      <c r="C45" s="965" t="s">
        <v>829</v>
      </c>
      <c r="D45" s="1015" t="s">
        <v>493</v>
      </c>
      <c r="E45" s="1007" t="s">
        <v>830</v>
      </c>
      <c r="F45" s="1012"/>
      <c r="G45" s="309">
        <f>3459090</f>
        <v>3459090</v>
      </c>
      <c r="H45" s="309">
        <f>536159</f>
        <v>536159</v>
      </c>
      <c r="I45" s="309">
        <v>175000</v>
      </c>
      <c r="J45" s="309"/>
      <c r="K45" s="309"/>
      <c r="L45" s="309">
        <f>2286000-1143000</f>
        <v>1143000</v>
      </c>
      <c r="M45" s="309"/>
      <c r="N45" s="309"/>
      <c r="O45" s="309"/>
      <c r="P45" s="309"/>
      <c r="Q45" s="309"/>
      <c r="R45" s="309">
        <v>250000</v>
      </c>
      <c r="S45" s="309"/>
      <c r="T45" s="1017"/>
      <c r="U45" s="309"/>
      <c r="V45" s="1005">
        <f t="shared" si="0"/>
        <v>5563249</v>
      </c>
    </row>
    <row r="46" spans="3:22" ht="24">
      <c r="C46" s="965" t="s">
        <v>77</v>
      </c>
      <c r="D46" s="1015" t="s">
        <v>833</v>
      </c>
      <c r="E46" s="1007" t="s">
        <v>635</v>
      </c>
      <c r="F46" s="1012"/>
      <c r="G46" s="309"/>
      <c r="H46" s="309"/>
      <c r="I46" s="309"/>
      <c r="J46" s="309">
        <v>3804900</v>
      </c>
      <c r="K46" s="309"/>
      <c r="L46" s="309"/>
      <c r="M46" s="309"/>
      <c r="N46" s="309"/>
      <c r="O46" s="309"/>
      <c r="P46" s="309"/>
      <c r="Q46" s="309"/>
      <c r="R46" s="309"/>
      <c r="S46" s="309"/>
      <c r="T46" s="1017"/>
      <c r="U46" s="309"/>
      <c r="V46" s="1005">
        <f t="shared" si="0"/>
        <v>3804900</v>
      </c>
    </row>
    <row r="47" spans="3:22" ht="24">
      <c r="C47" s="965" t="s">
        <v>831</v>
      </c>
      <c r="D47" s="1015" t="s">
        <v>834</v>
      </c>
      <c r="E47" s="1007" t="s">
        <v>832</v>
      </c>
      <c r="F47" s="1018"/>
      <c r="G47" s="1019">
        <f>18342800+1350000+1125000</f>
        <v>20817800</v>
      </c>
      <c r="H47" s="1017">
        <f>3773040+236250+196875</f>
        <v>4206165</v>
      </c>
      <c r="I47" s="1017">
        <f>22523810+60657486</f>
        <v>83181296</v>
      </c>
      <c r="J47" s="1017"/>
      <c r="K47" s="1017"/>
      <c r="L47" s="1017"/>
      <c r="M47" s="1017"/>
      <c r="N47" s="1017"/>
      <c r="O47" s="1017"/>
      <c r="P47" s="1017"/>
      <c r="Q47" s="1017"/>
      <c r="R47" s="1017">
        <v>2460790</v>
      </c>
      <c r="S47" s="1017">
        <v>523290</v>
      </c>
      <c r="T47" s="1019"/>
      <c r="U47" s="1017"/>
      <c r="V47" s="1005">
        <f t="shared" si="0"/>
        <v>111189341</v>
      </c>
    </row>
    <row r="48" spans="3:22" ht="24">
      <c r="C48" s="965"/>
      <c r="D48" s="1015" t="s">
        <v>835</v>
      </c>
      <c r="E48" s="1007" t="s">
        <v>381</v>
      </c>
      <c r="F48" s="1018"/>
      <c r="G48" s="1019"/>
      <c r="H48" s="1017"/>
      <c r="I48" s="1017"/>
      <c r="J48" s="1017"/>
      <c r="K48" s="1017"/>
      <c r="L48" s="1017"/>
      <c r="M48" s="1017"/>
      <c r="N48" s="1017">
        <f>1000000-1000000</f>
        <v>0</v>
      </c>
      <c r="O48" s="1017">
        <v>350000</v>
      </c>
      <c r="P48" s="1017">
        <v>1000000</v>
      </c>
      <c r="Q48" s="1017">
        <v>200000</v>
      </c>
      <c r="R48" s="1017"/>
      <c r="S48" s="1017"/>
      <c r="T48" s="1019"/>
      <c r="U48" s="1017"/>
      <c r="V48" s="1005">
        <f t="shared" si="0"/>
        <v>1550000</v>
      </c>
    </row>
    <row r="49" spans="1:25" s="107" customFormat="1" ht="24" customHeight="1">
      <c r="A49" s="107">
        <v>999997</v>
      </c>
      <c r="B49" s="106"/>
      <c r="C49" s="965" t="s">
        <v>766</v>
      </c>
      <c r="D49" s="1015" t="s">
        <v>836</v>
      </c>
      <c r="E49" s="1020" t="s">
        <v>603</v>
      </c>
      <c r="F49" s="1018"/>
      <c r="G49" s="1019"/>
      <c r="H49" s="1019"/>
      <c r="I49" s="1019">
        <v>8285000</v>
      </c>
      <c r="J49" s="1019"/>
      <c r="K49" s="1019"/>
      <c r="L49" s="1019"/>
      <c r="M49" s="1019"/>
      <c r="N49" s="1019"/>
      <c r="O49" s="1019"/>
      <c r="P49" s="1019"/>
      <c r="Q49" s="1019"/>
      <c r="R49" s="1019"/>
      <c r="S49" s="1019"/>
      <c r="T49" s="1019"/>
      <c r="U49" s="1019"/>
      <c r="V49" s="1005">
        <f t="shared" si="0"/>
        <v>8285000</v>
      </c>
      <c r="W49" s="108">
        <f>SUM(G49:U49)</f>
        <v>8285000</v>
      </c>
      <c r="X49" s="109"/>
      <c r="Y49" s="109"/>
    </row>
    <row r="50" spans="3:22" ht="13.5" thickBot="1">
      <c r="C50" s="1021"/>
      <c r="D50" s="1022" t="s">
        <v>837</v>
      </c>
      <c r="E50" s="1023" t="s">
        <v>365</v>
      </c>
      <c r="F50" s="1024">
        <f>SUM(F8:F46)</f>
        <v>0</v>
      </c>
      <c r="G50" s="1025">
        <f aca="true" t="shared" si="1" ref="G50:V50">SUM(G8:G49)</f>
        <v>189029757</v>
      </c>
      <c r="H50" s="1025">
        <f t="shared" si="1"/>
        <v>31518788</v>
      </c>
      <c r="I50" s="1025">
        <f t="shared" si="1"/>
        <v>447600687</v>
      </c>
      <c r="J50" s="1025">
        <f t="shared" si="1"/>
        <v>3804900</v>
      </c>
      <c r="K50" s="1025">
        <f t="shared" si="1"/>
        <v>0</v>
      </c>
      <c r="L50" s="1025">
        <f t="shared" si="1"/>
        <v>138784585</v>
      </c>
      <c r="M50" s="1025">
        <f t="shared" si="1"/>
        <v>115000</v>
      </c>
      <c r="N50" s="1025">
        <f t="shared" si="1"/>
        <v>0</v>
      </c>
      <c r="O50" s="1025">
        <f t="shared" si="1"/>
        <v>350000</v>
      </c>
      <c r="P50" s="1025">
        <f t="shared" si="1"/>
        <v>1000000</v>
      </c>
      <c r="Q50" s="1025">
        <f t="shared" si="1"/>
        <v>200000</v>
      </c>
      <c r="R50" s="1025">
        <f t="shared" si="1"/>
        <v>753624077</v>
      </c>
      <c r="S50" s="1025">
        <f t="shared" si="1"/>
        <v>161509402</v>
      </c>
      <c r="T50" s="1025">
        <f t="shared" si="1"/>
        <v>5449520</v>
      </c>
      <c r="U50" s="1025">
        <f t="shared" si="1"/>
        <v>19299537</v>
      </c>
      <c r="V50" s="1026">
        <f t="shared" si="1"/>
        <v>1752286253</v>
      </c>
    </row>
    <row r="54" ht="12">
      <c r="F54" s="111"/>
    </row>
    <row r="59" spans="4:5" ht="12.75">
      <c r="D59" s="277">
        <v>18</v>
      </c>
      <c r="E59" s="277" t="s">
        <v>1020</v>
      </c>
    </row>
    <row r="60" spans="4:5" ht="12.75">
      <c r="D60" s="961" t="s">
        <v>418</v>
      </c>
      <c r="E60" s="277" t="s">
        <v>1049</v>
      </c>
    </row>
  </sheetData>
  <sheetProtection/>
  <mergeCells count="9">
    <mergeCell ref="V4:V6"/>
    <mergeCell ref="Q1:V1"/>
    <mergeCell ref="E2:V2"/>
    <mergeCell ref="D28:D31"/>
    <mergeCell ref="D4:D7"/>
    <mergeCell ref="E4:E6"/>
    <mergeCell ref="F4:F6"/>
    <mergeCell ref="K5:Q5"/>
    <mergeCell ref="G4:U4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N43"/>
  <sheetViews>
    <sheetView zoomScalePageLayoutView="0" workbookViewId="0" topLeftCell="C1">
      <selection activeCell="E43" sqref="E43"/>
    </sheetView>
  </sheetViews>
  <sheetFormatPr defaultColWidth="8.875" defaultRowHeight="12.75"/>
  <cols>
    <col min="1" max="1" width="1.37890625" style="92" hidden="1" customWidth="1"/>
    <col min="2" max="2" width="8.00390625" style="93" hidden="1" customWidth="1"/>
    <col min="3" max="3" width="8.00390625" style="93" customWidth="1"/>
    <col min="4" max="4" width="7.625" style="94" customWidth="1"/>
    <col min="5" max="5" width="38.00390625" style="92" customWidth="1"/>
    <col min="6" max="10" width="13.125" style="92" customWidth="1"/>
    <col min="11" max="11" width="16.75390625" style="110" customWidth="1"/>
    <col min="12" max="12" width="14.375" style="92" customWidth="1"/>
    <col min="13" max="13" width="9.875" style="92" bestFit="1" customWidth="1"/>
    <col min="14" max="16384" width="8.875" style="92" customWidth="1"/>
  </cols>
  <sheetData>
    <row r="1" spans="3:11" ht="15">
      <c r="C1" s="736"/>
      <c r="I1" s="738"/>
      <c r="J1" s="738"/>
      <c r="K1" s="738"/>
    </row>
    <row r="2" spans="3:14" ht="18">
      <c r="C2" s="736"/>
      <c r="H2" s="125"/>
      <c r="I2" s="125"/>
      <c r="J2" s="126"/>
      <c r="K2" s="125" t="s">
        <v>1050</v>
      </c>
      <c r="L2" s="126"/>
      <c r="M2" s="126"/>
      <c r="N2" s="126"/>
    </row>
    <row r="3" spans="3:14" ht="15">
      <c r="C3" s="736"/>
      <c r="H3" s="125"/>
      <c r="I3" s="125"/>
      <c r="J3" s="126"/>
      <c r="K3" s="125"/>
      <c r="L3" s="126"/>
      <c r="M3" s="126"/>
      <c r="N3" s="126"/>
    </row>
    <row r="4" spans="1:12" s="202" customFormat="1" ht="39" customHeight="1">
      <c r="A4" s="96"/>
      <c r="B4" s="97"/>
      <c r="C4" s="736"/>
      <c r="D4" s="1027" t="s">
        <v>894</v>
      </c>
      <c r="E4" s="1027"/>
      <c r="F4" s="1027"/>
      <c r="G4" s="1027"/>
      <c r="H4" s="1027"/>
      <c r="I4" s="1027"/>
      <c r="J4" s="1027"/>
      <c r="K4" s="1027"/>
      <c r="L4" s="1028"/>
    </row>
    <row r="5" spans="4:12" ht="12">
      <c r="D5" s="966"/>
      <c r="E5" s="71"/>
      <c r="F5" s="71"/>
      <c r="G5" s="71"/>
      <c r="H5" s="71"/>
      <c r="I5" s="71"/>
      <c r="J5" s="71"/>
      <c r="K5" s="1029"/>
      <c r="L5" s="71"/>
    </row>
    <row r="6" spans="4:12" ht="12">
      <c r="D6" s="966"/>
      <c r="E6" s="71"/>
      <c r="F6" s="71"/>
      <c r="G6" s="71"/>
      <c r="H6" s="71"/>
      <c r="I6" s="71"/>
      <c r="J6" s="71"/>
      <c r="K6" s="1029"/>
      <c r="L6" s="71"/>
    </row>
    <row r="7" spans="4:12" ht="12.75" thickBot="1">
      <c r="D7" s="966"/>
      <c r="E7" s="71"/>
      <c r="F7" s="71"/>
      <c r="G7" s="71"/>
      <c r="H7" s="71"/>
      <c r="I7" s="71"/>
      <c r="J7" s="71"/>
      <c r="K7" s="968"/>
      <c r="L7" s="71"/>
    </row>
    <row r="8" spans="2:12" s="98" customFormat="1" ht="12.75" customHeight="1">
      <c r="B8" s="99"/>
      <c r="C8" s="99"/>
      <c r="D8" s="970" t="s">
        <v>439</v>
      </c>
      <c r="E8" s="971" t="s">
        <v>361</v>
      </c>
      <c r="F8" s="973" t="s">
        <v>369</v>
      </c>
      <c r="G8" s="974"/>
      <c r="H8" s="974"/>
      <c r="I8" s="974"/>
      <c r="J8" s="974"/>
      <c r="K8" s="976" t="s">
        <v>370</v>
      </c>
      <c r="L8" s="39"/>
    </row>
    <row r="9" spans="2:12" s="100" customFormat="1" ht="12" customHeight="1">
      <c r="B9" s="101"/>
      <c r="C9" s="101"/>
      <c r="D9" s="978"/>
      <c r="E9" s="979"/>
      <c r="F9" s="981" t="s">
        <v>1</v>
      </c>
      <c r="G9" s="981" t="s">
        <v>3</v>
      </c>
      <c r="H9" s="981" t="s">
        <v>5</v>
      </c>
      <c r="I9" s="985" t="s">
        <v>119</v>
      </c>
      <c r="J9" s="985" t="s">
        <v>121</v>
      </c>
      <c r="K9" s="986"/>
      <c r="L9" s="1030"/>
    </row>
    <row r="10" spans="2:12" s="100" customFormat="1" ht="63.75" customHeight="1">
      <c r="B10" s="101"/>
      <c r="C10" s="101"/>
      <c r="D10" s="978"/>
      <c r="E10" s="857"/>
      <c r="F10" s="988" t="s">
        <v>344</v>
      </c>
      <c r="G10" s="988" t="s">
        <v>632</v>
      </c>
      <c r="H10" s="988" t="s">
        <v>363</v>
      </c>
      <c r="I10" s="989" t="s">
        <v>342</v>
      </c>
      <c r="J10" s="989" t="s">
        <v>373</v>
      </c>
      <c r="K10" s="990"/>
      <c r="L10" s="1030"/>
    </row>
    <row r="11" spans="2:12" s="129" customFormat="1" ht="12.75" thickBot="1">
      <c r="B11" s="130"/>
      <c r="C11" s="130"/>
      <c r="D11" s="978"/>
      <c r="E11" s="1031" t="s">
        <v>433</v>
      </c>
      <c r="F11" s="1032" t="s">
        <v>434</v>
      </c>
      <c r="G11" s="1032" t="s">
        <v>435</v>
      </c>
      <c r="H11" s="1033" t="s">
        <v>436</v>
      </c>
      <c r="I11" s="1033" t="s">
        <v>437</v>
      </c>
      <c r="J11" s="1033" t="s">
        <v>438</v>
      </c>
      <c r="K11" s="1034" t="s">
        <v>440</v>
      </c>
      <c r="L11" s="1035"/>
    </row>
    <row r="12" spans="1:12" s="104" customFormat="1" ht="36" customHeight="1">
      <c r="A12" s="92"/>
      <c r="B12" s="93"/>
      <c r="C12" s="93"/>
      <c r="D12" s="1036" t="s">
        <v>372</v>
      </c>
      <c r="E12" s="1037"/>
      <c r="F12" s="1037"/>
      <c r="G12" s="1037"/>
      <c r="H12" s="1037"/>
      <c r="I12" s="1037"/>
      <c r="J12" s="1037"/>
      <c r="K12" s="1038"/>
      <c r="L12" s="1039"/>
    </row>
    <row r="13" spans="2:12" s="134" customFormat="1" ht="34.5" customHeight="1">
      <c r="B13" s="135" t="s">
        <v>52</v>
      </c>
      <c r="C13" s="135"/>
      <c r="D13" s="1040" t="s">
        <v>400</v>
      </c>
      <c r="E13" s="1041" t="s">
        <v>795</v>
      </c>
      <c r="F13" s="43">
        <f>91562414+103400+1263600-340425+513114</f>
        <v>93102103</v>
      </c>
      <c r="G13" s="43">
        <f>16696818+18095+221130-59575-513114</f>
        <v>16363354</v>
      </c>
      <c r="H13" s="43">
        <v>26913440</v>
      </c>
      <c r="I13" s="43">
        <v>1934590</v>
      </c>
      <c r="J13" s="43">
        <v>0</v>
      </c>
      <c r="K13" s="1042">
        <f>SUM(F13:J13)</f>
        <v>138313487</v>
      </c>
      <c r="L13" s="18"/>
    </row>
    <row r="14" spans="2:12" s="134" customFormat="1" ht="71.25">
      <c r="B14" s="135" t="s">
        <v>53</v>
      </c>
      <c r="C14" s="135"/>
      <c r="D14" s="1040" t="s">
        <v>401</v>
      </c>
      <c r="E14" s="1043" t="s">
        <v>895</v>
      </c>
      <c r="F14" s="43">
        <v>4740000</v>
      </c>
      <c r="G14" s="43">
        <v>829500</v>
      </c>
      <c r="H14" s="43">
        <v>0</v>
      </c>
      <c r="I14" s="43">
        <v>0</v>
      </c>
      <c r="J14" s="43">
        <v>0</v>
      </c>
      <c r="K14" s="1042">
        <f>SUM(F14:J14)</f>
        <v>5569500</v>
      </c>
      <c r="L14" s="18"/>
    </row>
    <row r="15" spans="2:12" s="134" customFormat="1" ht="72" thickBot="1">
      <c r="B15" s="135"/>
      <c r="C15" s="135"/>
      <c r="D15" s="1044" t="s">
        <v>402</v>
      </c>
      <c r="E15" s="1043" t="s">
        <v>896</v>
      </c>
      <c r="F15" s="1045">
        <v>2452125</v>
      </c>
      <c r="G15" s="1045">
        <v>429122</v>
      </c>
      <c r="H15" s="1045">
        <v>0</v>
      </c>
      <c r="I15" s="1045">
        <v>0</v>
      </c>
      <c r="J15" s="1045">
        <v>0</v>
      </c>
      <c r="K15" s="1046">
        <f>SUM(F15:J15)</f>
        <v>2881247</v>
      </c>
      <c r="L15" s="18"/>
    </row>
    <row r="16" spans="1:14" s="136" customFormat="1" ht="24" customHeight="1" thickBot="1">
      <c r="A16" s="136">
        <v>999997</v>
      </c>
      <c r="B16" s="137"/>
      <c r="D16" s="1047" t="s">
        <v>403</v>
      </c>
      <c r="E16" s="1048" t="s">
        <v>365</v>
      </c>
      <c r="F16" s="1049">
        <f aca="true" t="shared" si="0" ref="F16:K16">SUM(F10:F15)</f>
        <v>100294228</v>
      </c>
      <c r="G16" s="1049">
        <f t="shared" si="0"/>
        <v>17621976</v>
      </c>
      <c r="H16" s="1049">
        <f t="shared" si="0"/>
        <v>26913440</v>
      </c>
      <c r="I16" s="1049">
        <f t="shared" si="0"/>
        <v>1934590</v>
      </c>
      <c r="J16" s="1049">
        <f t="shared" si="0"/>
        <v>0</v>
      </c>
      <c r="K16" s="1050">
        <f t="shared" si="0"/>
        <v>146764234</v>
      </c>
      <c r="L16" s="1051">
        <f>SUM(F16:J16)</f>
        <v>146764234</v>
      </c>
      <c r="M16" s="138"/>
      <c r="N16" s="138"/>
    </row>
    <row r="17" spans="1:12" s="133" customFormat="1" ht="36.75" customHeight="1">
      <c r="A17" s="131"/>
      <c r="B17" s="132"/>
      <c r="C17" s="132"/>
      <c r="D17" s="1052" t="s">
        <v>746</v>
      </c>
      <c r="E17" s="1053"/>
      <c r="F17" s="1053"/>
      <c r="G17" s="1053"/>
      <c r="H17" s="1053"/>
      <c r="I17" s="1053"/>
      <c r="J17" s="1053"/>
      <c r="K17" s="1054"/>
      <c r="L17" s="1039"/>
    </row>
    <row r="18" spans="2:12" s="134" customFormat="1" ht="23.25" customHeight="1">
      <c r="B18" s="135" t="s">
        <v>52</v>
      </c>
      <c r="C18" s="135"/>
      <c r="D18" s="1040" t="s">
        <v>400</v>
      </c>
      <c r="E18" s="1041" t="s">
        <v>954</v>
      </c>
      <c r="F18" s="1055">
        <v>0</v>
      </c>
      <c r="G18" s="1055">
        <v>0</v>
      </c>
      <c r="H18" s="1055">
        <v>31853858</v>
      </c>
      <c r="I18" s="1055">
        <v>0</v>
      </c>
      <c r="J18" s="43">
        <v>0</v>
      </c>
      <c r="K18" s="1042">
        <f aca="true" t="shared" si="1" ref="K18:K27">SUM(F18:J18)</f>
        <v>31853858</v>
      </c>
      <c r="L18" s="18"/>
    </row>
    <row r="19" spans="2:12" s="134" customFormat="1" ht="23.25" customHeight="1">
      <c r="B19" s="135" t="s">
        <v>53</v>
      </c>
      <c r="C19" s="135"/>
      <c r="D19" s="1040" t="s">
        <v>401</v>
      </c>
      <c r="E19" s="1041" t="s">
        <v>817</v>
      </c>
      <c r="F19" s="1055">
        <f>106347224+3215520-330000-1461600+216700</f>
        <v>107987844</v>
      </c>
      <c r="G19" s="1055">
        <f>22358469+562716-57750-255780+37923</f>
        <v>22645578</v>
      </c>
      <c r="H19" s="1055">
        <v>0</v>
      </c>
      <c r="I19" s="1055">
        <v>0</v>
      </c>
      <c r="J19" s="43">
        <v>0</v>
      </c>
      <c r="K19" s="1042">
        <f t="shared" si="1"/>
        <v>130633422</v>
      </c>
      <c r="L19" s="18"/>
    </row>
    <row r="20" spans="2:12" s="134" customFormat="1" ht="23.25" customHeight="1">
      <c r="B20" s="135"/>
      <c r="C20" s="135"/>
      <c r="D20" s="1040" t="s">
        <v>402</v>
      </c>
      <c r="E20" s="1041" t="s">
        <v>897</v>
      </c>
      <c r="F20" s="1055">
        <v>0</v>
      </c>
      <c r="G20" s="1055">
        <v>0</v>
      </c>
      <c r="H20" s="1055">
        <v>10508378</v>
      </c>
      <c r="I20" s="1055">
        <v>309245</v>
      </c>
      <c r="J20" s="43">
        <v>508000</v>
      </c>
      <c r="K20" s="1042">
        <f t="shared" si="1"/>
        <v>11325623</v>
      </c>
      <c r="L20" s="18"/>
    </row>
    <row r="21" spans="2:12" s="134" customFormat="1" ht="23.25" customHeight="1">
      <c r="B21" s="135"/>
      <c r="C21" s="135"/>
      <c r="D21" s="1040" t="s">
        <v>403</v>
      </c>
      <c r="E21" s="1041" t="s">
        <v>539</v>
      </c>
      <c r="F21" s="1055">
        <v>5287200</v>
      </c>
      <c r="G21" s="1055">
        <v>925260</v>
      </c>
      <c r="H21" s="1055">
        <f>1916238-781083-47925</f>
        <v>1087230</v>
      </c>
      <c r="I21" s="1055">
        <f>63500+47925</f>
        <v>111425</v>
      </c>
      <c r="J21" s="43">
        <v>0</v>
      </c>
      <c r="K21" s="1042">
        <f t="shared" si="1"/>
        <v>7411115</v>
      </c>
      <c r="L21" s="18"/>
    </row>
    <row r="22" spans="2:12" s="134" customFormat="1" ht="23.25" customHeight="1">
      <c r="B22" s="135"/>
      <c r="C22" s="135"/>
      <c r="D22" s="1040" t="s">
        <v>404</v>
      </c>
      <c r="E22" s="1041" t="s">
        <v>579</v>
      </c>
      <c r="F22" s="1055">
        <f>24097710+1249875-1245375+1125000</f>
        <v>25227210</v>
      </c>
      <c r="G22" s="1055">
        <f>4222056+218728-217940+196875</f>
        <v>4419719</v>
      </c>
      <c r="H22" s="1055">
        <f>4796826+91000</f>
        <v>4887826</v>
      </c>
      <c r="I22" s="1055">
        <v>304800</v>
      </c>
      <c r="J22" s="43">
        <v>0</v>
      </c>
      <c r="K22" s="1042">
        <f t="shared" si="1"/>
        <v>34839555</v>
      </c>
      <c r="L22" s="18"/>
    </row>
    <row r="23" spans="1:12" s="134" customFormat="1" ht="23.25" customHeight="1">
      <c r="A23" s="134">
        <v>20215</v>
      </c>
      <c r="B23" s="135" t="s">
        <v>55</v>
      </c>
      <c r="C23" s="135"/>
      <c r="D23" s="1040" t="s">
        <v>405</v>
      </c>
      <c r="E23" s="1041" t="s">
        <v>701</v>
      </c>
      <c r="F23" s="1055">
        <f>11177496+981000-976500+1035000</f>
        <v>12216996</v>
      </c>
      <c r="G23" s="1055">
        <f>1927326+171675-170887+181125</f>
        <v>2109239</v>
      </c>
      <c r="H23" s="1055">
        <f>2955612+91000</f>
        <v>3046612</v>
      </c>
      <c r="I23" s="1055">
        <v>401320</v>
      </c>
      <c r="J23" s="43">
        <v>0</v>
      </c>
      <c r="K23" s="1042">
        <f t="shared" si="1"/>
        <v>17774167</v>
      </c>
      <c r="L23" s="18"/>
    </row>
    <row r="24" spans="2:12" s="134" customFormat="1" ht="23.25" customHeight="1">
      <c r="B24" s="135"/>
      <c r="C24" s="135"/>
      <c r="D24" s="1040" t="s">
        <v>406</v>
      </c>
      <c r="E24" s="1041" t="s">
        <v>702</v>
      </c>
      <c r="F24" s="1055">
        <f>10053189+639450</f>
        <v>10692639</v>
      </c>
      <c r="G24" s="1055">
        <f>1759308+111904</f>
        <v>1871212</v>
      </c>
      <c r="H24" s="1055">
        <v>1190218</v>
      </c>
      <c r="I24" s="1055">
        <v>95250</v>
      </c>
      <c r="J24" s="43">
        <v>0</v>
      </c>
      <c r="K24" s="1042">
        <f t="shared" si="1"/>
        <v>13849319</v>
      </c>
      <c r="L24" s="18"/>
    </row>
    <row r="25" spans="2:12" s="134" customFormat="1" ht="24.75" customHeight="1">
      <c r="B25" s="135"/>
      <c r="C25" s="135"/>
      <c r="D25" s="1040" t="s">
        <v>407</v>
      </c>
      <c r="E25" s="1041" t="s">
        <v>953</v>
      </c>
      <c r="F25" s="1055">
        <v>0</v>
      </c>
      <c r="G25" s="1055">
        <v>0</v>
      </c>
      <c r="H25" s="1055">
        <v>2677147</v>
      </c>
      <c r="I25" s="1055">
        <v>0</v>
      </c>
      <c r="J25" s="43">
        <v>0</v>
      </c>
      <c r="K25" s="1042">
        <f t="shared" si="1"/>
        <v>2677147</v>
      </c>
      <c r="L25" s="18"/>
    </row>
    <row r="26" spans="2:12" s="134" customFormat="1" ht="71.25">
      <c r="B26" s="135"/>
      <c r="C26" s="135"/>
      <c r="D26" s="1040" t="s">
        <v>408</v>
      </c>
      <c r="E26" s="1041" t="s">
        <v>819</v>
      </c>
      <c r="F26" s="1055">
        <f>3600000</f>
        <v>3600000</v>
      </c>
      <c r="G26" s="1055">
        <v>630000</v>
      </c>
      <c r="H26" s="1055">
        <v>0</v>
      </c>
      <c r="I26" s="1055">
        <v>0</v>
      </c>
      <c r="J26" s="43">
        <v>0</v>
      </c>
      <c r="K26" s="1042">
        <f t="shared" si="1"/>
        <v>4230000</v>
      </c>
      <c r="L26" s="18"/>
    </row>
    <row r="27" spans="2:12" s="134" customFormat="1" ht="57.75" thickBot="1">
      <c r="B27" s="135"/>
      <c r="C27" s="135"/>
      <c r="D27" s="1040" t="s">
        <v>409</v>
      </c>
      <c r="E27" s="1041" t="s">
        <v>818</v>
      </c>
      <c r="F27" s="1055">
        <f>6562063+2756937</f>
        <v>9319000</v>
      </c>
      <c r="G27" s="1055">
        <f>1148361+482464</f>
        <v>1630825</v>
      </c>
      <c r="H27" s="1055">
        <f>50000+2114762</f>
        <v>2164762</v>
      </c>
      <c r="I27" s="1055">
        <v>0</v>
      </c>
      <c r="J27" s="43">
        <v>0</v>
      </c>
      <c r="K27" s="1042">
        <f t="shared" si="1"/>
        <v>13114587</v>
      </c>
      <c r="L27" s="18"/>
    </row>
    <row r="28" spans="1:14" s="136" customFormat="1" ht="24" customHeight="1" thickBot="1">
      <c r="A28" s="136">
        <v>999997</v>
      </c>
      <c r="B28" s="137"/>
      <c r="D28" s="1047" t="s">
        <v>410</v>
      </c>
      <c r="E28" s="1048" t="s">
        <v>365</v>
      </c>
      <c r="F28" s="1049">
        <f aca="true" t="shared" si="2" ref="F28:K28">SUM(F17:F27)</f>
        <v>174330889</v>
      </c>
      <c r="G28" s="1049">
        <f t="shared" si="2"/>
        <v>34231833</v>
      </c>
      <c r="H28" s="1049">
        <f t="shared" si="2"/>
        <v>57416031</v>
      </c>
      <c r="I28" s="1049">
        <f t="shared" si="2"/>
        <v>1222040</v>
      </c>
      <c r="J28" s="1049">
        <f t="shared" si="2"/>
        <v>508000</v>
      </c>
      <c r="K28" s="1050">
        <f t="shared" si="2"/>
        <v>267708793</v>
      </c>
      <c r="L28" s="1051">
        <f>SUM(F28:J28)</f>
        <v>267708793</v>
      </c>
      <c r="M28" s="138"/>
      <c r="N28" s="138"/>
    </row>
    <row r="29" spans="1:12" s="104" customFormat="1" ht="39" customHeight="1">
      <c r="A29" s="92"/>
      <c r="B29" s="93"/>
      <c r="C29" s="93"/>
      <c r="D29" s="1056" t="s">
        <v>796</v>
      </c>
      <c r="E29" s="1057"/>
      <c r="F29" s="1057"/>
      <c r="G29" s="1057"/>
      <c r="H29" s="1057"/>
      <c r="I29" s="1057"/>
      <c r="J29" s="1057"/>
      <c r="K29" s="1058"/>
      <c r="L29" s="1039"/>
    </row>
    <row r="30" spans="2:12" s="134" customFormat="1" ht="31.5" customHeight="1">
      <c r="B30" s="135" t="s">
        <v>52</v>
      </c>
      <c r="C30" s="135"/>
      <c r="D30" s="1040" t="s">
        <v>400</v>
      </c>
      <c r="E30" s="1041" t="s">
        <v>538</v>
      </c>
      <c r="F30" s="43">
        <v>0</v>
      </c>
      <c r="G30" s="43">
        <v>0</v>
      </c>
      <c r="H30" s="43">
        <f>1082115-800000</f>
        <v>282115</v>
      </c>
      <c r="I30" s="43">
        <f>800000</f>
        <v>800000</v>
      </c>
      <c r="J30" s="43">
        <v>0</v>
      </c>
      <c r="K30" s="1042">
        <f>SUM(F30:J30)</f>
        <v>1082115</v>
      </c>
      <c r="L30" s="18"/>
    </row>
    <row r="31" spans="2:12" s="134" customFormat="1" ht="23.25" customHeight="1">
      <c r="B31" s="135" t="s">
        <v>53</v>
      </c>
      <c r="C31" s="135"/>
      <c r="D31" s="1040" t="s">
        <v>401</v>
      </c>
      <c r="E31" s="1041" t="s">
        <v>385</v>
      </c>
      <c r="F31" s="43">
        <v>2802000</v>
      </c>
      <c r="G31" s="43">
        <v>490350</v>
      </c>
      <c r="H31" s="43">
        <v>290700</v>
      </c>
      <c r="I31" s="43">
        <v>0</v>
      </c>
      <c r="J31" s="43">
        <v>0</v>
      </c>
      <c r="K31" s="1042">
        <f>SUM(F31:J31)</f>
        <v>3583050</v>
      </c>
      <c r="L31" s="18"/>
    </row>
    <row r="32" spans="2:12" s="134" customFormat="1" ht="33" customHeight="1">
      <c r="B32" s="135"/>
      <c r="C32" s="135"/>
      <c r="D32" s="1040" t="s">
        <v>402</v>
      </c>
      <c r="E32" s="1041" t="s">
        <v>769</v>
      </c>
      <c r="F32" s="43">
        <f>11931088+300000</f>
        <v>12231088</v>
      </c>
      <c r="G32" s="43">
        <f>2122958+367133</f>
        <v>2490091</v>
      </c>
      <c r="H32" s="43">
        <f>14446890-317500+144779+2954117</f>
        <v>17228286</v>
      </c>
      <c r="I32" s="43">
        <f>304800-177800+700000</f>
        <v>827000</v>
      </c>
      <c r="J32" s="43">
        <f>578000-578000</f>
        <v>0</v>
      </c>
      <c r="K32" s="1042">
        <f>SUM(F32:J32)</f>
        <v>32776465</v>
      </c>
      <c r="L32" s="18"/>
    </row>
    <row r="33" spans="2:12" s="134" customFormat="1" ht="33" customHeight="1">
      <c r="B33" s="135"/>
      <c r="C33" s="135"/>
      <c r="D33" s="1044" t="s">
        <v>403</v>
      </c>
      <c r="E33" s="1043" t="s">
        <v>898</v>
      </c>
      <c r="F33" s="1045">
        <f>1980314-775591</f>
        <v>1204723</v>
      </c>
      <c r="G33" s="1045">
        <f>964502-377745</f>
        <v>586757</v>
      </c>
      <c r="H33" s="1045">
        <f>7003586-2575544</f>
        <v>4428042</v>
      </c>
      <c r="I33" s="1045">
        <v>0</v>
      </c>
      <c r="J33" s="1045">
        <v>0</v>
      </c>
      <c r="K33" s="1046">
        <f>SUM(F33:J33)</f>
        <v>6219522</v>
      </c>
      <c r="L33" s="18"/>
    </row>
    <row r="34" spans="2:12" s="134" customFormat="1" ht="33" customHeight="1" thickBot="1">
      <c r="B34" s="135"/>
      <c r="C34" s="135"/>
      <c r="D34" s="1044" t="s">
        <v>404</v>
      </c>
      <c r="E34" s="1043" t="s">
        <v>816</v>
      </c>
      <c r="F34" s="1045">
        <v>1800000</v>
      </c>
      <c r="G34" s="1045">
        <f>315000+13166</f>
        <v>328166</v>
      </c>
      <c r="H34" s="1045">
        <f>3527681-13166</f>
        <v>3514515</v>
      </c>
      <c r="I34" s="1045">
        <v>0</v>
      </c>
      <c r="J34" s="1045">
        <v>0</v>
      </c>
      <c r="K34" s="1046">
        <f>SUM(F34:J34)</f>
        <v>5642681</v>
      </c>
      <c r="L34" s="18"/>
    </row>
    <row r="35" spans="1:14" s="136" customFormat="1" ht="24" customHeight="1" thickBot="1">
      <c r="A35" s="136">
        <v>999997</v>
      </c>
      <c r="B35" s="137"/>
      <c r="D35" s="1047" t="s">
        <v>405</v>
      </c>
      <c r="E35" s="1048" t="s">
        <v>365</v>
      </c>
      <c r="F35" s="1049">
        <f aca="true" t="shared" si="3" ref="F35:K35">SUM(F29:F34)</f>
        <v>18037811</v>
      </c>
      <c r="G35" s="1049">
        <f t="shared" si="3"/>
        <v>3895364</v>
      </c>
      <c r="H35" s="1049">
        <f t="shared" si="3"/>
        <v>25743658</v>
      </c>
      <c r="I35" s="1049">
        <f t="shared" si="3"/>
        <v>1627000</v>
      </c>
      <c r="J35" s="1049">
        <f t="shared" si="3"/>
        <v>0</v>
      </c>
      <c r="K35" s="1059">
        <f t="shared" si="3"/>
        <v>49303833</v>
      </c>
      <c r="L35" s="1051">
        <f>SUM(F35:J35)</f>
        <v>49303833</v>
      </c>
      <c r="M35" s="138"/>
      <c r="N35" s="138"/>
    </row>
    <row r="42" spans="4:5" ht="12.75">
      <c r="D42" s="277">
        <v>20</v>
      </c>
      <c r="E42" s="277" t="s">
        <v>1020</v>
      </c>
    </row>
    <row r="43" spans="4:5" ht="12.75">
      <c r="D43" s="961" t="s">
        <v>420</v>
      </c>
      <c r="E43" s="277" t="s">
        <v>1049</v>
      </c>
    </row>
  </sheetData>
  <sheetProtection/>
  <mergeCells count="10">
    <mergeCell ref="D12:K12"/>
    <mergeCell ref="D4:K4"/>
    <mergeCell ref="C1:C4"/>
    <mergeCell ref="I1:K1"/>
    <mergeCell ref="D17:K17"/>
    <mergeCell ref="D29:K29"/>
    <mergeCell ref="D8:D11"/>
    <mergeCell ref="E8:E10"/>
    <mergeCell ref="F8:J8"/>
    <mergeCell ref="K8:K10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A84"/>
  <sheetViews>
    <sheetView workbookViewId="0" topLeftCell="A1">
      <selection activeCell="B84" sqref="B84"/>
    </sheetView>
  </sheetViews>
  <sheetFormatPr defaultColWidth="9.00390625" defaultRowHeight="12.75"/>
  <cols>
    <col min="1" max="1" width="7.75390625" style="65" customWidth="1"/>
    <col min="2" max="2" width="31.75390625" style="65" customWidth="1"/>
    <col min="3" max="3" width="14.375" style="65" customWidth="1"/>
    <col min="4" max="5" width="14.375" style="65" bestFit="1" customWidth="1"/>
    <col min="6" max="6" width="16.25390625" style="65" bestFit="1" customWidth="1"/>
    <col min="7" max="8" width="14.625" style="65" bestFit="1" customWidth="1"/>
    <col min="9" max="9" width="16.25390625" style="65" bestFit="1" customWidth="1"/>
    <col min="10" max="11" width="12.875" style="65" customWidth="1"/>
    <col min="12" max="12" width="15.00390625" style="65" customWidth="1"/>
    <col min="13" max="13" width="17.00390625" style="65" bestFit="1" customWidth="1"/>
    <col min="14" max="15" width="9.125" style="65" customWidth="1"/>
    <col min="16" max="16" width="12.875" style="65" bestFit="1" customWidth="1"/>
    <col min="17" max="16384" width="9.125" style="65" customWidth="1"/>
  </cols>
  <sheetData>
    <row r="1" spans="1:21" ht="15.75">
      <c r="A1" s="76"/>
      <c r="B1" s="77"/>
      <c r="C1" s="78"/>
      <c r="D1" s="78"/>
      <c r="E1" s="78"/>
      <c r="F1" s="78"/>
      <c r="G1" s="739" t="s">
        <v>1051</v>
      </c>
      <c r="H1" s="739"/>
      <c r="I1" s="740"/>
      <c r="J1" s="740"/>
      <c r="K1" s="740"/>
      <c r="L1" s="740"/>
      <c r="M1" s="740"/>
      <c r="N1" s="77"/>
      <c r="O1" s="77"/>
      <c r="P1" s="77"/>
      <c r="Q1" s="77"/>
      <c r="R1" s="79"/>
      <c r="S1" s="79"/>
      <c r="T1" s="79"/>
      <c r="U1" s="77"/>
    </row>
    <row r="2" spans="1:21" ht="12.75">
      <c r="A2" s="76"/>
      <c r="B2" s="77"/>
      <c r="C2" s="78"/>
      <c r="D2" s="78"/>
      <c r="E2" s="78"/>
      <c r="F2" s="78"/>
      <c r="G2" s="80"/>
      <c r="H2" s="80"/>
      <c r="I2" s="81"/>
      <c r="J2" s="81"/>
      <c r="K2" s="81"/>
      <c r="L2" s="81"/>
      <c r="M2" s="81"/>
      <c r="N2" s="77"/>
      <c r="O2" s="77"/>
      <c r="P2" s="77"/>
      <c r="Q2" s="77"/>
      <c r="R2" s="79"/>
      <c r="S2" s="79"/>
      <c r="T2" s="79"/>
      <c r="U2" s="77"/>
    </row>
    <row r="3" spans="1:27" ht="15.75" customHeight="1">
      <c r="A3" s="1062" t="s">
        <v>935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27" ht="13.5" customHeight="1" thickBot="1">
      <c r="A4" s="1062"/>
      <c r="B4" s="1062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</row>
    <row r="5" spans="1:27" ht="16.5" thickBot="1">
      <c r="A5" s="1063" t="s">
        <v>439</v>
      </c>
      <c r="B5" s="1064" t="s">
        <v>361</v>
      </c>
      <c r="C5" s="1065" t="s">
        <v>482</v>
      </c>
      <c r="D5" s="1065"/>
      <c r="E5" s="1065"/>
      <c r="F5" s="1065"/>
      <c r="G5" s="1065"/>
      <c r="H5" s="1065"/>
      <c r="I5" s="1065"/>
      <c r="J5" s="1065"/>
      <c r="K5" s="1065"/>
      <c r="L5" s="1065"/>
      <c r="M5" s="1066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84"/>
    </row>
    <row r="6" spans="1:13" ht="12.75" customHeight="1">
      <c r="A6" s="1067"/>
      <c r="B6" s="1068"/>
      <c r="C6" s="1069" t="s">
        <v>483</v>
      </c>
      <c r="D6" s="1070" t="s">
        <v>484</v>
      </c>
      <c r="E6" s="1071"/>
      <c r="F6" s="1072"/>
      <c r="G6" s="1070" t="s">
        <v>485</v>
      </c>
      <c r="H6" s="1071"/>
      <c r="I6" s="1072"/>
      <c r="J6" s="1070" t="s">
        <v>486</v>
      </c>
      <c r="K6" s="1071"/>
      <c r="L6" s="1072"/>
      <c r="M6" s="1073" t="s">
        <v>370</v>
      </c>
    </row>
    <row r="7" spans="1:13" ht="12.75" customHeight="1">
      <c r="A7" s="1067"/>
      <c r="B7" s="1068"/>
      <c r="C7" s="1074"/>
      <c r="D7" s="1075"/>
      <c r="E7" s="1076"/>
      <c r="F7" s="1077"/>
      <c r="G7" s="1075"/>
      <c r="H7" s="1076"/>
      <c r="I7" s="1077"/>
      <c r="J7" s="1075"/>
      <c r="K7" s="1076"/>
      <c r="L7" s="1077"/>
      <c r="M7" s="1078"/>
    </row>
    <row r="8" spans="1:13" ht="24" customHeight="1" thickBot="1">
      <c r="A8" s="1079"/>
      <c r="B8" s="1080"/>
      <c r="C8" s="1081"/>
      <c r="D8" s="1082" t="s">
        <v>84</v>
      </c>
      <c r="E8" s="1083" t="s">
        <v>85</v>
      </c>
      <c r="F8" s="1084" t="s">
        <v>89</v>
      </c>
      <c r="G8" s="1085" t="s">
        <v>84</v>
      </c>
      <c r="H8" s="1083" t="s">
        <v>85</v>
      </c>
      <c r="I8" s="1084" t="s">
        <v>89</v>
      </c>
      <c r="J8" s="1085" t="s">
        <v>84</v>
      </c>
      <c r="K8" s="1083" t="s">
        <v>85</v>
      </c>
      <c r="L8" s="1084" t="s">
        <v>89</v>
      </c>
      <c r="M8" s="1086"/>
    </row>
    <row r="9" spans="1:13" ht="29.25" customHeight="1">
      <c r="A9" s="1087" t="s">
        <v>400</v>
      </c>
      <c r="B9" s="1088" t="s">
        <v>59</v>
      </c>
      <c r="C9" s="1089" t="s">
        <v>714</v>
      </c>
      <c r="D9" s="1090">
        <f>80745240-70000+6600+1155+16823647+92377+6500+347826+52174+45939-45939</f>
        <v>98005519</v>
      </c>
      <c r="E9" s="1091"/>
      <c r="F9" s="1092">
        <f>SUM(D9:E9)</f>
        <v>98005519</v>
      </c>
      <c r="G9" s="1093"/>
      <c r="H9" s="1091"/>
      <c r="I9" s="1092">
        <f>SUM(G9:H9)</f>
        <v>0</v>
      </c>
      <c r="J9" s="1094"/>
      <c r="K9" s="1095"/>
      <c r="L9" s="1092">
        <f>SUM(J9:K9)</f>
        <v>0</v>
      </c>
      <c r="M9" s="1096">
        <f aca="true" t="shared" si="0" ref="M9:M50">SUM(F9+I9+L9)</f>
        <v>98005519</v>
      </c>
    </row>
    <row r="10" spans="1:13" ht="29.25" customHeight="1">
      <c r="A10" s="1097" t="s">
        <v>401</v>
      </c>
      <c r="B10" s="1098" t="s">
        <v>56</v>
      </c>
      <c r="C10" s="1099" t="s">
        <v>704</v>
      </c>
      <c r="D10" s="1090">
        <f>69965834-4779000+308085+1143000</f>
        <v>66637919</v>
      </c>
      <c r="E10" s="1100">
        <f>5000000+449520+8794813+4790554-5098639</f>
        <v>13936248</v>
      </c>
      <c r="F10" s="1092">
        <f aca="true" t="shared" si="1" ref="F10:F50">SUM(D10:E10)</f>
        <v>80574167</v>
      </c>
      <c r="G10" s="1101">
        <f>12645870-54000+500000</f>
        <v>13091870</v>
      </c>
      <c r="H10" s="1100">
        <f>447341169-13005804</f>
        <v>434335365</v>
      </c>
      <c r="I10" s="1092">
        <f aca="true" t="shared" si="2" ref="I10:I50">SUM(G10:H10)</f>
        <v>447427235</v>
      </c>
      <c r="J10" s="1094"/>
      <c r="K10" s="1095"/>
      <c r="L10" s="1092">
        <f aca="true" t="shared" si="3" ref="L10:L50">SUM(J10:K10)</f>
        <v>0</v>
      </c>
      <c r="M10" s="1096">
        <f t="shared" si="0"/>
        <v>528001402</v>
      </c>
    </row>
    <row r="11" spans="1:13" ht="21.75" customHeight="1">
      <c r="A11" s="1097" t="s">
        <v>402</v>
      </c>
      <c r="B11" s="1102" t="s">
        <v>630</v>
      </c>
      <c r="C11" s="1092" t="s">
        <v>770</v>
      </c>
      <c r="D11" s="1103">
        <v>19299537</v>
      </c>
      <c r="E11" s="1104"/>
      <c r="F11" s="1092">
        <f t="shared" si="1"/>
        <v>19299537</v>
      </c>
      <c r="G11" s="1105"/>
      <c r="H11" s="1104"/>
      <c r="I11" s="1092">
        <f t="shared" si="2"/>
        <v>0</v>
      </c>
      <c r="J11" s="1106"/>
      <c r="K11" s="1107"/>
      <c r="L11" s="1092">
        <f t="shared" si="3"/>
        <v>0</v>
      </c>
      <c r="M11" s="1096">
        <f t="shared" si="0"/>
        <v>19299537</v>
      </c>
    </row>
    <row r="12" spans="1:13" ht="29.25" customHeight="1">
      <c r="A12" s="1097" t="s">
        <v>403</v>
      </c>
      <c r="B12" s="1098" t="s">
        <v>64</v>
      </c>
      <c r="C12" s="1092" t="s">
        <v>955</v>
      </c>
      <c r="D12" s="1108"/>
      <c r="E12" s="1091"/>
      <c r="F12" s="1092">
        <f t="shared" si="1"/>
        <v>0</v>
      </c>
      <c r="G12" s="1093"/>
      <c r="H12" s="1091"/>
      <c r="I12" s="1092">
        <f t="shared" si="2"/>
        <v>0</v>
      </c>
      <c r="J12" s="1094">
        <v>12311385</v>
      </c>
      <c r="K12" s="1095"/>
      <c r="L12" s="1092">
        <f t="shared" si="3"/>
        <v>12311385</v>
      </c>
      <c r="M12" s="1096">
        <f t="shared" si="0"/>
        <v>12311385</v>
      </c>
    </row>
    <row r="13" spans="1:13" ht="29.25" customHeight="1">
      <c r="A13" s="1097" t="s">
        <v>404</v>
      </c>
      <c r="B13" s="1098" t="s">
        <v>761</v>
      </c>
      <c r="C13" s="1099" t="s">
        <v>956</v>
      </c>
      <c r="D13" s="1090">
        <f>4016545+11080125+969525+4441343</f>
        <v>20507538</v>
      </c>
      <c r="E13" s="1100">
        <f>190500</f>
        <v>190500</v>
      </c>
      <c r="F13" s="1092">
        <f t="shared" si="1"/>
        <v>20698038</v>
      </c>
      <c r="G13" s="1093"/>
      <c r="H13" s="1091"/>
      <c r="I13" s="1092">
        <f t="shared" si="2"/>
        <v>0</v>
      </c>
      <c r="J13" s="1094"/>
      <c r="K13" s="1095"/>
      <c r="L13" s="1092">
        <f t="shared" si="3"/>
        <v>0</v>
      </c>
      <c r="M13" s="1096">
        <f t="shared" si="0"/>
        <v>20698038</v>
      </c>
    </row>
    <row r="14" spans="1:13" ht="29.25" customHeight="1">
      <c r="A14" s="1097" t="s">
        <v>405</v>
      </c>
      <c r="B14" s="1098" t="s">
        <v>762</v>
      </c>
      <c r="C14" s="1099" t="s">
        <v>956</v>
      </c>
      <c r="D14" s="1090">
        <f>13227888+23197320+2029806+1310301</f>
        <v>39765315</v>
      </c>
      <c r="E14" s="1100">
        <v>74295</v>
      </c>
      <c r="F14" s="1092">
        <f t="shared" si="1"/>
        <v>39839610</v>
      </c>
      <c r="G14" s="1093"/>
      <c r="H14" s="1091"/>
      <c r="I14" s="1092">
        <f t="shared" si="2"/>
        <v>0</v>
      </c>
      <c r="J14" s="1094"/>
      <c r="K14" s="1095"/>
      <c r="L14" s="1092">
        <f t="shared" si="3"/>
        <v>0</v>
      </c>
      <c r="M14" s="1096">
        <f t="shared" si="0"/>
        <v>39839610</v>
      </c>
    </row>
    <row r="15" spans="1:13" ht="21.75" customHeight="1">
      <c r="A15" s="1097" t="s">
        <v>406</v>
      </c>
      <c r="B15" s="1102" t="s">
        <v>892</v>
      </c>
      <c r="C15" s="1099" t="s">
        <v>705</v>
      </c>
      <c r="D15" s="1109"/>
      <c r="E15" s="1110">
        <f>25000000-20000000</f>
        <v>5000000</v>
      </c>
      <c r="F15" s="1092">
        <f t="shared" si="1"/>
        <v>5000000</v>
      </c>
      <c r="G15" s="1105"/>
      <c r="H15" s="1110"/>
      <c r="I15" s="1092">
        <f t="shared" si="2"/>
        <v>0</v>
      </c>
      <c r="J15" s="1106"/>
      <c r="K15" s="1107"/>
      <c r="L15" s="1092">
        <f t="shared" si="3"/>
        <v>0</v>
      </c>
      <c r="M15" s="1096">
        <f t="shared" si="0"/>
        <v>5000000</v>
      </c>
    </row>
    <row r="16" spans="1:13" ht="29.25" customHeight="1">
      <c r="A16" s="1111" t="s">
        <v>407</v>
      </c>
      <c r="B16" s="1098" t="s">
        <v>343</v>
      </c>
      <c r="C16" s="1099" t="s">
        <v>705</v>
      </c>
      <c r="D16" s="1090">
        <v>15377340</v>
      </c>
      <c r="E16" s="1100">
        <v>363120</v>
      </c>
      <c r="F16" s="1092">
        <f t="shared" si="1"/>
        <v>15740460</v>
      </c>
      <c r="G16" s="1093"/>
      <c r="H16" s="1091"/>
      <c r="I16" s="1092">
        <f t="shared" si="2"/>
        <v>0</v>
      </c>
      <c r="J16" s="1094"/>
      <c r="K16" s="1095"/>
      <c r="L16" s="1092">
        <f t="shared" si="3"/>
        <v>0</v>
      </c>
      <c r="M16" s="1096">
        <f t="shared" si="0"/>
        <v>15740460</v>
      </c>
    </row>
    <row r="17" spans="1:13" ht="29.25" customHeight="1">
      <c r="A17" s="1097" t="s">
        <v>408</v>
      </c>
      <c r="B17" s="1098" t="s">
        <v>66</v>
      </c>
      <c r="C17" s="1099" t="s">
        <v>706</v>
      </c>
      <c r="D17" s="1090">
        <v>5249710</v>
      </c>
      <c r="E17" s="1100">
        <f>101682090-3817843</f>
        <v>97864247</v>
      </c>
      <c r="F17" s="1092">
        <f t="shared" si="1"/>
        <v>103113957</v>
      </c>
      <c r="G17" s="1093"/>
      <c r="H17" s="1091"/>
      <c r="I17" s="1092">
        <f t="shared" si="2"/>
        <v>0</v>
      </c>
      <c r="J17" s="1094"/>
      <c r="K17" s="1095"/>
      <c r="L17" s="1092">
        <f t="shared" si="3"/>
        <v>0</v>
      </c>
      <c r="M17" s="1096">
        <f t="shared" si="0"/>
        <v>103113957</v>
      </c>
    </row>
    <row r="18" spans="1:13" ht="29.25" customHeight="1">
      <c r="A18" s="1097" t="s">
        <v>409</v>
      </c>
      <c r="B18" s="1098" t="s">
        <v>821</v>
      </c>
      <c r="C18" s="1099"/>
      <c r="D18" s="1090"/>
      <c r="E18" s="1100"/>
      <c r="F18" s="1092">
        <f t="shared" si="1"/>
        <v>0</v>
      </c>
      <c r="G18" s="1101">
        <v>4571244</v>
      </c>
      <c r="H18" s="1100">
        <v>187978206</v>
      </c>
      <c r="I18" s="1092">
        <f t="shared" si="2"/>
        <v>192549450</v>
      </c>
      <c r="J18" s="1094"/>
      <c r="K18" s="1095"/>
      <c r="L18" s="1092">
        <f t="shared" si="3"/>
        <v>0</v>
      </c>
      <c r="M18" s="1096">
        <f t="shared" si="0"/>
        <v>192549450</v>
      </c>
    </row>
    <row r="19" spans="1:13" ht="30.75" customHeight="1">
      <c r="A19" s="1097" t="s">
        <v>410</v>
      </c>
      <c r="B19" s="1098" t="s">
        <v>50</v>
      </c>
      <c r="C19" s="1099" t="s">
        <v>707</v>
      </c>
      <c r="D19" s="1103">
        <v>3416864</v>
      </c>
      <c r="E19" s="1104"/>
      <c r="F19" s="1092">
        <f t="shared" si="1"/>
        <v>3416864</v>
      </c>
      <c r="G19" s="1105"/>
      <c r="H19" s="1104"/>
      <c r="I19" s="1092">
        <f t="shared" si="2"/>
        <v>0</v>
      </c>
      <c r="J19" s="1106"/>
      <c r="K19" s="1107"/>
      <c r="L19" s="1092">
        <f t="shared" si="3"/>
        <v>0</v>
      </c>
      <c r="M19" s="1096">
        <f t="shared" si="0"/>
        <v>3416864</v>
      </c>
    </row>
    <row r="20" spans="1:13" ht="31.5" customHeight="1">
      <c r="A20" s="1097" t="s">
        <v>411</v>
      </c>
      <c r="B20" s="1098" t="s">
        <v>377</v>
      </c>
      <c r="C20" s="1099" t="s">
        <v>708</v>
      </c>
      <c r="D20" s="1103">
        <v>9798424</v>
      </c>
      <c r="E20" s="1110">
        <v>1000000</v>
      </c>
      <c r="F20" s="1092">
        <f t="shared" si="1"/>
        <v>10798424</v>
      </c>
      <c r="G20" s="1105"/>
      <c r="H20" s="1104"/>
      <c r="I20" s="1092">
        <f t="shared" si="2"/>
        <v>0</v>
      </c>
      <c r="J20" s="1106"/>
      <c r="K20" s="1107"/>
      <c r="L20" s="1092">
        <f t="shared" si="3"/>
        <v>0</v>
      </c>
      <c r="M20" s="1096">
        <f t="shared" si="0"/>
        <v>10798424</v>
      </c>
    </row>
    <row r="21" spans="1:13" ht="31.5" customHeight="1">
      <c r="A21" s="1097" t="s">
        <v>412</v>
      </c>
      <c r="B21" s="1098" t="s">
        <v>822</v>
      </c>
      <c r="C21" s="1099" t="s">
        <v>957</v>
      </c>
      <c r="D21" s="1103">
        <v>4276480</v>
      </c>
      <c r="E21" s="1110">
        <f>1940000+5000000</f>
        <v>6940000</v>
      </c>
      <c r="F21" s="1092">
        <f t="shared" si="1"/>
        <v>11216480</v>
      </c>
      <c r="G21" s="1105"/>
      <c r="H21" s="1104"/>
      <c r="I21" s="1092">
        <f t="shared" si="2"/>
        <v>0</v>
      </c>
      <c r="J21" s="1106"/>
      <c r="K21" s="1107"/>
      <c r="L21" s="1092">
        <f t="shared" si="3"/>
        <v>0</v>
      </c>
      <c r="M21" s="1096">
        <f t="shared" si="0"/>
        <v>11216480</v>
      </c>
    </row>
    <row r="22" spans="1:13" ht="31.5" customHeight="1">
      <c r="A22" s="1097" t="s">
        <v>413</v>
      </c>
      <c r="B22" s="1098" t="s">
        <v>823</v>
      </c>
      <c r="C22" s="1099" t="s">
        <v>706</v>
      </c>
      <c r="D22" s="1103">
        <v>1377000</v>
      </c>
      <c r="E22" s="1110">
        <v>21830061</v>
      </c>
      <c r="F22" s="1092">
        <f t="shared" si="1"/>
        <v>23207061</v>
      </c>
      <c r="G22" s="1105"/>
      <c r="H22" s="1104"/>
      <c r="I22" s="1092">
        <f t="shared" si="2"/>
        <v>0</v>
      </c>
      <c r="J22" s="1106"/>
      <c r="K22" s="1107"/>
      <c r="L22" s="1092">
        <f t="shared" si="3"/>
        <v>0</v>
      </c>
      <c r="M22" s="1096">
        <f t="shared" si="0"/>
        <v>23207061</v>
      </c>
    </row>
    <row r="23" spans="1:13" ht="31.5" customHeight="1">
      <c r="A23" s="1097" t="s">
        <v>414</v>
      </c>
      <c r="B23" s="1098" t="s">
        <v>893</v>
      </c>
      <c r="C23" s="1099"/>
      <c r="D23" s="1103"/>
      <c r="E23" s="1110"/>
      <c r="F23" s="1092">
        <f t="shared" si="1"/>
        <v>0</v>
      </c>
      <c r="G23" s="1112">
        <f>1044000+164430+640554-254000</f>
        <v>1594984</v>
      </c>
      <c r="H23" s="1110">
        <v>973100</v>
      </c>
      <c r="I23" s="1092">
        <f t="shared" si="2"/>
        <v>2568084</v>
      </c>
      <c r="J23" s="1106"/>
      <c r="K23" s="1107"/>
      <c r="L23" s="1092">
        <f t="shared" si="3"/>
        <v>0</v>
      </c>
      <c r="M23" s="1096">
        <f t="shared" si="0"/>
        <v>2568084</v>
      </c>
    </row>
    <row r="24" spans="1:13" ht="31.5" customHeight="1">
      <c r="A24" s="1097" t="s">
        <v>415</v>
      </c>
      <c r="B24" s="1098" t="s">
        <v>824</v>
      </c>
      <c r="C24" s="1113" t="s">
        <v>958</v>
      </c>
      <c r="D24" s="1103">
        <f>609406+143206+4667808</f>
        <v>5420420</v>
      </c>
      <c r="E24" s="1110">
        <f>19510500+91442680+863600-1730500-17780000</f>
        <v>92306280</v>
      </c>
      <c r="F24" s="1092">
        <f t="shared" si="1"/>
        <v>97726700</v>
      </c>
      <c r="G24" s="1105"/>
      <c r="H24" s="1110"/>
      <c r="I24" s="1092">
        <f t="shared" si="2"/>
        <v>0</v>
      </c>
      <c r="J24" s="1106"/>
      <c r="K24" s="1107"/>
      <c r="L24" s="1092">
        <f t="shared" si="3"/>
        <v>0</v>
      </c>
      <c r="M24" s="1096">
        <f t="shared" si="0"/>
        <v>97726700</v>
      </c>
    </row>
    <row r="25" spans="1:13" ht="21.75" customHeight="1">
      <c r="A25" s="1097" t="s">
        <v>416</v>
      </c>
      <c r="B25" s="1102" t="s">
        <v>764</v>
      </c>
      <c r="C25" s="1113" t="s">
        <v>959</v>
      </c>
      <c r="D25" s="1103">
        <v>416194</v>
      </c>
      <c r="E25" s="1110">
        <v>6759599</v>
      </c>
      <c r="F25" s="1092">
        <f t="shared" si="1"/>
        <v>7175793</v>
      </c>
      <c r="G25" s="1105"/>
      <c r="H25" s="1104"/>
      <c r="I25" s="1092">
        <f t="shared" si="2"/>
        <v>0</v>
      </c>
      <c r="J25" s="1106"/>
      <c r="K25" s="1107"/>
      <c r="L25" s="1092">
        <f t="shared" si="3"/>
        <v>0</v>
      </c>
      <c r="M25" s="1096">
        <f t="shared" si="0"/>
        <v>7175793</v>
      </c>
    </row>
    <row r="26" spans="1:13" ht="21.75" customHeight="1">
      <c r="A26" s="1097" t="s">
        <v>417</v>
      </c>
      <c r="B26" s="1102" t="s">
        <v>380</v>
      </c>
      <c r="C26" s="1113" t="s">
        <v>705</v>
      </c>
      <c r="D26" s="1103">
        <v>24094440</v>
      </c>
      <c r="E26" s="1110">
        <v>2794000</v>
      </c>
      <c r="F26" s="1092">
        <f t="shared" si="1"/>
        <v>26888440</v>
      </c>
      <c r="G26" s="1105"/>
      <c r="H26" s="1104"/>
      <c r="I26" s="1092">
        <f t="shared" si="2"/>
        <v>0</v>
      </c>
      <c r="J26" s="1106"/>
      <c r="K26" s="1107"/>
      <c r="L26" s="1092">
        <f t="shared" si="3"/>
        <v>0</v>
      </c>
      <c r="M26" s="1096">
        <f t="shared" si="0"/>
        <v>26888440</v>
      </c>
    </row>
    <row r="27" spans="1:13" ht="21.75" customHeight="1">
      <c r="A27" s="1097" t="s">
        <v>418</v>
      </c>
      <c r="B27" s="1102" t="s">
        <v>378</v>
      </c>
      <c r="C27" s="1113" t="s">
        <v>705</v>
      </c>
      <c r="D27" s="1103">
        <f>34917000-1444000</f>
        <v>33473000</v>
      </c>
      <c r="E27" s="1110"/>
      <c r="F27" s="1092">
        <f t="shared" si="1"/>
        <v>33473000</v>
      </c>
      <c r="G27" s="1105"/>
      <c r="H27" s="1104"/>
      <c r="I27" s="1092">
        <f t="shared" si="2"/>
        <v>0</v>
      </c>
      <c r="J27" s="1106"/>
      <c r="K27" s="1107"/>
      <c r="L27" s="1092">
        <f t="shared" si="3"/>
        <v>0</v>
      </c>
      <c r="M27" s="1096">
        <f t="shared" si="0"/>
        <v>33473000</v>
      </c>
    </row>
    <row r="28" spans="1:13" ht="22.5" customHeight="1">
      <c r="A28" s="1097" t="s">
        <v>419</v>
      </c>
      <c r="B28" s="1102" t="s">
        <v>82</v>
      </c>
      <c r="C28" s="1114" t="s">
        <v>960</v>
      </c>
      <c r="D28" s="1103">
        <f>25000+3938+14028933-1454446+14018000-6364000-3280000+38197</f>
        <v>17015622</v>
      </c>
      <c r="E28" s="1110">
        <f>3348220+2000000</f>
        <v>5348220</v>
      </c>
      <c r="F28" s="1092">
        <f t="shared" si="1"/>
        <v>22363842</v>
      </c>
      <c r="G28" s="1112">
        <v>1454446</v>
      </c>
      <c r="H28" s="1104"/>
      <c r="I28" s="1092">
        <f t="shared" si="2"/>
        <v>1454446</v>
      </c>
      <c r="J28" s="1106"/>
      <c r="K28" s="1107"/>
      <c r="L28" s="1092">
        <f t="shared" si="3"/>
        <v>0</v>
      </c>
      <c r="M28" s="1096">
        <f t="shared" si="0"/>
        <v>23818288</v>
      </c>
    </row>
    <row r="29" spans="1:13" ht="23.25" customHeight="1">
      <c r="A29" s="1097" t="s">
        <v>420</v>
      </c>
      <c r="B29" s="1102" t="s">
        <v>382</v>
      </c>
      <c r="C29" s="1113" t="s">
        <v>961</v>
      </c>
      <c r="D29" s="1103">
        <v>360000</v>
      </c>
      <c r="E29" s="1104"/>
      <c r="F29" s="1092">
        <f t="shared" si="1"/>
        <v>360000</v>
      </c>
      <c r="G29" s="1105"/>
      <c r="H29" s="1104"/>
      <c r="I29" s="1092">
        <f t="shared" si="2"/>
        <v>0</v>
      </c>
      <c r="J29" s="1106"/>
      <c r="K29" s="1107"/>
      <c r="L29" s="1092">
        <f t="shared" si="3"/>
        <v>0</v>
      </c>
      <c r="M29" s="1096">
        <f t="shared" si="0"/>
        <v>360000</v>
      </c>
    </row>
    <row r="30" spans="1:13" ht="22.5" customHeight="1">
      <c r="A30" s="1097" t="s">
        <v>421</v>
      </c>
      <c r="B30" s="1102" t="s">
        <v>383</v>
      </c>
      <c r="C30" s="1113" t="s">
        <v>961</v>
      </c>
      <c r="D30" s="1103">
        <v>27644450</v>
      </c>
      <c r="E30" s="1110"/>
      <c r="F30" s="1092">
        <f t="shared" si="1"/>
        <v>27644450</v>
      </c>
      <c r="G30" s="1105"/>
      <c r="H30" s="1104"/>
      <c r="I30" s="1092">
        <f t="shared" si="2"/>
        <v>0</v>
      </c>
      <c r="J30" s="1106"/>
      <c r="K30" s="1107"/>
      <c r="L30" s="1092">
        <f t="shared" si="3"/>
        <v>0</v>
      </c>
      <c r="M30" s="1096">
        <f t="shared" si="0"/>
        <v>27644450</v>
      </c>
    </row>
    <row r="31" spans="1:13" ht="22.5" customHeight="1">
      <c r="A31" s="1097" t="s">
        <v>487</v>
      </c>
      <c r="B31" s="1102" t="s">
        <v>384</v>
      </c>
      <c r="C31" s="1113" t="s">
        <v>709</v>
      </c>
      <c r="D31" s="1103">
        <f>120000+2626200</f>
        <v>2746200</v>
      </c>
      <c r="E31" s="1104"/>
      <c r="F31" s="1092">
        <f t="shared" si="1"/>
        <v>2746200</v>
      </c>
      <c r="G31" s="1105"/>
      <c r="H31" s="1104"/>
      <c r="I31" s="1092">
        <f t="shared" si="2"/>
        <v>0</v>
      </c>
      <c r="J31" s="1106"/>
      <c r="K31" s="1107"/>
      <c r="L31" s="1092">
        <f t="shared" si="3"/>
        <v>0</v>
      </c>
      <c r="M31" s="1096">
        <f t="shared" si="0"/>
        <v>2746200</v>
      </c>
    </row>
    <row r="32" spans="1:13" ht="29.25" customHeight="1">
      <c r="A32" s="1097" t="s">
        <v>488</v>
      </c>
      <c r="B32" s="1098" t="s">
        <v>716</v>
      </c>
      <c r="C32" s="1099" t="s">
        <v>961</v>
      </c>
      <c r="D32" s="1103">
        <f>27396716+4793101+2949420+2500000+387500</f>
        <v>38026737</v>
      </c>
      <c r="E32" s="1110">
        <v>190500</v>
      </c>
      <c r="F32" s="1092">
        <f t="shared" si="1"/>
        <v>38217237</v>
      </c>
      <c r="G32" s="1105"/>
      <c r="H32" s="1104"/>
      <c r="I32" s="1092">
        <f t="shared" si="2"/>
        <v>0</v>
      </c>
      <c r="J32" s="1106"/>
      <c r="K32" s="1107"/>
      <c r="L32" s="1092">
        <f t="shared" si="3"/>
        <v>0</v>
      </c>
      <c r="M32" s="1096">
        <f t="shared" si="0"/>
        <v>38217237</v>
      </c>
    </row>
    <row r="33" spans="1:13" ht="29.25" customHeight="1">
      <c r="A33" s="1097" t="s">
        <v>489</v>
      </c>
      <c r="B33" s="1007" t="s">
        <v>1047</v>
      </c>
      <c r="C33" s="1092" t="s">
        <v>1052</v>
      </c>
      <c r="D33" s="1103">
        <f>600000+1275000</f>
        <v>1875000</v>
      </c>
      <c r="E33" s="1110">
        <f>400000+100000</f>
        <v>500000</v>
      </c>
      <c r="F33" s="1092">
        <f t="shared" si="1"/>
        <v>2375000</v>
      </c>
      <c r="G33" s="1105"/>
      <c r="H33" s="1104"/>
      <c r="I33" s="1092">
        <f t="shared" si="2"/>
        <v>0</v>
      </c>
      <c r="J33" s="1106"/>
      <c r="K33" s="1107"/>
      <c r="L33" s="1092">
        <f t="shared" si="3"/>
        <v>0</v>
      </c>
      <c r="M33" s="1096">
        <f t="shared" si="0"/>
        <v>2375000</v>
      </c>
    </row>
    <row r="34" spans="1:13" ht="29.25" customHeight="1">
      <c r="A34" s="1097" t="s">
        <v>468</v>
      </c>
      <c r="B34" s="1115" t="s">
        <v>81</v>
      </c>
      <c r="C34" s="1092" t="s">
        <v>710</v>
      </c>
      <c r="D34" s="1103">
        <f>16949000+1500000</f>
        <v>18449000</v>
      </c>
      <c r="E34" s="1104"/>
      <c r="F34" s="1092">
        <f t="shared" si="1"/>
        <v>18449000</v>
      </c>
      <c r="G34" s="370"/>
      <c r="H34" s="1110"/>
      <c r="I34" s="1092">
        <f t="shared" si="2"/>
        <v>0</v>
      </c>
      <c r="J34" s="1106"/>
      <c r="K34" s="1107"/>
      <c r="L34" s="1092">
        <f t="shared" si="3"/>
        <v>0</v>
      </c>
      <c r="M34" s="1096">
        <f t="shared" si="0"/>
        <v>18449000</v>
      </c>
    </row>
    <row r="35" spans="1:13" ht="30.75" customHeight="1">
      <c r="A35" s="1097" t="s">
        <v>490</v>
      </c>
      <c r="B35" s="1115" t="s">
        <v>853</v>
      </c>
      <c r="C35" s="1092"/>
      <c r="D35" s="1103"/>
      <c r="E35" s="1104"/>
      <c r="F35" s="1092">
        <f t="shared" si="1"/>
        <v>0</v>
      </c>
      <c r="G35" s="371">
        <v>15000</v>
      </c>
      <c r="H35" s="1110"/>
      <c r="I35" s="1092">
        <f t="shared" si="2"/>
        <v>15000</v>
      </c>
      <c r="J35" s="1106"/>
      <c r="K35" s="1107"/>
      <c r="L35" s="1092">
        <f t="shared" si="3"/>
        <v>0</v>
      </c>
      <c r="M35" s="1096">
        <f t="shared" si="0"/>
        <v>15000</v>
      </c>
    </row>
    <row r="36" spans="1:13" ht="23.25" customHeight="1">
      <c r="A36" s="1097" t="s">
        <v>422</v>
      </c>
      <c r="B36" s="1116" t="s">
        <v>605</v>
      </c>
      <c r="C36" s="1092"/>
      <c r="D36" s="1109"/>
      <c r="E36" s="1104"/>
      <c r="F36" s="1092">
        <f t="shared" si="1"/>
        <v>0</v>
      </c>
      <c r="G36" s="1117">
        <f>80000+38963+1830220</f>
        <v>1949183</v>
      </c>
      <c r="H36" s="1110">
        <v>730250</v>
      </c>
      <c r="I36" s="1092">
        <f t="shared" si="2"/>
        <v>2679433</v>
      </c>
      <c r="J36" s="1106"/>
      <c r="K36" s="1107"/>
      <c r="L36" s="1092">
        <f t="shared" si="3"/>
        <v>0</v>
      </c>
      <c r="M36" s="1096">
        <f t="shared" si="0"/>
        <v>2679433</v>
      </c>
    </row>
    <row r="37" spans="1:13" ht="23.25" customHeight="1">
      <c r="A37" s="1097" t="s">
        <v>423</v>
      </c>
      <c r="B37" s="1098" t="s">
        <v>83</v>
      </c>
      <c r="C37" s="369"/>
      <c r="D37" s="1118"/>
      <c r="E37" s="1119"/>
      <c r="F37" s="1092">
        <f t="shared" si="1"/>
        <v>0</v>
      </c>
      <c r="G37" s="1120">
        <v>73660</v>
      </c>
      <c r="H37" s="1119"/>
      <c r="I37" s="1092">
        <f t="shared" si="2"/>
        <v>73660</v>
      </c>
      <c r="J37" s="1106"/>
      <c r="K37" s="1107"/>
      <c r="L37" s="1092">
        <f t="shared" si="3"/>
        <v>0</v>
      </c>
      <c r="M37" s="1096">
        <f t="shared" si="0"/>
        <v>73660</v>
      </c>
    </row>
    <row r="38" spans="1:13" ht="23.25" customHeight="1">
      <c r="A38" s="1097" t="s">
        <v>424</v>
      </c>
      <c r="B38" s="1098" t="s">
        <v>854</v>
      </c>
      <c r="C38" s="369"/>
      <c r="D38" s="1118"/>
      <c r="E38" s="1119"/>
      <c r="F38" s="1092">
        <f t="shared" si="1"/>
        <v>0</v>
      </c>
      <c r="G38" s="1120">
        <v>12229669</v>
      </c>
      <c r="H38" s="1121"/>
      <c r="I38" s="1092">
        <f t="shared" si="2"/>
        <v>12229669</v>
      </c>
      <c r="J38" s="1106"/>
      <c r="K38" s="1107"/>
      <c r="L38" s="1092">
        <f t="shared" si="3"/>
        <v>0</v>
      </c>
      <c r="M38" s="1096">
        <f t="shared" si="0"/>
        <v>12229669</v>
      </c>
    </row>
    <row r="39" spans="1:13" ht="23.25" customHeight="1">
      <c r="A39" s="1097" t="s">
        <v>491</v>
      </c>
      <c r="B39" s="1098" t="s">
        <v>827</v>
      </c>
      <c r="C39" s="1092" t="s">
        <v>715</v>
      </c>
      <c r="D39" s="1118"/>
      <c r="E39" s="1121">
        <v>31599998</v>
      </c>
      <c r="F39" s="1092">
        <f t="shared" si="1"/>
        <v>31599998</v>
      </c>
      <c r="G39" s="1120"/>
      <c r="H39" s="1119"/>
      <c r="I39" s="1092">
        <f t="shared" si="2"/>
        <v>0</v>
      </c>
      <c r="J39" s="1106"/>
      <c r="K39" s="1107"/>
      <c r="L39" s="1092">
        <f t="shared" si="3"/>
        <v>0</v>
      </c>
      <c r="M39" s="1096">
        <f t="shared" si="0"/>
        <v>31599998</v>
      </c>
    </row>
    <row r="40" spans="1:13" ht="24" customHeight="1">
      <c r="A40" s="1097" t="s">
        <v>425</v>
      </c>
      <c r="B40" s="1098" t="s">
        <v>828</v>
      </c>
      <c r="C40" s="369"/>
      <c r="D40" s="1118"/>
      <c r="E40" s="1121"/>
      <c r="F40" s="1092">
        <f t="shared" si="1"/>
        <v>0</v>
      </c>
      <c r="G40" s="1120">
        <f>12302209+5000000+875000+18063936</f>
        <v>36241145</v>
      </c>
      <c r="H40" s="1119"/>
      <c r="I40" s="1092">
        <f t="shared" si="2"/>
        <v>36241145</v>
      </c>
      <c r="J40" s="1106"/>
      <c r="K40" s="1107"/>
      <c r="L40" s="1092">
        <f t="shared" si="3"/>
        <v>0</v>
      </c>
      <c r="M40" s="1096">
        <f t="shared" si="0"/>
        <v>36241145</v>
      </c>
    </row>
    <row r="41" spans="1:13" ht="21.75" customHeight="1">
      <c r="A41" s="1097" t="s">
        <v>442</v>
      </c>
      <c r="B41" s="1098" t="s">
        <v>637</v>
      </c>
      <c r="C41" s="1122" t="s">
        <v>962</v>
      </c>
      <c r="D41" s="1123">
        <f>2543600+445130+57876511</f>
        <v>60865241</v>
      </c>
      <c r="E41" s="1121">
        <v>74930</v>
      </c>
      <c r="F41" s="1092">
        <f t="shared" si="1"/>
        <v>60940171</v>
      </c>
      <c r="G41" s="1124"/>
      <c r="H41" s="1119"/>
      <c r="I41" s="1092">
        <f t="shared" si="2"/>
        <v>0</v>
      </c>
      <c r="J41" s="1106"/>
      <c r="K41" s="1107"/>
      <c r="L41" s="1092">
        <f t="shared" si="3"/>
        <v>0</v>
      </c>
      <c r="M41" s="1096">
        <f t="shared" si="0"/>
        <v>60940171</v>
      </c>
    </row>
    <row r="42" spans="1:13" ht="24" customHeight="1">
      <c r="A42" s="1097" t="s">
        <v>492</v>
      </c>
      <c r="B42" s="1102" t="s">
        <v>699</v>
      </c>
      <c r="C42" s="1113"/>
      <c r="D42" s="1109"/>
      <c r="E42" s="1104"/>
      <c r="F42" s="1092">
        <f t="shared" si="1"/>
        <v>0</v>
      </c>
      <c r="G42" s="1112">
        <v>21650000</v>
      </c>
      <c r="H42" s="1104"/>
      <c r="I42" s="1092">
        <f t="shared" si="2"/>
        <v>21650000</v>
      </c>
      <c r="J42" s="1106"/>
      <c r="K42" s="1107"/>
      <c r="L42" s="1092">
        <f t="shared" si="3"/>
        <v>0</v>
      </c>
      <c r="M42" s="1096">
        <f t="shared" si="0"/>
        <v>21650000</v>
      </c>
    </row>
    <row r="43" spans="1:13" ht="29.25" customHeight="1">
      <c r="A43" s="1097" t="s">
        <v>493</v>
      </c>
      <c r="B43" s="1098" t="s">
        <v>639</v>
      </c>
      <c r="C43" s="1122" t="s">
        <v>724</v>
      </c>
      <c r="D43" s="1123">
        <v>1812600</v>
      </c>
      <c r="E43" s="1119"/>
      <c r="F43" s="1092">
        <f t="shared" si="1"/>
        <v>1812600</v>
      </c>
      <c r="G43" s="1124"/>
      <c r="H43" s="1119"/>
      <c r="I43" s="1092">
        <f t="shared" si="2"/>
        <v>0</v>
      </c>
      <c r="J43" s="1106"/>
      <c r="K43" s="1107"/>
      <c r="L43" s="1092">
        <f t="shared" si="3"/>
        <v>0</v>
      </c>
      <c r="M43" s="1096">
        <f>SUM(F43+I43+L43)</f>
        <v>1812600</v>
      </c>
    </row>
    <row r="44" spans="1:13" ht="21.75" customHeight="1">
      <c r="A44" s="1097" t="s">
        <v>833</v>
      </c>
      <c r="B44" s="1102" t="s">
        <v>765</v>
      </c>
      <c r="C44" s="1113"/>
      <c r="D44" s="1109"/>
      <c r="E44" s="1104"/>
      <c r="F44" s="1092">
        <f t="shared" si="1"/>
        <v>0</v>
      </c>
      <c r="G44" s="1112">
        <f>46804899+13881090</f>
        <v>60685989</v>
      </c>
      <c r="H44" s="1110">
        <f>6000000</f>
        <v>6000000</v>
      </c>
      <c r="I44" s="1092">
        <f t="shared" si="2"/>
        <v>66685989</v>
      </c>
      <c r="J44" s="1106"/>
      <c r="K44" s="1107"/>
      <c r="L44" s="1092">
        <f t="shared" si="3"/>
        <v>0</v>
      </c>
      <c r="M44" s="1096">
        <f t="shared" si="0"/>
        <v>66685989</v>
      </c>
    </row>
    <row r="45" spans="1:13" ht="21.75" customHeight="1">
      <c r="A45" s="1097" t="s">
        <v>834</v>
      </c>
      <c r="B45" s="1102" t="s">
        <v>464</v>
      </c>
      <c r="C45" s="1113" t="s">
        <v>713</v>
      </c>
      <c r="D45" s="1103">
        <f>4632000-1016000+1344830+208449+17596440</f>
        <v>22765719</v>
      </c>
      <c r="E45" s="1110">
        <f>560000</f>
        <v>560000</v>
      </c>
      <c r="F45" s="1092">
        <f t="shared" si="1"/>
        <v>23325719</v>
      </c>
      <c r="G45" s="1105"/>
      <c r="H45" s="1104"/>
      <c r="I45" s="1092">
        <f t="shared" si="2"/>
        <v>0</v>
      </c>
      <c r="J45" s="1106"/>
      <c r="K45" s="1107"/>
      <c r="L45" s="1092">
        <f t="shared" si="3"/>
        <v>0</v>
      </c>
      <c r="M45" s="1096">
        <f t="shared" si="0"/>
        <v>23325719</v>
      </c>
    </row>
    <row r="46" spans="1:13" ht="26.25" customHeight="1">
      <c r="A46" s="1097" t="s">
        <v>835</v>
      </c>
      <c r="B46" s="1102" t="s">
        <v>830</v>
      </c>
      <c r="C46" s="1113" t="s">
        <v>855</v>
      </c>
      <c r="D46" s="1103">
        <f>2286000-1143000+3459090+536159+175000</f>
        <v>5313249</v>
      </c>
      <c r="E46" s="1110">
        <f>250000</f>
        <v>250000</v>
      </c>
      <c r="F46" s="1092">
        <f t="shared" si="1"/>
        <v>5563249</v>
      </c>
      <c r="G46" s="1105"/>
      <c r="H46" s="1104"/>
      <c r="I46" s="1092">
        <f t="shared" si="2"/>
        <v>0</v>
      </c>
      <c r="J46" s="1106"/>
      <c r="K46" s="1107"/>
      <c r="L46" s="1092">
        <f t="shared" si="3"/>
        <v>0</v>
      </c>
      <c r="M46" s="1096">
        <f t="shared" si="0"/>
        <v>5563249</v>
      </c>
    </row>
    <row r="47" spans="1:13" ht="26.25" customHeight="1">
      <c r="A47" s="1097" t="s">
        <v>836</v>
      </c>
      <c r="B47" s="1098" t="s">
        <v>606</v>
      </c>
      <c r="C47" s="1092" t="s">
        <v>720</v>
      </c>
      <c r="D47" s="1103">
        <v>3804900</v>
      </c>
      <c r="E47" s="1104"/>
      <c r="F47" s="1092">
        <f t="shared" si="1"/>
        <v>3804900</v>
      </c>
      <c r="G47" s="1105"/>
      <c r="H47" s="1104"/>
      <c r="I47" s="1092">
        <f t="shared" si="2"/>
        <v>0</v>
      </c>
      <c r="J47" s="1106"/>
      <c r="K47" s="1107"/>
      <c r="L47" s="1092">
        <f t="shared" si="3"/>
        <v>0</v>
      </c>
      <c r="M47" s="1096">
        <f t="shared" si="0"/>
        <v>3804900</v>
      </c>
    </row>
    <row r="48" spans="1:13" s="74" customFormat="1" ht="27.75" customHeight="1">
      <c r="A48" s="1097" t="s">
        <v>837</v>
      </c>
      <c r="B48" s="1098" t="s">
        <v>832</v>
      </c>
      <c r="C48" s="1099"/>
      <c r="D48" s="1103"/>
      <c r="E48" s="1104"/>
      <c r="F48" s="1092">
        <f t="shared" si="1"/>
        <v>0</v>
      </c>
      <c r="G48" s="1112">
        <f>18342800+3773040+22523810+1586250+1321875+60657486</f>
        <v>108205261</v>
      </c>
      <c r="H48" s="1110">
        <f>2460790+523290</f>
        <v>2984080</v>
      </c>
      <c r="I48" s="1092">
        <f t="shared" si="2"/>
        <v>111189341</v>
      </c>
      <c r="J48" s="1106"/>
      <c r="K48" s="1106"/>
      <c r="L48" s="1092">
        <f t="shared" si="3"/>
        <v>0</v>
      </c>
      <c r="M48" s="1096">
        <f t="shared" si="0"/>
        <v>111189341</v>
      </c>
    </row>
    <row r="49" spans="1:13" ht="24.75" customHeight="1">
      <c r="A49" s="1097" t="s">
        <v>838</v>
      </c>
      <c r="B49" s="1098" t="s">
        <v>381</v>
      </c>
      <c r="C49" s="1099" t="s">
        <v>714</v>
      </c>
      <c r="D49" s="1103">
        <f>2350000-1000000</f>
        <v>1350000</v>
      </c>
      <c r="E49" s="1110"/>
      <c r="F49" s="1092">
        <f t="shared" si="1"/>
        <v>1350000</v>
      </c>
      <c r="G49" s="1103">
        <v>200000</v>
      </c>
      <c r="H49" s="1104"/>
      <c r="I49" s="1092">
        <f t="shared" si="2"/>
        <v>200000</v>
      </c>
      <c r="J49" s="1125"/>
      <c r="K49" s="1125"/>
      <c r="L49" s="1092">
        <f t="shared" si="3"/>
        <v>0</v>
      </c>
      <c r="M49" s="1096">
        <f t="shared" si="0"/>
        <v>1550000</v>
      </c>
    </row>
    <row r="50" spans="1:16" s="265" customFormat="1" ht="23.25" customHeight="1" thickBot="1">
      <c r="A50" s="1097" t="s">
        <v>1053</v>
      </c>
      <c r="B50" s="1098" t="s">
        <v>603</v>
      </c>
      <c r="C50" s="1126"/>
      <c r="D50" s="1127"/>
      <c r="E50" s="1128"/>
      <c r="F50" s="1092">
        <f t="shared" si="1"/>
        <v>0</v>
      </c>
      <c r="G50" s="1129">
        <v>8285000</v>
      </c>
      <c r="H50" s="1128"/>
      <c r="I50" s="1092">
        <f t="shared" si="2"/>
        <v>8285000</v>
      </c>
      <c r="J50" s="1130"/>
      <c r="K50" s="1130"/>
      <c r="L50" s="1092">
        <f t="shared" si="3"/>
        <v>0</v>
      </c>
      <c r="M50" s="1131">
        <f t="shared" si="0"/>
        <v>8285000</v>
      </c>
      <c r="P50" s="268">
        <f>SUM(L50,I50,F50)</f>
        <v>8285000</v>
      </c>
    </row>
    <row r="51" spans="1:16" ht="30.75" customHeight="1" thickBot="1">
      <c r="A51" s="1132" t="s">
        <v>700</v>
      </c>
      <c r="B51" s="1133"/>
      <c r="C51" s="1134"/>
      <c r="D51" s="1135">
        <f aca="true" t="shared" si="4" ref="D51:M51">SUM(D9:D50)</f>
        <v>549144418</v>
      </c>
      <c r="E51" s="1136">
        <f t="shared" si="4"/>
        <v>287581998</v>
      </c>
      <c r="F51" s="1137">
        <f t="shared" si="4"/>
        <v>836726416</v>
      </c>
      <c r="G51" s="1136">
        <f t="shared" si="4"/>
        <v>270247451</v>
      </c>
      <c r="H51" s="1136">
        <f t="shared" si="4"/>
        <v>633001001</v>
      </c>
      <c r="I51" s="1137">
        <f t="shared" si="4"/>
        <v>903248452</v>
      </c>
      <c r="J51" s="1136">
        <f t="shared" si="4"/>
        <v>12311385</v>
      </c>
      <c r="K51" s="1136">
        <f t="shared" si="4"/>
        <v>0</v>
      </c>
      <c r="L51" s="1137">
        <f t="shared" si="4"/>
        <v>12311385</v>
      </c>
      <c r="M51" s="1137">
        <f t="shared" si="4"/>
        <v>1752286253</v>
      </c>
      <c r="P51" s="266"/>
    </row>
    <row r="52" spans="1:16" ht="30.75" customHeight="1">
      <c r="A52" s="1111" t="s">
        <v>400</v>
      </c>
      <c r="B52" s="1098" t="s">
        <v>59</v>
      </c>
      <c r="C52" s="1089" t="s">
        <v>714</v>
      </c>
      <c r="D52" s="1138">
        <f>91562414+16696818+26913440+103400+18095+1263600+221130-340425-59575-513114+513114</f>
        <v>136378897</v>
      </c>
      <c r="E52" s="1139">
        <v>1934590</v>
      </c>
      <c r="F52" s="1092">
        <f>SUM(D52:E52)</f>
        <v>138313487</v>
      </c>
      <c r="G52" s="1138"/>
      <c r="H52" s="1139"/>
      <c r="I52" s="1089">
        <f>SUM(G52:H52)</f>
        <v>0</v>
      </c>
      <c r="J52" s="1138"/>
      <c r="K52" s="1139"/>
      <c r="L52" s="1089">
        <f>SUM(J52:K52)</f>
        <v>0</v>
      </c>
      <c r="M52" s="1096">
        <f>SUM(L52,I52,F52)</f>
        <v>138313487</v>
      </c>
      <c r="P52" s="266"/>
    </row>
    <row r="53" spans="1:16" ht="24">
      <c r="A53" s="1111" t="s">
        <v>401</v>
      </c>
      <c r="B53" s="1098" t="s">
        <v>963</v>
      </c>
      <c r="C53" s="1099"/>
      <c r="D53" s="1090"/>
      <c r="E53" s="1100"/>
      <c r="F53" s="1092">
        <f>SUM(D53:E53)</f>
        <v>0</v>
      </c>
      <c r="G53" s="1090">
        <v>5569500</v>
      </c>
      <c r="H53" s="1100"/>
      <c r="I53" s="1092">
        <f>SUM(G53:H53)</f>
        <v>5569500</v>
      </c>
      <c r="J53" s="1090"/>
      <c r="K53" s="1100"/>
      <c r="L53" s="1092">
        <f>SUM(J53:K53)</f>
        <v>0</v>
      </c>
      <c r="M53" s="1096">
        <f>SUM(L53,I53,F53)</f>
        <v>5569500</v>
      </c>
      <c r="P53" s="266"/>
    </row>
    <row r="54" spans="1:16" s="265" customFormat="1" ht="23.25" customHeight="1" thickBot="1">
      <c r="A54" s="1111" t="s">
        <v>402</v>
      </c>
      <c r="B54" s="1140" t="s">
        <v>964</v>
      </c>
      <c r="C54" s="1141"/>
      <c r="D54" s="1103"/>
      <c r="E54" s="1110"/>
      <c r="F54" s="1092">
        <f>SUM(D54:E54)</f>
        <v>0</v>
      </c>
      <c r="G54" s="1103">
        <v>2881247</v>
      </c>
      <c r="H54" s="1110"/>
      <c r="I54" s="1092">
        <f>SUM(G54:H54)</f>
        <v>2881247</v>
      </c>
      <c r="J54" s="1103"/>
      <c r="K54" s="1110"/>
      <c r="L54" s="1092">
        <f>SUM(J54:K54)</f>
        <v>0</v>
      </c>
      <c r="M54" s="1096">
        <f>SUM(L54,I54,F54)</f>
        <v>2881247</v>
      </c>
      <c r="P54" s="268">
        <f>SUM(L54,I54,F54)</f>
        <v>2881247</v>
      </c>
    </row>
    <row r="55" spans="1:16" ht="23.25" customHeight="1" thickBot="1">
      <c r="A55" s="1132" t="s">
        <v>494</v>
      </c>
      <c r="B55" s="1133"/>
      <c r="C55" s="1134"/>
      <c r="D55" s="1135">
        <f aca="true" t="shared" si="5" ref="D55:M55">SUM(D52:D54)</f>
        <v>136378897</v>
      </c>
      <c r="E55" s="1136">
        <f t="shared" si="5"/>
        <v>1934590</v>
      </c>
      <c r="F55" s="1137">
        <f t="shared" si="5"/>
        <v>138313487</v>
      </c>
      <c r="G55" s="1136">
        <f t="shared" si="5"/>
        <v>8450747</v>
      </c>
      <c r="H55" s="1136">
        <f t="shared" si="5"/>
        <v>0</v>
      </c>
      <c r="I55" s="1137">
        <f t="shared" si="5"/>
        <v>8450747</v>
      </c>
      <c r="J55" s="1136">
        <f t="shared" si="5"/>
        <v>0</v>
      </c>
      <c r="K55" s="1136">
        <f t="shared" si="5"/>
        <v>0</v>
      </c>
      <c r="L55" s="1137">
        <f t="shared" si="5"/>
        <v>0</v>
      </c>
      <c r="M55" s="1137">
        <f t="shared" si="5"/>
        <v>146764234</v>
      </c>
      <c r="P55" s="266"/>
    </row>
    <row r="56" spans="1:16" ht="23.25" customHeight="1">
      <c r="A56" s="1087" t="s">
        <v>400</v>
      </c>
      <c r="B56" s="1142" t="s">
        <v>495</v>
      </c>
      <c r="C56" s="1122" t="s">
        <v>719</v>
      </c>
      <c r="D56" s="1143">
        <v>31853858</v>
      </c>
      <c r="E56" s="1144"/>
      <c r="F56" s="1145">
        <f aca="true" t="shared" si="6" ref="F56:F65">SUM(D56:E56)</f>
        <v>31853858</v>
      </c>
      <c r="G56" s="1143"/>
      <c r="H56" s="1144"/>
      <c r="I56" s="1145">
        <f aca="true" t="shared" si="7" ref="I56:I65">SUM(G56:H56)</f>
        <v>0</v>
      </c>
      <c r="J56" s="1143"/>
      <c r="K56" s="1144"/>
      <c r="L56" s="1145">
        <f aca="true" t="shared" si="8" ref="L56:L65">SUM(J56:K56)</f>
        <v>0</v>
      </c>
      <c r="M56" s="1096">
        <f aca="true" t="shared" si="9" ref="M56:M65">SUM(L56,I56,F56)</f>
        <v>31853858</v>
      </c>
      <c r="P56" s="266"/>
    </row>
    <row r="57" spans="1:16" ht="23.25" customHeight="1">
      <c r="A57" s="1111" t="s">
        <v>401</v>
      </c>
      <c r="B57" s="1098" t="s">
        <v>856</v>
      </c>
      <c r="C57" s="1146" t="s">
        <v>715</v>
      </c>
      <c r="D57" s="1123">
        <f>128705693+3215520+562716-330000-57750-1461600-255780+216700+37923</f>
        <v>130633422</v>
      </c>
      <c r="E57" s="1121"/>
      <c r="F57" s="1092">
        <f t="shared" si="6"/>
        <v>130633422</v>
      </c>
      <c r="G57" s="1147"/>
      <c r="H57" s="1148"/>
      <c r="I57" s="1092">
        <f t="shared" si="7"/>
        <v>0</v>
      </c>
      <c r="J57" s="1106"/>
      <c r="K57" s="1106"/>
      <c r="L57" s="1092">
        <f t="shared" si="8"/>
        <v>0</v>
      </c>
      <c r="M57" s="1096">
        <f t="shared" si="9"/>
        <v>130633422</v>
      </c>
      <c r="P57" s="266"/>
    </row>
    <row r="58" spans="1:16" ht="23.25" customHeight="1">
      <c r="A58" s="1097" t="s">
        <v>402</v>
      </c>
      <c r="B58" s="1098" t="s">
        <v>897</v>
      </c>
      <c r="C58" s="1149"/>
      <c r="D58" s="1123">
        <v>10508378</v>
      </c>
      <c r="E58" s="1121">
        <f>309245+508000</f>
        <v>817245</v>
      </c>
      <c r="F58" s="1092">
        <f t="shared" si="6"/>
        <v>11325623</v>
      </c>
      <c r="G58" s="1147"/>
      <c r="H58" s="1148"/>
      <c r="I58" s="1092">
        <f t="shared" si="7"/>
        <v>0</v>
      </c>
      <c r="J58" s="1106"/>
      <c r="K58" s="1106"/>
      <c r="L58" s="1092">
        <f t="shared" si="8"/>
        <v>0</v>
      </c>
      <c r="M58" s="1096">
        <f t="shared" si="9"/>
        <v>11325623</v>
      </c>
      <c r="P58" s="266"/>
    </row>
    <row r="59" spans="1:16" ht="23.25" customHeight="1">
      <c r="A59" s="1097" t="s">
        <v>403</v>
      </c>
      <c r="B59" s="1098" t="s">
        <v>579</v>
      </c>
      <c r="C59" s="1150" t="s">
        <v>609</v>
      </c>
      <c r="D59" s="1123">
        <f>24097710+1249875+4222056+218728+4796826+91000+1125000-1245375+196875-217940</f>
        <v>34534755</v>
      </c>
      <c r="E59" s="1121">
        <v>304800</v>
      </c>
      <c r="F59" s="1092">
        <f t="shared" si="6"/>
        <v>34839555</v>
      </c>
      <c r="G59" s="1147"/>
      <c r="H59" s="1148"/>
      <c r="I59" s="1092">
        <f t="shared" si="7"/>
        <v>0</v>
      </c>
      <c r="J59" s="1106"/>
      <c r="K59" s="1106"/>
      <c r="L59" s="1092">
        <f t="shared" si="8"/>
        <v>0</v>
      </c>
      <c r="M59" s="1096">
        <f t="shared" si="9"/>
        <v>34839555</v>
      </c>
      <c r="P59" s="266"/>
    </row>
    <row r="60" spans="1:16" ht="23.25" customHeight="1">
      <c r="A60" s="1097" t="s">
        <v>404</v>
      </c>
      <c r="B60" s="1098" t="s">
        <v>701</v>
      </c>
      <c r="C60" s="1150" t="s">
        <v>721</v>
      </c>
      <c r="D60" s="1123">
        <f>11177496+981000+1927326+171675+2955612+91000+1035000-976500+181125-170887</f>
        <v>17372847</v>
      </c>
      <c r="E60" s="1121">
        <v>401320</v>
      </c>
      <c r="F60" s="1092">
        <f t="shared" si="6"/>
        <v>17774167</v>
      </c>
      <c r="G60" s="1147"/>
      <c r="H60" s="1148"/>
      <c r="I60" s="1092">
        <f t="shared" si="7"/>
        <v>0</v>
      </c>
      <c r="J60" s="1106"/>
      <c r="K60" s="1106"/>
      <c r="L60" s="1092">
        <f t="shared" si="8"/>
        <v>0</v>
      </c>
      <c r="M60" s="1096">
        <f t="shared" si="9"/>
        <v>17774167</v>
      </c>
      <c r="P60" s="266"/>
    </row>
    <row r="61" spans="1:16" ht="23.25" customHeight="1">
      <c r="A61" s="1097" t="s">
        <v>405</v>
      </c>
      <c r="B61" s="1098" t="s">
        <v>702</v>
      </c>
      <c r="C61" s="1150" t="s">
        <v>722</v>
      </c>
      <c r="D61" s="1120">
        <f>10053189+1759308+1190218+639450+111904</f>
        <v>13754069</v>
      </c>
      <c r="E61" s="1121">
        <v>95250</v>
      </c>
      <c r="F61" s="1092">
        <f t="shared" si="6"/>
        <v>13849319</v>
      </c>
      <c r="G61" s="1120"/>
      <c r="H61" s="1121"/>
      <c r="I61" s="1092">
        <f t="shared" si="7"/>
        <v>0</v>
      </c>
      <c r="J61" s="1106"/>
      <c r="K61" s="1106"/>
      <c r="L61" s="1092">
        <f t="shared" si="8"/>
        <v>0</v>
      </c>
      <c r="M61" s="1096">
        <f t="shared" si="9"/>
        <v>13849319</v>
      </c>
      <c r="P61" s="266"/>
    </row>
    <row r="62" spans="1:16" ht="23.25" customHeight="1">
      <c r="A62" s="1097" t="s">
        <v>406</v>
      </c>
      <c r="B62" s="1098" t="s">
        <v>703</v>
      </c>
      <c r="C62" s="1122" t="s">
        <v>719</v>
      </c>
      <c r="D62" s="1120">
        <v>2677147</v>
      </c>
      <c r="E62" s="1121"/>
      <c r="F62" s="1092">
        <f t="shared" si="6"/>
        <v>2677147</v>
      </c>
      <c r="G62" s="1120"/>
      <c r="H62" s="1121"/>
      <c r="I62" s="1092">
        <f t="shared" si="7"/>
        <v>0</v>
      </c>
      <c r="J62" s="1106"/>
      <c r="K62" s="1106"/>
      <c r="L62" s="1092">
        <f t="shared" si="8"/>
        <v>0</v>
      </c>
      <c r="M62" s="1096">
        <f t="shared" si="9"/>
        <v>2677147</v>
      </c>
      <c r="P62" s="266"/>
    </row>
    <row r="63" spans="1:16" ht="38.25" customHeight="1">
      <c r="A63" s="1111" t="s">
        <v>407</v>
      </c>
      <c r="B63" s="1142" t="s">
        <v>539</v>
      </c>
      <c r="C63" s="1122" t="s">
        <v>723</v>
      </c>
      <c r="D63" s="1151"/>
      <c r="E63" s="1152"/>
      <c r="F63" s="1092">
        <f t="shared" si="6"/>
        <v>0</v>
      </c>
      <c r="G63" s="1129">
        <f>5287200+925260+1916238-781083-47925</f>
        <v>7299690</v>
      </c>
      <c r="H63" s="1152">
        <f>63500+47925</f>
        <v>111425</v>
      </c>
      <c r="I63" s="1092">
        <f t="shared" si="7"/>
        <v>7411115</v>
      </c>
      <c r="J63" s="1130"/>
      <c r="K63" s="1130"/>
      <c r="L63" s="1092">
        <f t="shared" si="8"/>
        <v>0</v>
      </c>
      <c r="M63" s="1096">
        <f t="shared" si="9"/>
        <v>7411115</v>
      </c>
      <c r="P63" s="266"/>
    </row>
    <row r="64" spans="1:16" ht="36">
      <c r="A64" s="1111" t="s">
        <v>408</v>
      </c>
      <c r="B64" s="1098" t="s">
        <v>965</v>
      </c>
      <c r="C64" s="1122"/>
      <c r="D64" s="1151"/>
      <c r="E64" s="1152"/>
      <c r="F64" s="1092">
        <f t="shared" si="6"/>
        <v>0</v>
      </c>
      <c r="G64" s="1129">
        <f>3600000+630000</f>
        <v>4230000</v>
      </c>
      <c r="H64" s="1152"/>
      <c r="I64" s="1092">
        <f t="shared" si="7"/>
        <v>4230000</v>
      </c>
      <c r="J64" s="1130"/>
      <c r="K64" s="1130"/>
      <c r="L64" s="1092">
        <f t="shared" si="8"/>
        <v>0</v>
      </c>
      <c r="M64" s="1096">
        <f t="shared" si="9"/>
        <v>4230000</v>
      </c>
      <c r="P64" s="266"/>
    </row>
    <row r="65" spans="1:16" s="267" customFormat="1" ht="27.75" customHeight="1" thickBot="1">
      <c r="A65" s="1153" t="s">
        <v>409</v>
      </c>
      <c r="B65" s="1098" t="s">
        <v>966</v>
      </c>
      <c r="C65" s="1122"/>
      <c r="D65" s="1143"/>
      <c r="E65" s="1144"/>
      <c r="F65" s="1145">
        <f t="shared" si="6"/>
        <v>0</v>
      </c>
      <c r="G65" s="1143">
        <f>6562063+1148361+50000+2756937+482464+2114762</f>
        <v>13114587</v>
      </c>
      <c r="H65" s="1144"/>
      <c r="I65" s="1145">
        <f t="shared" si="7"/>
        <v>13114587</v>
      </c>
      <c r="J65" s="1143"/>
      <c r="K65" s="1144"/>
      <c r="L65" s="1145">
        <f t="shared" si="8"/>
        <v>0</v>
      </c>
      <c r="M65" s="1096">
        <f t="shared" si="9"/>
        <v>13114587</v>
      </c>
      <c r="P65" s="268">
        <f>SUM(L65,I65,F65)</f>
        <v>13114587</v>
      </c>
    </row>
    <row r="66" spans="1:16" ht="32.25" customHeight="1" thickBot="1">
      <c r="A66" s="1154" t="s">
        <v>773</v>
      </c>
      <c r="B66" s="1155"/>
      <c r="C66" s="1156"/>
      <c r="D66" s="1157">
        <f aca="true" t="shared" si="10" ref="D66:M66">SUM(D56:D65)</f>
        <v>241334476</v>
      </c>
      <c r="E66" s="1158">
        <f t="shared" si="10"/>
        <v>1618615</v>
      </c>
      <c r="F66" s="1159">
        <f t="shared" si="10"/>
        <v>242953091</v>
      </c>
      <c r="G66" s="1157">
        <f t="shared" si="10"/>
        <v>24644277</v>
      </c>
      <c r="H66" s="1158">
        <f t="shared" si="10"/>
        <v>111425</v>
      </c>
      <c r="I66" s="1159">
        <f t="shared" si="10"/>
        <v>24755702</v>
      </c>
      <c r="J66" s="1157">
        <f t="shared" si="10"/>
        <v>0</v>
      </c>
      <c r="K66" s="1158">
        <f t="shared" si="10"/>
        <v>0</v>
      </c>
      <c r="L66" s="1159">
        <f t="shared" si="10"/>
        <v>0</v>
      </c>
      <c r="M66" s="1160">
        <f t="shared" si="10"/>
        <v>267708793</v>
      </c>
      <c r="P66" s="266"/>
    </row>
    <row r="67" spans="1:16" ht="22.5" customHeight="1">
      <c r="A67" s="1097" t="s">
        <v>400</v>
      </c>
      <c r="B67" s="1115" t="s">
        <v>538</v>
      </c>
      <c r="C67" s="1099" t="s">
        <v>711</v>
      </c>
      <c r="D67" s="1103">
        <f>1082115-800000</f>
        <v>282115</v>
      </c>
      <c r="E67" s="1110">
        <v>800000</v>
      </c>
      <c r="F67" s="1092">
        <f>SUM(D67:E67)</f>
        <v>1082115</v>
      </c>
      <c r="G67" s="1112"/>
      <c r="H67" s="1110"/>
      <c r="I67" s="1092">
        <f>SUM(G67:H67)</f>
        <v>0</v>
      </c>
      <c r="J67" s="1106"/>
      <c r="K67" s="1107"/>
      <c r="L67" s="1092">
        <f>SUM(J67:K67)</f>
        <v>0</v>
      </c>
      <c r="M67" s="1096">
        <f>SUM(F67+I67+L67)</f>
        <v>1082115</v>
      </c>
      <c r="P67" s="266"/>
    </row>
    <row r="68" spans="1:16" ht="33.75" customHeight="1">
      <c r="A68" s="1097" t="s">
        <v>401</v>
      </c>
      <c r="B68" s="1102" t="s">
        <v>385</v>
      </c>
      <c r="C68" s="1113" t="s">
        <v>711</v>
      </c>
      <c r="D68" s="1103">
        <v>3583050</v>
      </c>
      <c r="E68" s="1110"/>
      <c r="F68" s="1092">
        <f>SUM(D68:E68)</f>
        <v>3583050</v>
      </c>
      <c r="G68" s="1112"/>
      <c r="H68" s="1110"/>
      <c r="I68" s="1092">
        <f>SUM(G68:H68)</f>
        <v>0</v>
      </c>
      <c r="J68" s="1106"/>
      <c r="K68" s="1107"/>
      <c r="L68" s="1092">
        <f>SUM(J68:K68)</f>
        <v>0</v>
      </c>
      <c r="M68" s="1096">
        <f>SUM(F68+I68+L68)</f>
        <v>3583050</v>
      </c>
      <c r="P68" s="266"/>
    </row>
    <row r="69" spans="1:16" ht="33.75" customHeight="1">
      <c r="A69" s="1097" t="s">
        <v>402</v>
      </c>
      <c r="B69" s="1098" t="s">
        <v>79</v>
      </c>
      <c r="C69" s="369" t="s">
        <v>712</v>
      </c>
      <c r="D69" s="1123">
        <f>11931088+2122958+14446890-317500+144779+300000+367133+2954117</f>
        <v>31949465</v>
      </c>
      <c r="E69" s="1121">
        <f>304800-177800+578000+700000-578000</f>
        <v>827000</v>
      </c>
      <c r="F69" s="1092">
        <f>SUM(D69:E69)</f>
        <v>32776465</v>
      </c>
      <c r="G69" s="1120"/>
      <c r="H69" s="1121"/>
      <c r="I69" s="1092">
        <f>SUM(G69:H69)</f>
        <v>0</v>
      </c>
      <c r="J69" s="1106"/>
      <c r="K69" s="1107"/>
      <c r="L69" s="1092">
        <f>SUM(J69:K69)</f>
        <v>0</v>
      </c>
      <c r="M69" s="1096">
        <f>SUM(F69+I69+L69)</f>
        <v>32776465</v>
      </c>
      <c r="P69" s="266"/>
    </row>
    <row r="70" spans="1:16" ht="33.75" customHeight="1">
      <c r="A70" s="1097" t="s">
        <v>403</v>
      </c>
      <c r="B70" s="1098" t="s">
        <v>379</v>
      </c>
      <c r="C70" s="369"/>
      <c r="D70" s="1123"/>
      <c r="E70" s="1121"/>
      <c r="F70" s="1092">
        <f>SUM(D70:E70)</f>
        <v>0</v>
      </c>
      <c r="G70" s="1120">
        <f>1980314+964502+7003586-775591-377745-2575544</f>
        <v>6219522</v>
      </c>
      <c r="H70" s="1121"/>
      <c r="I70" s="1092">
        <f>SUM(G70:H70)</f>
        <v>6219522</v>
      </c>
      <c r="J70" s="1106"/>
      <c r="K70" s="1107"/>
      <c r="L70" s="1092">
        <f>SUM(J70:K70)</f>
        <v>0</v>
      </c>
      <c r="M70" s="1096">
        <f>SUM(F70+I70+L70)</f>
        <v>6219522</v>
      </c>
      <c r="P70" s="266"/>
    </row>
    <row r="71" spans="1:16" s="267" customFormat="1" ht="27.75" customHeight="1" thickBot="1">
      <c r="A71" s="1097" t="s">
        <v>404</v>
      </c>
      <c r="B71" s="1098" t="s">
        <v>936</v>
      </c>
      <c r="C71" s="369"/>
      <c r="D71" s="1123"/>
      <c r="E71" s="1121"/>
      <c r="F71" s="1092">
        <f>SUM(D71:E71)</f>
        <v>0</v>
      </c>
      <c r="G71" s="1120">
        <f>1800000+315000+3527681+13166-13166</f>
        <v>5642681</v>
      </c>
      <c r="H71" s="1121"/>
      <c r="I71" s="1092">
        <f>SUM(G71:H71)</f>
        <v>5642681</v>
      </c>
      <c r="J71" s="1106"/>
      <c r="K71" s="1107"/>
      <c r="L71" s="1092">
        <f>SUM(J71:K71)</f>
        <v>0</v>
      </c>
      <c r="M71" s="1096">
        <f>SUM(F71+I71+L71)</f>
        <v>5642681</v>
      </c>
      <c r="P71" s="268">
        <f>SUM(L71,I71,F71)</f>
        <v>5642681</v>
      </c>
    </row>
    <row r="72" spans="1:16" s="75" customFormat="1" ht="16.5" thickBot="1">
      <c r="A72" s="1154" t="s">
        <v>797</v>
      </c>
      <c r="B72" s="1155"/>
      <c r="C72" s="1156"/>
      <c r="D72" s="1157">
        <f>SUM(D67:D71)</f>
        <v>35814630</v>
      </c>
      <c r="E72" s="1158">
        <f aca="true" t="shared" si="11" ref="E72:K72">SUM(E67:E71)</f>
        <v>1627000</v>
      </c>
      <c r="F72" s="1159">
        <f t="shared" si="11"/>
        <v>37441630</v>
      </c>
      <c r="G72" s="1157">
        <f t="shared" si="11"/>
        <v>11862203</v>
      </c>
      <c r="H72" s="1158">
        <f t="shared" si="11"/>
        <v>0</v>
      </c>
      <c r="I72" s="1159">
        <f t="shared" si="11"/>
        <v>11862203</v>
      </c>
      <c r="J72" s="1157">
        <f t="shared" si="11"/>
        <v>0</v>
      </c>
      <c r="K72" s="1158">
        <f t="shared" si="11"/>
        <v>0</v>
      </c>
      <c r="L72" s="1159">
        <f>SUM(L67:L71)</f>
        <v>0</v>
      </c>
      <c r="M72" s="1160">
        <f>SUM(M67:M71)</f>
        <v>49303833</v>
      </c>
      <c r="P72" s="266">
        <f>SUM(L72,I72,F72)</f>
        <v>49303833</v>
      </c>
    </row>
    <row r="73" spans="1:13" ht="16.5" thickBot="1">
      <c r="A73" s="1161" t="s">
        <v>496</v>
      </c>
      <c r="B73" s="1162"/>
      <c r="C73" s="1163"/>
      <c r="D73" s="1164">
        <f aca="true" t="shared" si="12" ref="D73:M73">D51+D55+D66+D72</f>
        <v>962672421</v>
      </c>
      <c r="E73" s="1164">
        <f t="shared" si="12"/>
        <v>292762203</v>
      </c>
      <c r="F73" s="1165">
        <f t="shared" si="12"/>
        <v>1255434624</v>
      </c>
      <c r="G73" s="1164">
        <f t="shared" si="12"/>
        <v>315204678</v>
      </c>
      <c r="H73" s="1164">
        <f t="shared" si="12"/>
        <v>633112426</v>
      </c>
      <c r="I73" s="1166">
        <f t="shared" si="12"/>
        <v>948317104</v>
      </c>
      <c r="J73" s="1167">
        <f t="shared" si="12"/>
        <v>12311385</v>
      </c>
      <c r="K73" s="1168">
        <f t="shared" si="12"/>
        <v>0</v>
      </c>
      <c r="L73" s="1169">
        <f t="shared" si="12"/>
        <v>12311385</v>
      </c>
      <c r="M73" s="1170">
        <f t="shared" si="12"/>
        <v>2216063113</v>
      </c>
    </row>
    <row r="74" spans="1:13" ht="15.75">
      <c r="A74" s="1171"/>
      <c r="B74" s="1171"/>
      <c r="C74" s="1171"/>
      <c r="D74" s="1172"/>
      <c r="E74" s="1172"/>
      <c r="F74" s="1172"/>
      <c r="G74" s="1172"/>
      <c r="H74" s="1172"/>
      <c r="I74" s="1172"/>
      <c r="J74" s="1172"/>
      <c r="K74" s="1172"/>
      <c r="L74" s="1172"/>
      <c r="M74" s="1172"/>
    </row>
    <row r="75" spans="1:2" ht="12.75">
      <c r="A75" s="65" t="s">
        <v>497</v>
      </c>
      <c r="B75" s="65" t="s">
        <v>498</v>
      </c>
    </row>
    <row r="76" spans="1:2" ht="12.75">
      <c r="A76" s="65" t="s">
        <v>499</v>
      </c>
      <c r="B76" s="65" t="s">
        <v>500</v>
      </c>
    </row>
    <row r="77" spans="1:2" ht="12.75">
      <c r="A77" s="65" t="s">
        <v>501</v>
      </c>
      <c r="B77" s="65" t="s">
        <v>502</v>
      </c>
    </row>
    <row r="78" spans="1:2" ht="12.75">
      <c r="A78" s="65" t="s">
        <v>503</v>
      </c>
      <c r="B78" s="65" t="s">
        <v>504</v>
      </c>
    </row>
    <row r="79" spans="1:2" ht="12.75">
      <c r="A79" s="65" t="s">
        <v>771</v>
      </c>
      <c r="B79" s="65" t="s">
        <v>772</v>
      </c>
    </row>
    <row r="80" spans="1:2" ht="12.75">
      <c r="A80" s="65" t="s">
        <v>608</v>
      </c>
      <c r="B80" s="65" t="s">
        <v>607</v>
      </c>
    </row>
    <row r="83" spans="1:2" ht="12.75">
      <c r="A83" s="277">
        <v>22</v>
      </c>
      <c r="B83" s="277" t="s">
        <v>1020</v>
      </c>
    </row>
    <row r="84" spans="1:2" ht="12.75">
      <c r="A84" s="1061">
        <v>23</v>
      </c>
      <c r="B84" s="277" t="s">
        <v>1049</v>
      </c>
    </row>
  </sheetData>
  <sheetProtection/>
  <mergeCells count="16">
    <mergeCell ref="A73:C73"/>
    <mergeCell ref="G1:M1"/>
    <mergeCell ref="C5:M5"/>
    <mergeCell ref="A51:C51"/>
    <mergeCell ref="A55:C55"/>
    <mergeCell ref="C57:C58"/>
    <mergeCell ref="A66:C66"/>
    <mergeCell ref="A72:C72"/>
    <mergeCell ref="D6:F7"/>
    <mergeCell ref="B5:B8"/>
    <mergeCell ref="A5:A8"/>
    <mergeCell ref="M6:M8"/>
    <mergeCell ref="A3:M4"/>
    <mergeCell ref="C6:C8"/>
    <mergeCell ref="G6:I7"/>
    <mergeCell ref="J6:L7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63" r:id="rId1"/>
  <rowBreaks count="2" manualBreakCount="2">
    <brk id="29" max="12" man="1"/>
    <brk id="5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O9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2" sqref="D82"/>
    </sheetView>
  </sheetViews>
  <sheetFormatPr defaultColWidth="9.00390625" defaultRowHeight="12.75"/>
  <cols>
    <col min="1" max="2" width="9.125" style="65" customWidth="1"/>
    <col min="3" max="3" width="19.125" style="65" customWidth="1"/>
    <col min="4" max="6" width="18.00390625" style="65" bestFit="1" customWidth="1"/>
    <col min="7" max="7" width="12.625" style="65" customWidth="1"/>
    <col min="8" max="8" width="18.875" style="65" customWidth="1"/>
    <col min="9" max="9" width="9.25390625" style="65" bestFit="1" customWidth="1"/>
    <col min="10" max="10" width="11.375" style="65" bestFit="1" customWidth="1"/>
    <col min="11" max="11" width="19.25390625" style="65" customWidth="1"/>
    <col min="12" max="12" width="9.75390625" style="65" customWidth="1"/>
    <col min="13" max="13" width="9.125" style="65" customWidth="1"/>
    <col min="14" max="14" width="12.625" style="65" customWidth="1"/>
    <col min="15" max="15" width="8.125" style="65" customWidth="1"/>
    <col min="16" max="16" width="10.375" style="65" bestFit="1" customWidth="1"/>
    <col min="17" max="17" width="14.00390625" style="65" bestFit="1" customWidth="1"/>
    <col min="18" max="20" width="9.125" style="65" customWidth="1"/>
    <col min="21" max="21" width="9.875" style="65" customWidth="1"/>
    <col min="22" max="22" width="13.125" style="65" customWidth="1"/>
    <col min="23" max="23" width="16.625" style="65" bestFit="1" customWidth="1"/>
    <col min="24" max="24" width="18.00390625" style="85" bestFit="1" customWidth="1"/>
    <col min="25" max="25" width="18.25390625" style="85" customWidth="1"/>
    <col min="26" max="26" width="18.75390625" style="85" customWidth="1"/>
    <col min="27" max="27" width="19.75390625" style="85" bestFit="1" customWidth="1"/>
    <col min="28" max="28" width="17.375" style="85" bestFit="1" customWidth="1"/>
    <col min="29" max="29" width="19.75390625" style="85" bestFit="1" customWidth="1"/>
    <col min="30" max="223" width="9.125" style="85" customWidth="1"/>
    <col min="224" max="16384" width="9.125" style="65" customWidth="1"/>
  </cols>
  <sheetData>
    <row r="1" spans="1:28" ht="18">
      <c r="A1" s="76"/>
      <c r="B1" s="77"/>
      <c r="C1" s="78"/>
      <c r="H1" s="77"/>
      <c r="I1" s="77"/>
      <c r="J1" s="77"/>
      <c r="K1" s="79"/>
      <c r="L1" s="79"/>
      <c r="M1" s="79"/>
      <c r="N1" s="77"/>
      <c r="T1" s="809" t="s">
        <v>1054</v>
      </c>
      <c r="U1" s="810"/>
      <c r="V1" s="810"/>
      <c r="W1" s="810"/>
      <c r="X1" s="811"/>
      <c r="Y1" s="811"/>
      <c r="Z1" s="811"/>
      <c r="AA1" s="811"/>
      <c r="AB1" s="811"/>
    </row>
    <row r="2" spans="1:14" ht="12.75">
      <c r="A2" s="76"/>
      <c r="B2" s="77"/>
      <c r="C2" s="78"/>
      <c r="D2" s="80"/>
      <c r="E2" s="81"/>
      <c r="F2" s="81"/>
      <c r="G2" s="81"/>
      <c r="H2" s="77"/>
      <c r="I2" s="77"/>
      <c r="J2" s="77"/>
      <c r="K2" s="79"/>
      <c r="L2" s="79"/>
      <c r="M2" s="79"/>
      <c r="N2" s="77"/>
    </row>
    <row r="3" spans="1:29" ht="15.75" customHeight="1">
      <c r="A3" s="1173" t="s">
        <v>937</v>
      </c>
      <c r="B3" s="1173"/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73"/>
      <c r="N3" s="1173"/>
      <c r="O3" s="1173"/>
      <c r="P3" s="1173"/>
      <c r="Q3" s="1173"/>
      <c r="R3" s="1173"/>
      <c r="S3" s="1173"/>
      <c r="T3" s="1173"/>
      <c r="U3" s="1173"/>
      <c r="V3" s="1173"/>
      <c r="W3" s="1173"/>
      <c r="X3" s="1173"/>
      <c r="Y3" s="1173"/>
      <c r="Z3" s="1173"/>
      <c r="AA3" s="1173"/>
      <c r="AB3" s="1173"/>
      <c r="AC3" s="1173"/>
    </row>
    <row r="4" spans="1:29" ht="15.75" customHeight="1">
      <c r="A4" s="1174"/>
      <c r="B4" s="1174"/>
      <c r="C4" s="1174"/>
      <c r="D4" s="1174"/>
      <c r="E4" s="1174"/>
      <c r="F4" s="1174"/>
      <c r="G4" s="1174"/>
      <c r="H4" s="1174"/>
      <c r="I4" s="1174"/>
      <c r="J4" s="1174"/>
      <c r="K4" s="1174"/>
      <c r="L4" s="1174"/>
      <c r="M4" s="1174"/>
      <c r="N4" s="1174"/>
      <c r="O4" s="1174"/>
      <c r="P4" s="1174"/>
      <c r="Q4" s="1174"/>
      <c r="R4" s="1174"/>
      <c r="S4" s="1174"/>
      <c r="T4" s="1174"/>
      <c r="U4" s="1174"/>
      <c r="V4" s="1174"/>
      <c r="W4" s="1174"/>
      <c r="X4" s="1174"/>
      <c r="Y4" s="1174"/>
      <c r="Z4" s="1174"/>
      <c r="AA4" s="1174"/>
      <c r="AB4" s="1174"/>
      <c r="AC4" s="1174"/>
    </row>
    <row r="5" spans="1:29" ht="13.5" customHeight="1" thickBot="1">
      <c r="A5" s="1175"/>
      <c r="B5" s="1175"/>
      <c r="C5" s="1175"/>
      <c r="D5" s="1175"/>
      <c r="E5" s="1175"/>
      <c r="F5" s="1175"/>
      <c r="G5" s="1175"/>
      <c r="H5" s="1175"/>
      <c r="I5" s="1175"/>
      <c r="J5" s="1175"/>
      <c r="K5" s="1175"/>
      <c r="L5" s="1175"/>
      <c r="M5" s="1175"/>
      <c r="N5" s="1175"/>
      <c r="O5" s="1175"/>
      <c r="P5" s="1175"/>
      <c r="Q5" s="1175"/>
      <c r="R5" s="1175"/>
      <c r="S5" s="1175"/>
      <c r="T5" s="1175"/>
      <c r="U5" s="1175"/>
      <c r="V5" s="1175"/>
      <c r="W5" s="1175"/>
      <c r="X5" s="1175"/>
      <c r="Y5" s="1175"/>
      <c r="Z5" s="1175"/>
      <c r="AA5" s="1175"/>
      <c r="AB5" s="1175"/>
      <c r="AC5" s="1175"/>
    </row>
    <row r="6" spans="1:223" s="86" customFormat="1" ht="15" customHeight="1" thickBot="1" thickTop="1">
      <c r="A6" s="796" t="s">
        <v>86</v>
      </c>
      <c r="B6" s="797"/>
      <c r="C6" s="797"/>
      <c r="D6" s="1176" t="s">
        <v>362</v>
      </c>
      <c r="E6" s="1177"/>
      <c r="F6" s="1178"/>
      <c r="G6" s="803" t="s">
        <v>505</v>
      </c>
      <c r="H6" s="804"/>
      <c r="I6" s="804"/>
      <c r="J6" s="804"/>
      <c r="K6" s="805"/>
      <c r="L6" s="1179" t="s">
        <v>506</v>
      </c>
      <c r="M6" s="1180"/>
      <c r="N6" s="1180"/>
      <c r="O6" s="1180"/>
      <c r="P6" s="1180"/>
      <c r="Q6" s="1181"/>
      <c r="R6" s="1179" t="s">
        <v>507</v>
      </c>
      <c r="S6" s="1180"/>
      <c r="T6" s="1180"/>
      <c r="U6" s="1180"/>
      <c r="V6" s="1180"/>
      <c r="W6" s="1180"/>
      <c r="X6" s="1182" t="s">
        <v>508</v>
      </c>
      <c r="Y6" s="812"/>
      <c r="Z6" s="812"/>
      <c r="AA6" s="1183" t="s">
        <v>87</v>
      </c>
      <c r="AB6" s="813"/>
      <c r="AC6" s="814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</row>
    <row r="7" spans="1:29" s="85" customFormat="1" ht="16.5" customHeight="1" thickBot="1">
      <c r="A7" s="798"/>
      <c r="B7" s="799"/>
      <c r="C7" s="799"/>
      <c r="D7" s="504" t="s">
        <v>88</v>
      </c>
      <c r="E7" s="559" t="s">
        <v>85</v>
      </c>
      <c r="F7" s="1184" t="s">
        <v>89</v>
      </c>
      <c r="G7" s="806"/>
      <c r="H7" s="807"/>
      <c r="I7" s="807"/>
      <c r="J7" s="807"/>
      <c r="K7" s="808"/>
      <c r="L7" s="1185"/>
      <c r="M7" s="1186"/>
      <c r="N7" s="1186"/>
      <c r="O7" s="1186"/>
      <c r="P7" s="1186"/>
      <c r="Q7" s="1187"/>
      <c r="R7" s="1185"/>
      <c r="S7" s="1186"/>
      <c r="T7" s="1186"/>
      <c r="U7" s="1186"/>
      <c r="V7" s="1186"/>
      <c r="W7" s="1186"/>
      <c r="X7" s="376" t="s">
        <v>88</v>
      </c>
      <c r="Y7" s="504" t="s">
        <v>85</v>
      </c>
      <c r="Z7" s="1188" t="s">
        <v>89</v>
      </c>
      <c r="AA7" s="376" t="s">
        <v>88</v>
      </c>
      <c r="AB7" s="504" t="s">
        <v>85</v>
      </c>
      <c r="AC7" s="1184" t="s">
        <v>89</v>
      </c>
    </row>
    <row r="8" spans="1:29" s="87" customFormat="1" ht="26.25" customHeight="1">
      <c r="A8" s="377"/>
      <c r="B8" s="1189"/>
      <c r="C8" s="378"/>
      <c r="D8" s="379"/>
      <c r="E8" s="1189"/>
      <c r="F8" s="380"/>
      <c r="G8" s="800" t="s">
        <v>509</v>
      </c>
      <c r="H8" s="746"/>
      <c r="I8" s="746"/>
      <c r="J8" s="1190">
        <f>186857281-119812800+1038000+426173+10068391+848820-11343384</f>
        <v>68082481</v>
      </c>
      <c r="K8" s="753">
        <f>SUM(J8:J17)</f>
        <v>176515151</v>
      </c>
      <c r="L8" s="801"/>
      <c r="M8" s="802"/>
      <c r="N8" s="802"/>
      <c r="O8" s="802"/>
      <c r="P8" s="381"/>
      <c r="Q8" s="781">
        <f>SUM(P8:P17)</f>
        <v>100489445</v>
      </c>
      <c r="R8" s="761" t="s">
        <v>232</v>
      </c>
      <c r="S8" s="1191"/>
      <c r="T8" s="1191"/>
      <c r="U8" s="1191"/>
      <c r="V8" s="1190">
        <f>261700000-10269500-11730500</f>
        <v>239700000</v>
      </c>
      <c r="W8" s="756">
        <f>SUM(V8:V17)</f>
        <v>316121404</v>
      </c>
      <c r="X8" s="382"/>
      <c r="Y8" s="383"/>
      <c r="Z8" s="1192"/>
      <c r="AA8" s="1193"/>
      <c r="AB8" s="1194"/>
      <c r="AC8" s="1195"/>
    </row>
    <row r="9" spans="1:29" s="87" customFormat="1" ht="27" customHeight="1">
      <c r="A9" s="377"/>
      <c r="B9" s="1189"/>
      <c r="C9" s="379"/>
      <c r="D9" s="379"/>
      <c r="E9" s="1189"/>
      <c r="F9" s="380"/>
      <c r="G9" s="790" t="s">
        <v>611</v>
      </c>
      <c r="H9" s="1196"/>
      <c r="I9" s="1196"/>
      <c r="J9" s="1190">
        <v>1723560</v>
      </c>
      <c r="K9" s="760"/>
      <c r="L9" s="744" t="s">
        <v>510</v>
      </c>
      <c r="M9" s="1197"/>
      <c r="N9" s="1197"/>
      <c r="O9" s="1197"/>
      <c r="P9" s="1190">
        <v>4572392</v>
      </c>
      <c r="Q9" s="782"/>
      <c r="R9" s="761" t="s">
        <v>108</v>
      </c>
      <c r="S9" s="1191"/>
      <c r="T9" s="1191"/>
      <c r="U9" s="1191"/>
      <c r="V9" s="1190">
        <f>10142978+129870</f>
        <v>10272848</v>
      </c>
      <c r="W9" s="757"/>
      <c r="X9" s="384"/>
      <c r="Y9" s="383"/>
      <c r="Z9" s="385"/>
      <c r="AA9" s="377"/>
      <c r="AB9" s="386"/>
      <c r="AC9" s="387"/>
    </row>
    <row r="10" spans="1:29" s="87" customFormat="1" ht="24.75" customHeight="1">
      <c r="A10" s="388"/>
      <c r="B10" s="1198"/>
      <c r="C10" s="389" t="s">
        <v>484</v>
      </c>
      <c r="D10" s="390">
        <f>SUM('[1]6. kiadások megbontása'!D51)</f>
        <v>549144418</v>
      </c>
      <c r="E10" s="503">
        <f>SUM('[1]6. kiadások megbontása'!E51)</f>
        <v>287581998</v>
      </c>
      <c r="F10" s="391">
        <f>SUM(D10:E10)</f>
        <v>836726416</v>
      </c>
      <c r="G10" s="790" t="s">
        <v>732</v>
      </c>
      <c r="H10" s="1196"/>
      <c r="I10" s="1196"/>
      <c r="J10" s="1199">
        <v>49781200</v>
      </c>
      <c r="K10" s="760"/>
      <c r="L10" s="744" t="s">
        <v>942</v>
      </c>
      <c r="M10" s="1197"/>
      <c r="N10" s="1197"/>
      <c r="O10" s="1197"/>
      <c r="P10" s="1190">
        <v>29559000</v>
      </c>
      <c r="Q10" s="782"/>
      <c r="R10" s="374" t="s">
        <v>776</v>
      </c>
      <c r="S10" s="1200"/>
      <c r="T10" s="1200"/>
      <c r="U10" s="1200"/>
      <c r="V10" s="1190">
        <v>80000</v>
      </c>
      <c r="W10" s="757"/>
      <c r="X10" s="392"/>
      <c r="Y10" s="393"/>
      <c r="Z10" s="385"/>
      <c r="AA10" s="394"/>
      <c r="AB10" s="395"/>
      <c r="AC10" s="396"/>
    </row>
    <row r="11" spans="1:29" s="87" customFormat="1" ht="16.5" customHeight="1">
      <c r="A11" s="397"/>
      <c r="B11" s="1201"/>
      <c r="C11" s="398"/>
      <c r="D11" s="398"/>
      <c r="E11" s="1189"/>
      <c r="F11" s="380"/>
      <c r="G11" s="1202" t="s">
        <v>540</v>
      </c>
      <c r="H11" s="1202"/>
      <c r="I11" s="1202"/>
      <c r="J11" s="1190">
        <v>48822917</v>
      </c>
      <c r="K11" s="760"/>
      <c r="L11" s="374" t="s">
        <v>858</v>
      </c>
      <c r="M11" s="1203"/>
      <c r="N11" s="1203"/>
      <c r="O11" s="1203"/>
      <c r="P11" s="1190">
        <f>4016545+16490993</f>
        <v>20507538</v>
      </c>
      <c r="Q11" s="782"/>
      <c r="R11" s="374" t="s">
        <v>273</v>
      </c>
      <c r="S11" s="1200"/>
      <c r="T11" s="1200"/>
      <c r="U11" s="1200"/>
      <c r="V11" s="1190">
        <f>731000+15000</f>
        <v>746000</v>
      </c>
      <c r="W11" s="757"/>
      <c r="X11" s="392"/>
      <c r="Y11" s="393"/>
      <c r="Z11" s="385"/>
      <c r="AA11" s="394"/>
      <c r="AB11" s="395"/>
      <c r="AC11" s="396"/>
    </row>
    <row r="12" spans="1:29" s="87" customFormat="1" ht="18.75" customHeight="1">
      <c r="A12" s="397"/>
      <c r="B12" s="1201"/>
      <c r="C12" s="398"/>
      <c r="D12" s="398"/>
      <c r="E12" s="1189"/>
      <c r="F12" s="380"/>
      <c r="G12" s="790" t="s">
        <v>1021</v>
      </c>
      <c r="H12" s="1196"/>
      <c r="I12" s="1196"/>
      <c r="J12" s="1204">
        <f>2232+6600+1155</f>
        <v>9987</v>
      </c>
      <c r="K12" s="760"/>
      <c r="L12" s="761" t="s">
        <v>859</v>
      </c>
      <c r="M12" s="1191"/>
      <c r="N12" s="1191"/>
      <c r="O12" s="1191"/>
      <c r="P12" s="520">
        <f>13227888+26537427</f>
        <v>39765315</v>
      </c>
      <c r="Q12" s="782"/>
      <c r="R12" s="374" t="s">
        <v>729</v>
      </c>
      <c r="S12" s="1200"/>
      <c r="T12" s="1200"/>
      <c r="U12" s="1200"/>
      <c r="V12" s="1190">
        <f>2666578+556176+599440</f>
        <v>3822194</v>
      </c>
      <c r="W12" s="757"/>
      <c r="X12" s="392"/>
      <c r="Y12" s="393"/>
      <c r="Z12" s="385"/>
      <c r="AA12" s="394"/>
      <c r="AB12" s="395"/>
      <c r="AC12" s="396"/>
    </row>
    <row r="13" spans="1:29" s="87" customFormat="1" ht="15.75" customHeight="1">
      <c r="A13" s="397"/>
      <c r="B13" s="1201"/>
      <c r="C13" s="398"/>
      <c r="D13" s="398"/>
      <c r="E13" s="1189"/>
      <c r="F13" s="380"/>
      <c r="G13" s="1202" t="s">
        <v>1055</v>
      </c>
      <c r="H13" s="1202"/>
      <c r="I13" s="1202"/>
      <c r="J13" s="1204">
        <v>8095006</v>
      </c>
      <c r="K13" s="760"/>
      <c r="L13" s="744" t="s">
        <v>1056</v>
      </c>
      <c r="M13" s="1197"/>
      <c r="N13" s="1197"/>
      <c r="O13" s="1197"/>
      <c r="P13" s="765">
        <v>2626200</v>
      </c>
      <c r="Q13" s="782"/>
      <c r="R13" s="374" t="s">
        <v>1057</v>
      </c>
      <c r="S13" s="1203"/>
      <c r="T13" s="1203"/>
      <c r="U13" s="1203"/>
      <c r="V13" s="1190">
        <f>7524890+12898200+635625</f>
        <v>21058715</v>
      </c>
      <c r="W13" s="757"/>
      <c r="X13" s="392"/>
      <c r="Y13" s="393"/>
      <c r="Z13" s="385"/>
      <c r="AA13" s="394"/>
      <c r="AB13" s="395"/>
      <c r="AC13" s="396"/>
    </row>
    <row r="14" spans="1:29" s="87" customFormat="1" ht="15.75" customHeight="1">
      <c r="A14" s="397"/>
      <c r="B14" s="1201"/>
      <c r="C14" s="398"/>
      <c r="D14" s="398"/>
      <c r="E14" s="1189"/>
      <c r="F14" s="380"/>
      <c r="G14" s="1205"/>
      <c r="H14" s="1205"/>
      <c r="I14" s="1205"/>
      <c r="J14" s="1204"/>
      <c r="K14" s="760"/>
      <c r="L14" s="744"/>
      <c r="M14" s="1197"/>
      <c r="N14" s="1197"/>
      <c r="O14" s="1197"/>
      <c r="P14" s="765"/>
      <c r="Q14" s="782"/>
      <c r="R14" s="761" t="s">
        <v>941</v>
      </c>
      <c r="S14" s="1191"/>
      <c r="T14" s="1191"/>
      <c r="U14" s="1191"/>
      <c r="V14" s="1190">
        <v>635000</v>
      </c>
      <c r="W14" s="757"/>
      <c r="X14" s="392"/>
      <c r="Y14" s="393"/>
      <c r="Z14" s="385"/>
      <c r="AA14" s="394"/>
      <c r="AB14" s="395"/>
      <c r="AC14" s="396"/>
    </row>
    <row r="15" spans="1:29" s="87" customFormat="1" ht="16.5" customHeight="1">
      <c r="A15" s="397"/>
      <c r="B15" s="1201"/>
      <c r="C15" s="398"/>
      <c r="D15" s="398"/>
      <c r="E15" s="1189"/>
      <c r="F15" s="399"/>
      <c r="G15" s="1202"/>
      <c r="H15" s="1202"/>
      <c r="I15" s="1202"/>
      <c r="J15" s="1204"/>
      <c r="K15" s="760"/>
      <c r="L15" s="773" t="s">
        <v>1058</v>
      </c>
      <c r="M15" s="1202"/>
      <c r="N15" s="1202"/>
      <c r="O15" s="1202"/>
      <c r="P15" s="1190">
        <v>571500</v>
      </c>
      <c r="Q15" s="782"/>
      <c r="R15" s="761" t="s">
        <v>730</v>
      </c>
      <c r="S15" s="1191"/>
      <c r="T15" s="1191"/>
      <c r="U15" s="1191"/>
      <c r="V15" s="1190">
        <v>500</v>
      </c>
      <c r="W15" s="757"/>
      <c r="X15" s="401">
        <f>SUM(W8,Q8,K8)</f>
        <v>593126000</v>
      </c>
      <c r="Y15" s="402">
        <f>SUM(W18+Q18+K18)</f>
        <v>315473040</v>
      </c>
      <c r="Z15" s="403">
        <f>SUM(Y15,X15)</f>
        <v>908599040</v>
      </c>
      <c r="AA15" s="401">
        <f>X15-D10</f>
        <v>43981582</v>
      </c>
      <c r="AB15" s="402">
        <f>Y15-E10</f>
        <v>27891042</v>
      </c>
      <c r="AC15" s="404">
        <f>SUM(AA15:AB15)</f>
        <v>71872624</v>
      </c>
    </row>
    <row r="16" spans="1:29" s="85" customFormat="1" ht="17.25" customHeight="1">
      <c r="A16" s="405"/>
      <c r="B16" s="500"/>
      <c r="C16" s="406"/>
      <c r="D16" s="406"/>
      <c r="E16" s="457"/>
      <c r="F16" s="407"/>
      <c r="G16" s="790"/>
      <c r="H16" s="1196"/>
      <c r="I16" s="1196"/>
      <c r="J16" s="1204"/>
      <c r="K16" s="760"/>
      <c r="L16" s="773" t="s">
        <v>1059</v>
      </c>
      <c r="M16" s="1202"/>
      <c r="N16" s="1202"/>
      <c r="O16" s="1202"/>
      <c r="P16" s="1190">
        <v>2887500</v>
      </c>
      <c r="Q16" s="782"/>
      <c r="R16" s="761" t="s">
        <v>731</v>
      </c>
      <c r="S16" s="1191"/>
      <c r="T16" s="1191"/>
      <c r="U16" s="1191"/>
      <c r="V16" s="1190">
        <v>39431147</v>
      </c>
      <c r="W16" s="757"/>
      <c r="X16" s="392"/>
      <c r="Y16" s="393"/>
      <c r="Z16" s="385"/>
      <c r="AA16" s="394"/>
      <c r="AB16" s="395"/>
      <c r="AC16" s="396"/>
    </row>
    <row r="17" spans="1:29" s="85" customFormat="1" ht="16.5" customHeight="1" thickBot="1">
      <c r="A17" s="405"/>
      <c r="B17" s="500"/>
      <c r="C17" s="406"/>
      <c r="D17" s="406"/>
      <c r="E17" s="457"/>
      <c r="F17" s="407"/>
      <c r="G17" s="790"/>
      <c r="H17" s="1196"/>
      <c r="I17" s="1196"/>
      <c r="J17" s="1204"/>
      <c r="K17" s="760"/>
      <c r="L17" s="758"/>
      <c r="M17" s="1196"/>
      <c r="N17" s="1196"/>
      <c r="O17" s="1196"/>
      <c r="P17" s="1204"/>
      <c r="Q17" s="782"/>
      <c r="R17" s="761" t="s">
        <v>1060</v>
      </c>
      <c r="S17" s="1191"/>
      <c r="T17" s="1191"/>
      <c r="U17" s="1191"/>
      <c r="V17" s="1199">
        <v>375000</v>
      </c>
      <c r="W17" s="757"/>
      <c r="X17" s="392"/>
      <c r="Y17" s="393"/>
      <c r="Z17" s="385"/>
      <c r="AA17" s="394"/>
      <c r="AB17" s="395"/>
      <c r="AC17" s="396"/>
    </row>
    <row r="18" spans="1:29" s="85" customFormat="1" ht="26.25" customHeight="1">
      <c r="A18" s="405"/>
      <c r="B18" s="500"/>
      <c r="C18" s="406"/>
      <c r="D18" s="406"/>
      <c r="E18" s="457"/>
      <c r="F18" s="407"/>
      <c r="G18" s="409"/>
      <c r="H18" s="410"/>
      <c r="I18" s="410"/>
      <c r="J18" s="411"/>
      <c r="K18" s="753"/>
      <c r="L18" s="768" t="s">
        <v>1022</v>
      </c>
      <c r="M18" s="769"/>
      <c r="N18" s="769"/>
      <c r="O18" s="769"/>
      <c r="P18" s="527">
        <v>74295</v>
      </c>
      <c r="Q18" s="774">
        <f>SUM(P18:P20)</f>
        <v>532255</v>
      </c>
      <c r="R18" s="768" t="s">
        <v>91</v>
      </c>
      <c r="S18" s="769"/>
      <c r="T18" s="769"/>
      <c r="U18" s="769"/>
      <c r="V18" s="527">
        <f>44406964+1500000+1000000+11730500-1038000</f>
        <v>57599464</v>
      </c>
      <c r="W18" s="756">
        <f>SUM(V18:V20)</f>
        <v>314940785</v>
      </c>
      <c r="X18" s="392"/>
      <c r="Y18" s="393"/>
      <c r="Z18" s="385"/>
      <c r="AA18" s="394"/>
      <c r="AB18" s="395"/>
      <c r="AC18" s="396"/>
    </row>
    <row r="19" spans="1:29" s="85" customFormat="1" ht="18.75" customHeight="1">
      <c r="A19" s="405"/>
      <c r="B19" s="500"/>
      <c r="C19" s="406"/>
      <c r="D19" s="406"/>
      <c r="E19" s="457"/>
      <c r="F19" s="407"/>
      <c r="G19" s="408"/>
      <c r="H19" s="1206"/>
      <c r="I19" s="1206"/>
      <c r="J19" s="1207"/>
      <c r="K19" s="760"/>
      <c r="L19" s="374" t="s">
        <v>1023</v>
      </c>
      <c r="M19" s="1203"/>
      <c r="N19" s="1203"/>
      <c r="O19" s="1203"/>
      <c r="P19" s="520">
        <v>190500</v>
      </c>
      <c r="Q19" s="754"/>
      <c r="R19" s="374"/>
      <c r="S19" s="1203"/>
      <c r="T19" s="1203"/>
      <c r="U19" s="1203"/>
      <c r="V19" s="520"/>
      <c r="W19" s="757"/>
      <c r="X19" s="392"/>
      <c r="Y19" s="393"/>
      <c r="Z19" s="385"/>
      <c r="AA19" s="394"/>
      <c r="AB19" s="395"/>
      <c r="AC19" s="396"/>
    </row>
    <row r="20" spans="1:29" s="85" customFormat="1" ht="18" customHeight="1" thickBot="1">
      <c r="A20" s="405"/>
      <c r="B20" s="500"/>
      <c r="C20" s="406"/>
      <c r="D20" s="406"/>
      <c r="E20" s="457"/>
      <c r="F20" s="407"/>
      <c r="G20" s="408"/>
      <c r="H20" s="1206"/>
      <c r="I20" s="1206"/>
      <c r="J20" s="1207"/>
      <c r="K20" s="760"/>
      <c r="L20" s="773" t="s">
        <v>938</v>
      </c>
      <c r="M20" s="1202"/>
      <c r="N20" s="1202"/>
      <c r="O20" s="1202"/>
      <c r="P20" s="400">
        <v>267460</v>
      </c>
      <c r="Q20" s="754"/>
      <c r="R20" s="744" t="s">
        <v>726</v>
      </c>
      <c r="S20" s="1197"/>
      <c r="T20" s="1197"/>
      <c r="U20" s="1197"/>
      <c r="V20" s="520">
        <f>257341321</f>
        <v>257341321</v>
      </c>
      <c r="W20" s="757"/>
      <c r="X20" s="392"/>
      <c r="Y20" s="393"/>
      <c r="Z20" s="385"/>
      <c r="AA20" s="394"/>
      <c r="AB20" s="395"/>
      <c r="AC20" s="396"/>
    </row>
    <row r="21" spans="1:223" s="90" customFormat="1" ht="19.5" customHeight="1" thickTop="1">
      <c r="A21" s="521"/>
      <c r="B21" s="413"/>
      <c r="C21" s="414"/>
      <c r="D21" s="414"/>
      <c r="E21" s="415"/>
      <c r="F21" s="416"/>
      <c r="G21" s="794"/>
      <c r="H21" s="795"/>
      <c r="I21" s="795"/>
      <c r="J21" s="522"/>
      <c r="K21" s="759">
        <f>SUM(J21:J22)</f>
        <v>0</v>
      </c>
      <c r="L21" s="777" t="s">
        <v>511</v>
      </c>
      <c r="M21" s="778"/>
      <c r="N21" s="778"/>
      <c r="O21" s="778"/>
      <c r="P21" s="528"/>
      <c r="Q21" s="759">
        <f>SUM(P21:P22)</f>
        <v>0</v>
      </c>
      <c r="R21" s="418"/>
      <c r="S21" s="419"/>
      <c r="T21" s="419"/>
      <c r="U21" s="419"/>
      <c r="V21" s="1208"/>
      <c r="W21" s="420"/>
      <c r="X21" s="421"/>
      <c r="Y21" s="422"/>
      <c r="Z21" s="423"/>
      <c r="AA21" s="424"/>
      <c r="AB21" s="425"/>
      <c r="AC21" s="426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</row>
    <row r="22" spans="1:29" ht="24.75" customHeight="1" thickBot="1">
      <c r="A22" s="550"/>
      <c r="B22" s="820" t="s">
        <v>92</v>
      </c>
      <c r="C22" s="821"/>
      <c r="D22" s="551">
        <f>SUM('[1]6. kiadások megbontása'!J51)</f>
        <v>12311385</v>
      </c>
      <c r="E22" s="552">
        <f>SUM('[1]6. kiadások megbontása'!K51)</f>
        <v>0</v>
      </c>
      <c r="F22" s="553">
        <f>SUM(D22:E22)</f>
        <v>12311385</v>
      </c>
      <c r="G22" s="783"/>
      <c r="H22" s="784"/>
      <c r="I22" s="784"/>
      <c r="J22" s="554"/>
      <c r="K22" s="770"/>
      <c r="L22" s="766" t="s">
        <v>612</v>
      </c>
      <c r="M22" s="767"/>
      <c r="N22" s="767"/>
      <c r="O22" s="767"/>
      <c r="P22" s="529"/>
      <c r="Q22" s="770"/>
      <c r="R22" s="766"/>
      <c r="S22" s="767"/>
      <c r="T22" s="767"/>
      <c r="U22" s="767"/>
      <c r="V22" s="1209"/>
      <c r="W22" s="555">
        <f>SUM(V22)</f>
        <v>0</v>
      </c>
      <c r="X22" s="556">
        <f>SUM(W22,Q21,K21)</f>
        <v>0</v>
      </c>
      <c r="Y22" s="557">
        <v>0</v>
      </c>
      <c r="Z22" s="558">
        <f>SUM(X22:Y22)</f>
        <v>0</v>
      </c>
      <c r="AA22" s="556">
        <f>X22-D22</f>
        <v>-12311385</v>
      </c>
      <c r="AB22" s="557">
        <f>Y22-E22</f>
        <v>0</v>
      </c>
      <c r="AC22" s="427">
        <f>SUM(AA22:AB22)</f>
        <v>-12311385</v>
      </c>
    </row>
    <row r="23" spans="1:29" ht="24.75" customHeight="1" thickTop="1">
      <c r="A23" s="440"/>
      <c r="B23" s="457"/>
      <c r="C23" s="429"/>
      <c r="D23" s="430"/>
      <c r="E23" s="430"/>
      <c r="F23" s="407"/>
      <c r="G23" s="408"/>
      <c r="H23" s="1206"/>
      <c r="I23" s="1206"/>
      <c r="J23" s="1210"/>
      <c r="K23" s="759">
        <f>SUM(J23:J27)</f>
        <v>0</v>
      </c>
      <c r="L23" s="761" t="s">
        <v>107</v>
      </c>
      <c r="M23" s="1191"/>
      <c r="N23" s="1191"/>
      <c r="O23" s="1191"/>
      <c r="P23" s="1204">
        <v>2100000</v>
      </c>
      <c r="Q23" s="759">
        <f>SUM(P23:P27)</f>
        <v>147577861</v>
      </c>
      <c r="R23" s="744" t="s">
        <v>727</v>
      </c>
      <c r="S23" s="1197"/>
      <c r="T23" s="1197"/>
      <c r="U23" s="1197"/>
      <c r="V23" s="520">
        <v>9000000</v>
      </c>
      <c r="W23" s="779">
        <f>SUM(V23:V27)</f>
        <v>116961437</v>
      </c>
      <c r="X23" s="431"/>
      <c r="Y23" s="432"/>
      <c r="Z23" s="433"/>
      <c r="AA23" s="431"/>
      <c r="AB23" s="432"/>
      <c r="AC23" s="416"/>
    </row>
    <row r="24" spans="1:29" ht="24.75" customHeight="1">
      <c r="A24" s="440"/>
      <c r="B24" s="457"/>
      <c r="C24" s="429"/>
      <c r="D24" s="430"/>
      <c r="E24" s="457"/>
      <c r="F24" s="407"/>
      <c r="G24" s="408"/>
      <c r="H24" s="1206"/>
      <c r="I24" s="1206"/>
      <c r="J24" s="1210"/>
      <c r="K24" s="760"/>
      <c r="L24" s="758" t="s">
        <v>1061</v>
      </c>
      <c r="M24" s="1196"/>
      <c r="N24" s="1196"/>
      <c r="O24" s="1196"/>
      <c r="P24" s="1204">
        <f>40118910+13881090</f>
        <v>54000000</v>
      </c>
      <c r="Q24" s="760"/>
      <c r="R24" s="744" t="s">
        <v>729</v>
      </c>
      <c r="S24" s="1197"/>
      <c r="T24" s="1197"/>
      <c r="U24" s="1197"/>
      <c r="V24" s="520"/>
      <c r="W24" s="754"/>
      <c r="X24" s="561"/>
      <c r="Y24" s="430"/>
      <c r="Z24" s="457"/>
      <c r="AA24" s="440"/>
      <c r="AB24" s="430"/>
      <c r="AC24" s="407"/>
    </row>
    <row r="25" spans="1:29" ht="34.5" customHeight="1">
      <c r="A25" s="440"/>
      <c r="B25" s="457"/>
      <c r="C25" s="429"/>
      <c r="D25" s="430"/>
      <c r="E25" s="457"/>
      <c r="F25" s="407"/>
      <c r="G25" s="408"/>
      <c r="H25" s="1206"/>
      <c r="I25" s="1206"/>
      <c r="J25" s="1210"/>
      <c r="K25" s="760"/>
      <c r="L25" s="758" t="s">
        <v>1062</v>
      </c>
      <c r="M25" s="1196"/>
      <c r="N25" s="1196"/>
      <c r="O25" s="1196"/>
      <c r="P25" s="1204">
        <v>60657486</v>
      </c>
      <c r="Q25" s="760"/>
      <c r="R25" s="744" t="s">
        <v>1063</v>
      </c>
      <c r="S25" s="1197"/>
      <c r="T25" s="1197"/>
      <c r="U25" s="1197"/>
      <c r="V25" s="520">
        <v>434514</v>
      </c>
      <c r="W25" s="754"/>
      <c r="X25" s="561"/>
      <c r="Y25" s="430"/>
      <c r="Z25" s="457"/>
      <c r="AA25" s="440"/>
      <c r="AB25" s="430"/>
      <c r="AC25" s="407"/>
    </row>
    <row r="26" spans="1:29" ht="29.25" customHeight="1">
      <c r="A26" s="440"/>
      <c r="B26" s="457"/>
      <c r="C26" s="429"/>
      <c r="D26" s="430"/>
      <c r="E26" s="457"/>
      <c r="F26" s="407"/>
      <c r="G26" s="408"/>
      <c r="H26" s="1206"/>
      <c r="I26" s="1206"/>
      <c r="J26" s="1210"/>
      <c r="K26" s="760"/>
      <c r="L26" s="758" t="s">
        <v>939</v>
      </c>
      <c r="M26" s="1196"/>
      <c r="N26" s="1196"/>
      <c r="O26" s="1196"/>
      <c r="P26" s="1204">
        <v>1092680</v>
      </c>
      <c r="Q26" s="760"/>
      <c r="R26" s="761" t="s">
        <v>731</v>
      </c>
      <c r="S26" s="1191"/>
      <c r="T26" s="1191"/>
      <c r="U26" s="1191"/>
      <c r="V26" s="567">
        <f>92795675+2881248+4230000</f>
        <v>99906923</v>
      </c>
      <c r="W26" s="754"/>
      <c r="X26" s="561"/>
      <c r="Y26" s="430"/>
      <c r="Z26" s="457"/>
      <c r="AA26" s="440"/>
      <c r="AB26" s="430"/>
      <c r="AC26" s="407"/>
    </row>
    <row r="27" spans="1:29" ht="27.75" customHeight="1" thickBot="1">
      <c r="A27" s="815" t="s">
        <v>485</v>
      </c>
      <c r="B27" s="1211"/>
      <c r="C27" s="816"/>
      <c r="D27" s="434">
        <f>SUM('[1]6. kiadások megbontása'!G51)</f>
        <v>270247451</v>
      </c>
      <c r="E27" s="503">
        <f>SUM('[1]6. kiadások megbontása'!H51)</f>
        <v>633001001</v>
      </c>
      <c r="F27" s="391">
        <f>SUM(D27:E27)</f>
        <v>903248452</v>
      </c>
      <c r="G27" s="435"/>
      <c r="H27" s="1205"/>
      <c r="I27" s="1205"/>
      <c r="J27" s="400"/>
      <c r="K27" s="755"/>
      <c r="L27" s="758" t="s">
        <v>943</v>
      </c>
      <c r="M27" s="1196"/>
      <c r="N27" s="1196"/>
      <c r="O27" s="1196"/>
      <c r="P27" s="1204">
        <f>5788759+23938936</f>
        <v>29727695</v>
      </c>
      <c r="Q27" s="755"/>
      <c r="R27" s="747" t="s">
        <v>728</v>
      </c>
      <c r="S27" s="748"/>
      <c r="T27" s="748"/>
      <c r="U27" s="748"/>
      <c r="V27" s="525">
        <v>7620000</v>
      </c>
      <c r="W27" s="780"/>
      <c r="X27" s="436">
        <f>SUM(W23,Q23,K23)</f>
        <v>264539298</v>
      </c>
      <c r="Y27" s="402">
        <f>SUM(Q28,W28,K28)</f>
        <v>644766055</v>
      </c>
      <c r="Z27" s="403">
        <f>SUM(X27:Y27)</f>
        <v>909305353</v>
      </c>
      <c r="AA27" s="401">
        <f>X27-D27</f>
        <v>-5708153</v>
      </c>
      <c r="AB27" s="402">
        <f>Y27-E27</f>
        <v>11765054</v>
      </c>
      <c r="AC27" s="404">
        <f>SUM(AA27:AB27)</f>
        <v>6056901</v>
      </c>
    </row>
    <row r="28" spans="1:223" s="90" customFormat="1" ht="33.75" customHeight="1">
      <c r="A28" s="388"/>
      <c r="B28" s="1198"/>
      <c r="C28" s="389"/>
      <c r="D28" s="434"/>
      <c r="E28" s="503"/>
      <c r="F28" s="391"/>
      <c r="G28" s="523"/>
      <c r="H28" s="524"/>
      <c r="I28" s="524"/>
      <c r="J28" s="412"/>
      <c r="K28" s="753">
        <f>SUM(J28)</f>
        <v>0</v>
      </c>
      <c r="L28" s="745" t="s">
        <v>940</v>
      </c>
      <c r="M28" s="746"/>
      <c r="N28" s="746"/>
      <c r="O28" s="746"/>
      <c r="P28" s="527">
        <f>6000000-6000000</f>
        <v>0</v>
      </c>
      <c r="Q28" s="753">
        <f>SUM(P28:P29)</f>
        <v>6000000</v>
      </c>
      <c r="R28" s="744" t="s">
        <v>726</v>
      </c>
      <c r="S28" s="1197"/>
      <c r="T28" s="1197"/>
      <c r="U28" s="1197"/>
      <c r="V28" s="568">
        <f>639276554+1-510500</f>
        <v>638766055</v>
      </c>
      <c r="W28" s="775">
        <f>SUM(V28:V29)</f>
        <v>638766055</v>
      </c>
      <c r="X28" s="437"/>
      <c r="Y28" s="402"/>
      <c r="Z28" s="403"/>
      <c r="AA28" s="401"/>
      <c r="AB28" s="402"/>
      <c r="AC28" s="404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</row>
    <row r="29" spans="1:29" ht="27.75" customHeight="1" thickBot="1">
      <c r="A29" s="388"/>
      <c r="B29" s="1198"/>
      <c r="C29" s="389"/>
      <c r="D29" s="434"/>
      <c r="E29" s="503"/>
      <c r="F29" s="391"/>
      <c r="G29" s="435"/>
      <c r="H29" s="1205"/>
      <c r="I29" s="1205"/>
      <c r="J29" s="400"/>
      <c r="K29" s="760"/>
      <c r="L29" s="758" t="s">
        <v>1064</v>
      </c>
      <c r="M29" s="1196"/>
      <c r="N29" s="1196"/>
      <c r="O29" s="1196"/>
      <c r="P29" s="525">
        <v>6000000</v>
      </c>
      <c r="Q29" s="760"/>
      <c r="R29" s="507"/>
      <c r="S29" s="1212"/>
      <c r="T29" s="1212"/>
      <c r="U29" s="1212"/>
      <c r="V29" s="520"/>
      <c r="W29" s="776"/>
      <c r="X29" s="437"/>
      <c r="Y29" s="402"/>
      <c r="Z29" s="403"/>
      <c r="AA29" s="401"/>
      <c r="AB29" s="402"/>
      <c r="AC29" s="404"/>
    </row>
    <row r="30" spans="1:223" s="88" customFormat="1" ht="32.25" customHeight="1" thickBot="1" thickTop="1">
      <c r="A30" s="817" t="s">
        <v>970</v>
      </c>
      <c r="B30" s="818"/>
      <c r="C30" s="819"/>
      <c r="D30" s="531">
        <f>SUM(D9:D29)</f>
        <v>831703254</v>
      </c>
      <c r="E30" s="532">
        <f>SUM(E8:E29)</f>
        <v>920582999</v>
      </c>
      <c r="F30" s="533">
        <f>SUM(F8:F29)</f>
        <v>1752286253</v>
      </c>
      <c r="G30" s="534"/>
      <c r="H30" s="791" t="s">
        <v>93</v>
      </c>
      <c r="I30" s="792"/>
      <c r="J30" s="793"/>
      <c r="K30" s="535">
        <f>SUM(K8:K29)</f>
        <v>176515151</v>
      </c>
      <c r="L30" s="513"/>
      <c r="M30" s="751" t="s">
        <v>94</v>
      </c>
      <c r="N30" s="751"/>
      <c r="O30" s="751"/>
      <c r="P30" s="752"/>
      <c r="Q30" s="535">
        <f>SUM(Q8:Q29)</f>
        <v>254599561</v>
      </c>
      <c r="R30" s="515"/>
      <c r="S30" s="751" t="s">
        <v>95</v>
      </c>
      <c r="T30" s="751"/>
      <c r="U30" s="751"/>
      <c r="V30" s="752"/>
      <c r="W30" s="536">
        <f>SUM(W8:W29)</f>
        <v>1386789681</v>
      </c>
      <c r="X30" s="537">
        <f>SUM(X8:X29)</f>
        <v>857665298</v>
      </c>
      <c r="Y30" s="538">
        <f>SUM(Y8:Y29)</f>
        <v>960239095</v>
      </c>
      <c r="Z30" s="539">
        <f>SUM(X30:Y30)</f>
        <v>1817904393</v>
      </c>
      <c r="AA30" s="540">
        <f>SUM(AA11:AA29)</f>
        <v>25962044</v>
      </c>
      <c r="AB30" s="541">
        <f>SUM(AB10:AB29)</f>
        <v>39656096</v>
      </c>
      <c r="AC30" s="511">
        <f>SUM(AA30:AB30)</f>
        <v>65618140</v>
      </c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</row>
    <row r="31" spans="1:29" ht="12.75" customHeight="1" thickBot="1" thickTop="1">
      <c r="A31" s="822" t="s">
        <v>967</v>
      </c>
      <c r="B31" s="823"/>
      <c r="C31" s="824"/>
      <c r="D31" s="1176" t="s">
        <v>362</v>
      </c>
      <c r="E31" s="1177"/>
      <c r="F31" s="1178"/>
      <c r="G31" s="803" t="s">
        <v>505</v>
      </c>
      <c r="H31" s="1177"/>
      <c r="I31" s="1177"/>
      <c r="J31" s="1177"/>
      <c r="K31" s="1213"/>
      <c r="L31" s="1179" t="s">
        <v>506</v>
      </c>
      <c r="M31" s="1177"/>
      <c r="N31" s="1177"/>
      <c r="O31" s="1177"/>
      <c r="P31" s="1177"/>
      <c r="Q31" s="1213"/>
      <c r="R31" s="1179" t="s">
        <v>507</v>
      </c>
      <c r="S31" s="1177"/>
      <c r="T31" s="1177"/>
      <c r="U31" s="1177"/>
      <c r="V31" s="1177"/>
      <c r="W31" s="1178"/>
      <c r="X31" s="1214" t="s">
        <v>508</v>
      </c>
      <c r="Y31" s="812"/>
      <c r="Z31" s="812"/>
      <c r="AA31" s="1183" t="s">
        <v>87</v>
      </c>
      <c r="AB31" s="813"/>
      <c r="AC31" s="814"/>
    </row>
    <row r="32" spans="1:29" ht="12.75" customHeight="1" thickBot="1">
      <c r="A32" s="825"/>
      <c r="B32" s="826"/>
      <c r="C32" s="827"/>
      <c r="D32" s="506" t="s">
        <v>88</v>
      </c>
      <c r="E32" s="560" t="s">
        <v>85</v>
      </c>
      <c r="F32" s="1184" t="s">
        <v>89</v>
      </c>
      <c r="G32" s="1215"/>
      <c r="H32" s="1216"/>
      <c r="I32" s="1216"/>
      <c r="J32" s="1217"/>
      <c r="K32" s="1218"/>
      <c r="L32" s="1219"/>
      <c r="M32" s="1216"/>
      <c r="N32" s="1216"/>
      <c r="O32" s="1216"/>
      <c r="P32" s="1216"/>
      <c r="Q32" s="1218"/>
      <c r="R32" s="1219"/>
      <c r="S32" s="1216"/>
      <c r="T32" s="1216"/>
      <c r="U32" s="1216"/>
      <c r="V32" s="1216"/>
      <c r="W32" s="1220"/>
      <c r="X32" s="547" t="s">
        <v>88</v>
      </c>
      <c r="Y32" s="549" t="s">
        <v>85</v>
      </c>
      <c r="Z32" s="1184" t="s">
        <v>89</v>
      </c>
      <c r="AA32" s="542" t="s">
        <v>88</v>
      </c>
      <c r="AB32" s="506" t="s">
        <v>85</v>
      </c>
      <c r="AC32" s="1184" t="s">
        <v>89</v>
      </c>
    </row>
    <row r="33" spans="1:29" ht="24.75" customHeight="1">
      <c r="A33" s="377"/>
      <c r="B33" s="457"/>
      <c r="C33" s="457"/>
      <c r="D33" s="430"/>
      <c r="E33" s="457"/>
      <c r="F33" s="380"/>
      <c r="G33" s="785" t="s">
        <v>471</v>
      </c>
      <c r="H33" s="786"/>
      <c r="I33" s="786"/>
      <c r="J33" s="788">
        <f>119812800+22486700</f>
        <v>142299500</v>
      </c>
      <c r="K33" s="828">
        <f>SUM(J33:J36)</f>
        <v>142438855</v>
      </c>
      <c r="L33" s="762" t="s">
        <v>1065</v>
      </c>
      <c r="M33" s="763"/>
      <c r="N33" s="763"/>
      <c r="O33" s="763"/>
      <c r="P33" s="764">
        <v>1484730</v>
      </c>
      <c r="Q33" s="753">
        <f>SUM(P33:P36)</f>
        <v>1484730</v>
      </c>
      <c r="R33" s="768" t="s">
        <v>799</v>
      </c>
      <c r="S33" s="769"/>
      <c r="T33" s="769"/>
      <c r="U33" s="769"/>
      <c r="V33" s="764">
        <v>250000</v>
      </c>
      <c r="W33" s="756">
        <f>SUM(V33:V36)</f>
        <v>6576559</v>
      </c>
      <c r="X33" s="1221"/>
      <c r="Y33" s="438"/>
      <c r="Z33" s="439"/>
      <c r="AA33" s="377"/>
      <c r="AB33" s="386"/>
      <c r="AC33" s="387"/>
    </row>
    <row r="34" spans="1:29" ht="20.25" customHeight="1">
      <c r="A34" s="440"/>
      <c r="B34" s="500"/>
      <c r="C34" s="500"/>
      <c r="D34" s="441"/>
      <c r="E34" s="457"/>
      <c r="F34" s="407"/>
      <c r="G34" s="787"/>
      <c r="H34" s="1222"/>
      <c r="I34" s="1222"/>
      <c r="J34" s="789"/>
      <c r="K34" s="760"/>
      <c r="L34" s="744"/>
      <c r="M34" s="1197"/>
      <c r="N34" s="1197"/>
      <c r="O34" s="1197"/>
      <c r="P34" s="765"/>
      <c r="Q34" s="760"/>
      <c r="R34" s="761"/>
      <c r="S34" s="1191"/>
      <c r="T34" s="1191"/>
      <c r="U34" s="1191"/>
      <c r="V34" s="765"/>
      <c r="W34" s="757"/>
      <c r="X34" s="1223"/>
      <c r="Y34" s="393"/>
      <c r="Z34" s="385"/>
      <c r="AA34" s="394"/>
      <c r="AB34" s="395"/>
      <c r="AC34" s="396"/>
    </row>
    <row r="35" spans="1:29" ht="20.25" customHeight="1">
      <c r="A35" s="440"/>
      <c r="B35" s="500"/>
      <c r="C35" s="500"/>
      <c r="D35" s="441"/>
      <c r="E35" s="457"/>
      <c r="F35" s="407"/>
      <c r="G35" s="584"/>
      <c r="H35" s="1224"/>
      <c r="I35" s="1224"/>
      <c r="J35" s="275"/>
      <c r="K35" s="760"/>
      <c r="L35" s="373"/>
      <c r="M35" s="1200"/>
      <c r="N35" s="1200"/>
      <c r="O35" s="1200"/>
      <c r="P35" s="583"/>
      <c r="Q35" s="760"/>
      <c r="R35" s="761" t="s">
        <v>731</v>
      </c>
      <c r="S35" s="1191"/>
      <c r="T35" s="1191"/>
      <c r="U35" s="1191"/>
      <c r="V35" s="520">
        <v>789210</v>
      </c>
      <c r="W35" s="757"/>
      <c r="X35" s="1223"/>
      <c r="Y35" s="393"/>
      <c r="Z35" s="385"/>
      <c r="AA35" s="394"/>
      <c r="AB35" s="395"/>
      <c r="AC35" s="396"/>
    </row>
    <row r="36" spans="1:223" s="90" customFormat="1" ht="33.75" customHeight="1" thickBot="1">
      <c r="A36" s="440"/>
      <c r="B36" s="1211" t="s">
        <v>484</v>
      </c>
      <c r="C36" s="816"/>
      <c r="D36" s="434">
        <f>SUM('[1]6. kiadások megbontása'!D55)</f>
        <v>136378897</v>
      </c>
      <c r="E36" s="503">
        <f>SUM('[1]6. kiadások megbontása'!E55)</f>
        <v>1934590</v>
      </c>
      <c r="F36" s="391">
        <f>SUM(D36:E36)</f>
        <v>138313487</v>
      </c>
      <c r="G36" s="790" t="s">
        <v>1021</v>
      </c>
      <c r="H36" s="1196"/>
      <c r="I36" s="1196"/>
      <c r="J36" s="510">
        <f>17860+121495</f>
        <v>139355</v>
      </c>
      <c r="K36" s="760"/>
      <c r="L36" s="744"/>
      <c r="M36" s="1197"/>
      <c r="N36" s="1197"/>
      <c r="O36" s="1197"/>
      <c r="P36" s="520"/>
      <c r="Q36" s="760"/>
      <c r="R36" s="761" t="s">
        <v>512</v>
      </c>
      <c r="S36" s="1191"/>
      <c r="T36" s="1191"/>
      <c r="U36" s="1191"/>
      <c r="V36" s="1225">
        <v>5537349</v>
      </c>
      <c r="W36" s="757"/>
      <c r="X36" s="1223">
        <f>SUM(W33,Q33,K33)</f>
        <v>150500144</v>
      </c>
      <c r="Y36" s="393">
        <v>0</v>
      </c>
      <c r="Z36" s="403">
        <f>SUM(Y36,X36)</f>
        <v>150500144</v>
      </c>
      <c r="AA36" s="401">
        <f>X36-D36</f>
        <v>14121247</v>
      </c>
      <c r="AB36" s="402">
        <f>Y36-E36</f>
        <v>-1934590</v>
      </c>
      <c r="AC36" s="396">
        <f>SUM(AA36:AB36)</f>
        <v>12186657</v>
      </c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</row>
    <row r="37" spans="1:29" ht="27.75" customHeight="1" thickBot="1">
      <c r="A37" s="848" t="s">
        <v>485</v>
      </c>
      <c r="B37" s="849"/>
      <c r="C37" s="850"/>
      <c r="D37" s="585">
        <f>'[1]6. kiadások megbontása'!G55</f>
        <v>8450747</v>
      </c>
      <c r="E37" s="586"/>
      <c r="F37" s="587">
        <f>SUM(D37:E37)</f>
        <v>8450747</v>
      </c>
      <c r="G37" s="588"/>
      <c r="H37" s="588"/>
      <c r="I37" s="588"/>
      <c r="J37" s="1226"/>
      <c r="K37" s="589"/>
      <c r="L37" s="590"/>
      <c r="M37" s="591"/>
      <c r="N37" s="591"/>
      <c r="O37" s="591"/>
      <c r="P37" s="592"/>
      <c r="Q37" s="589"/>
      <c r="R37" s="771"/>
      <c r="S37" s="772"/>
      <c r="T37" s="772"/>
      <c r="U37" s="772"/>
      <c r="V37" s="593"/>
      <c r="W37" s="594">
        <f>SUM(V37)</f>
        <v>0</v>
      </c>
      <c r="X37" s="595">
        <f>W37</f>
        <v>0</v>
      </c>
      <c r="Y37" s="596"/>
      <c r="Z37" s="597">
        <f>SUM(Y37,X37)</f>
        <v>0</v>
      </c>
      <c r="AA37" s="598"/>
      <c r="AB37" s="599"/>
      <c r="AC37" s="597"/>
    </row>
    <row r="38" spans="1:223" s="88" customFormat="1" ht="27.75" customHeight="1" thickBot="1" thickTop="1">
      <c r="A38" s="817" t="s">
        <v>969</v>
      </c>
      <c r="B38" s="818"/>
      <c r="C38" s="819"/>
      <c r="D38" s="531">
        <f>SUM(D33:D37)</f>
        <v>144829644</v>
      </c>
      <c r="E38" s="532">
        <f>SUM(E33:E37)</f>
        <v>1934590</v>
      </c>
      <c r="F38" s="533">
        <f>SUM(F33:F37)</f>
        <v>146764234</v>
      </c>
      <c r="G38" s="534"/>
      <c r="H38" s="791" t="s">
        <v>93</v>
      </c>
      <c r="I38" s="792"/>
      <c r="J38" s="793"/>
      <c r="K38" s="535">
        <f>SUM(K33:K36)</f>
        <v>142438855</v>
      </c>
      <c r="L38" s="513"/>
      <c r="M38" s="751" t="s">
        <v>94</v>
      </c>
      <c r="N38" s="751"/>
      <c r="O38" s="751"/>
      <c r="P38" s="752"/>
      <c r="Q38" s="535">
        <f>SUM(Q33:Q36)</f>
        <v>1484730</v>
      </c>
      <c r="R38" s="515"/>
      <c r="S38" s="751" t="s">
        <v>95</v>
      </c>
      <c r="T38" s="751"/>
      <c r="U38" s="751"/>
      <c r="V38" s="752"/>
      <c r="W38" s="536">
        <f>SUM(W33:W37)</f>
        <v>6576559</v>
      </c>
      <c r="X38" s="537">
        <f>SUM(X33:X37)</f>
        <v>150500144</v>
      </c>
      <c r="Y38" s="538">
        <v>0</v>
      </c>
      <c r="Z38" s="539">
        <f>SUM(X38:Y38)</f>
        <v>150500144</v>
      </c>
      <c r="AA38" s="540">
        <f>X38-D38</f>
        <v>5670500</v>
      </c>
      <c r="AB38" s="541">
        <f>Y38-E38</f>
        <v>-1934590</v>
      </c>
      <c r="AC38" s="511">
        <f>SUM(AA38:AB38)</f>
        <v>3735910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</row>
    <row r="39" spans="1:29" ht="26.25" customHeight="1" thickBot="1" thickTop="1">
      <c r="A39" s="822" t="s">
        <v>796</v>
      </c>
      <c r="B39" s="823"/>
      <c r="C39" s="824"/>
      <c r="D39" s="1176" t="s">
        <v>362</v>
      </c>
      <c r="E39" s="1177"/>
      <c r="F39" s="1178"/>
      <c r="G39" s="803" t="s">
        <v>505</v>
      </c>
      <c r="H39" s="1177"/>
      <c r="I39" s="1177"/>
      <c r="J39" s="1177"/>
      <c r="K39" s="1213"/>
      <c r="L39" s="1179" t="s">
        <v>506</v>
      </c>
      <c r="M39" s="1177"/>
      <c r="N39" s="1177"/>
      <c r="O39" s="1177"/>
      <c r="P39" s="1177"/>
      <c r="Q39" s="1213"/>
      <c r="R39" s="1179" t="s">
        <v>507</v>
      </c>
      <c r="S39" s="1177"/>
      <c r="T39" s="1177"/>
      <c r="U39" s="1177"/>
      <c r="V39" s="1177"/>
      <c r="W39" s="1178"/>
      <c r="X39" s="1214" t="s">
        <v>508</v>
      </c>
      <c r="Y39" s="812"/>
      <c r="Z39" s="812"/>
      <c r="AA39" s="1183" t="s">
        <v>87</v>
      </c>
      <c r="AB39" s="813"/>
      <c r="AC39" s="814"/>
    </row>
    <row r="40" spans="1:29" ht="19.5" customHeight="1" thickBot="1">
      <c r="A40" s="825"/>
      <c r="B40" s="826"/>
      <c r="C40" s="827"/>
      <c r="D40" s="506" t="s">
        <v>88</v>
      </c>
      <c r="E40" s="560" t="s">
        <v>85</v>
      </c>
      <c r="F40" s="1184" t="s">
        <v>89</v>
      </c>
      <c r="G40" s="1215"/>
      <c r="H40" s="1216"/>
      <c r="I40" s="1216"/>
      <c r="J40" s="1217"/>
      <c r="K40" s="1218"/>
      <c r="L40" s="1219"/>
      <c r="M40" s="1216"/>
      <c r="N40" s="1216"/>
      <c r="O40" s="1216"/>
      <c r="P40" s="1216"/>
      <c r="Q40" s="1218"/>
      <c r="R40" s="1219"/>
      <c r="S40" s="1216"/>
      <c r="T40" s="1216"/>
      <c r="U40" s="1216"/>
      <c r="V40" s="1216"/>
      <c r="W40" s="1216"/>
      <c r="X40" s="548" t="s">
        <v>88</v>
      </c>
      <c r="Y40" s="549" t="s">
        <v>85</v>
      </c>
      <c r="Z40" s="1184" t="s">
        <v>89</v>
      </c>
      <c r="AA40" s="542" t="s">
        <v>88</v>
      </c>
      <c r="AB40" s="506" t="s">
        <v>85</v>
      </c>
      <c r="AC40" s="1184" t="s">
        <v>89</v>
      </c>
    </row>
    <row r="41" spans="1:29" ht="17.25" customHeight="1">
      <c r="A41" s="377"/>
      <c r="B41" s="457"/>
      <c r="C41" s="457"/>
      <c r="D41" s="430"/>
      <c r="E41" s="457"/>
      <c r="F41" s="380"/>
      <c r="G41" s="790" t="s">
        <v>529</v>
      </c>
      <c r="H41" s="1196"/>
      <c r="I41" s="1196"/>
      <c r="J41" s="509">
        <v>10821150</v>
      </c>
      <c r="K41" s="753">
        <f>SUM(J41:J42)</f>
        <v>11669970</v>
      </c>
      <c r="L41" s="745" t="s">
        <v>1018</v>
      </c>
      <c r="M41" s="746"/>
      <c r="N41" s="746"/>
      <c r="O41" s="746"/>
      <c r="P41" s="764">
        <v>2576000</v>
      </c>
      <c r="Q41" s="753">
        <f>SUM(P41:P42)</f>
        <v>2576000</v>
      </c>
      <c r="R41" s="761" t="s">
        <v>777</v>
      </c>
      <c r="S41" s="1191"/>
      <c r="T41" s="1191"/>
      <c r="U41" s="1191"/>
      <c r="V41" s="1190">
        <v>114300</v>
      </c>
      <c r="W41" s="774">
        <f>SUM(V41:V42)</f>
        <v>10586950</v>
      </c>
      <c r="X41" s="546"/>
      <c r="Y41" s="438"/>
      <c r="Z41" s="439"/>
      <c r="AA41" s="377"/>
      <c r="AB41" s="386"/>
      <c r="AC41" s="387"/>
    </row>
    <row r="42" spans="1:29" ht="15.75" customHeight="1" thickBot="1">
      <c r="A42" s="440"/>
      <c r="B42" s="1211" t="s">
        <v>484</v>
      </c>
      <c r="C42" s="816"/>
      <c r="D42" s="434">
        <f>SUM('[1]6. kiadások megbontása'!D72)</f>
        <v>35814630</v>
      </c>
      <c r="E42" s="503">
        <f>SUM('[1]6. kiadások megbontása'!E72)</f>
        <v>1627000</v>
      </c>
      <c r="F42" s="391">
        <f>SUM(D42:E42)</f>
        <v>37441630</v>
      </c>
      <c r="G42" s="790" t="s">
        <v>1021</v>
      </c>
      <c r="H42" s="1196"/>
      <c r="I42" s="1196"/>
      <c r="J42" s="510">
        <v>848820</v>
      </c>
      <c r="K42" s="760"/>
      <c r="L42" s="758"/>
      <c r="M42" s="1196"/>
      <c r="N42" s="1196"/>
      <c r="O42" s="1196"/>
      <c r="P42" s="765"/>
      <c r="Q42" s="760"/>
      <c r="R42" s="761" t="s">
        <v>778</v>
      </c>
      <c r="S42" s="1191"/>
      <c r="T42" s="1191"/>
      <c r="U42" s="1191"/>
      <c r="V42" s="1190">
        <f>5470400+536221+144779+3402559+918691</f>
        <v>10472650</v>
      </c>
      <c r="W42" s="754"/>
      <c r="X42" s="545">
        <f>SUM(W41,Q41,K41)</f>
        <v>24832920</v>
      </c>
      <c r="Y42" s="393">
        <v>0</v>
      </c>
      <c r="Z42" s="403">
        <f>SUM(Y42,X42)</f>
        <v>24832920</v>
      </c>
      <c r="AA42" s="401">
        <f>X42-D42</f>
        <v>-10981710</v>
      </c>
      <c r="AB42" s="402">
        <f>Y42-E42</f>
        <v>-1627000</v>
      </c>
      <c r="AC42" s="396">
        <f>SUM(AA42:AB42)</f>
        <v>-12608710</v>
      </c>
    </row>
    <row r="43" spans="1:29" ht="27" customHeight="1">
      <c r="A43" s="462"/>
      <c r="B43" s="463"/>
      <c r="C43" s="512"/>
      <c r="D43" s="464"/>
      <c r="E43" s="465"/>
      <c r="F43" s="466"/>
      <c r="G43" s="851"/>
      <c r="H43" s="802"/>
      <c r="I43" s="802"/>
      <c r="J43" s="412"/>
      <c r="K43" s="753">
        <f>SUM(J43:J45)</f>
        <v>0</v>
      </c>
      <c r="L43" s="745" t="s">
        <v>860</v>
      </c>
      <c r="M43" s="746"/>
      <c r="N43" s="746"/>
      <c r="O43" s="746"/>
      <c r="P43" s="412"/>
      <c r="Q43" s="372"/>
      <c r="R43" s="745" t="s">
        <v>944</v>
      </c>
      <c r="S43" s="746"/>
      <c r="T43" s="746"/>
      <c r="U43" s="746"/>
      <c r="V43" s="467"/>
      <c r="W43" s="753">
        <f>SUM(V43:V45)</f>
        <v>5642681</v>
      </c>
      <c r="X43" s="468"/>
      <c r="Y43" s="469"/>
      <c r="Z43" s="470"/>
      <c r="AA43" s="471"/>
      <c r="AB43" s="472"/>
      <c r="AC43" s="473"/>
    </row>
    <row r="44" spans="1:29" ht="27" customHeight="1" thickBot="1">
      <c r="A44" s="815" t="s">
        <v>485</v>
      </c>
      <c r="B44" s="1211"/>
      <c r="C44" s="816"/>
      <c r="D44" s="434">
        <f>SUM('[1]6. kiadások megbontása'!G72)</f>
        <v>11862203</v>
      </c>
      <c r="E44" s="503">
        <f>SUM('[1]6. kiadások megbontása'!H72)</f>
        <v>0</v>
      </c>
      <c r="F44" s="391">
        <f>SUM(D44:E44)</f>
        <v>11862203</v>
      </c>
      <c r="G44" s="408"/>
      <c r="H44" s="1206"/>
      <c r="I44" s="1206"/>
      <c r="J44" s="1227"/>
      <c r="K44" s="760"/>
      <c r="L44" s="747"/>
      <c r="M44" s="748"/>
      <c r="N44" s="748"/>
      <c r="O44" s="748"/>
      <c r="P44" s="1204"/>
      <c r="Q44" s="375">
        <f>SUM(P44)</f>
        <v>0</v>
      </c>
      <c r="R44" s="758"/>
      <c r="S44" s="1196"/>
      <c r="T44" s="1196"/>
      <c r="U44" s="1196"/>
      <c r="V44" s="1204">
        <v>5642681</v>
      </c>
      <c r="W44" s="754"/>
      <c r="X44" s="545">
        <f>SUM(K44+Q44+W43)</f>
        <v>5642681</v>
      </c>
      <c r="Y44" s="393">
        <f>Q45</f>
        <v>0</v>
      </c>
      <c r="Z44" s="403">
        <f>SUM(X44:Y44)</f>
        <v>5642681</v>
      </c>
      <c r="AA44" s="460">
        <f>X44-D44</f>
        <v>-6219522</v>
      </c>
      <c r="AB44" s="402">
        <f>Y44-E44</f>
        <v>0</v>
      </c>
      <c r="AC44" s="404">
        <f>SUM(AA44:AB44)</f>
        <v>-6219522</v>
      </c>
    </row>
    <row r="45" spans="1:223" s="90" customFormat="1" ht="33.75" customHeight="1" thickBot="1">
      <c r="A45" s="388"/>
      <c r="B45" s="1060"/>
      <c r="C45" s="1060"/>
      <c r="D45" s="442"/>
      <c r="E45" s="496"/>
      <c r="F45" s="474"/>
      <c r="G45" s="475"/>
      <c r="H45" s="476"/>
      <c r="I45" s="476"/>
      <c r="J45" s="477"/>
      <c r="K45" s="755"/>
      <c r="L45" s="745" t="s">
        <v>861</v>
      </c>
      <c r="M45" s="746"/>
      <c r="N45" s="746"/>
      <c r="O45" s="746"/>
      <c r="P45" s="527"/>
      <c r="Q45" s="375">
        <f>SUM(P45)</f>
        <v>0</v>
      </c>
      <c r="R45" s="569"/>
      <c r="S45" s="570"/>
      <c r="T45" s="570"/>
      <c r="U45" s="570"/>
      <c r="V45" s="571"/>
      <c r="W45" s="755"/>
      <c r="X45" s="478"/>
      <c r="Y45" s="479"/>
      <c r="Z45" s="443"/>
      <c r="AA45" s="480"/>
      <c r="AB45" s="481"/>
      <c r="AC45" s="48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</row>
    <row r="46" spans="1:29" ht="16.5" thickBot="1">
      <c r="A46" s="817" t="s">
        <v>968</v>
      </c>
      <c r="B46" s="818"/>
      <c r="C46" s="819"/>
      <c r="D46" s="531">
        <f>SUM(D41:D45)</f>
        <v>47676833</v>
      </c>
      <c r="E46" s="532">
        <f>SUM(E41:E45)</f>
        <v>1627000</v>
      </c>
      <c r="F46" s="533">
        <f>SUM(F41:F45)</f>
        <v>49303833</v>
      </c>
      <c r="G46" s="534"/>
      <c r="H46" s="791" t="s">
        <v>93</v>
      </c>
      <c r="I46" s="792"/>
      <c r="J46" s="793"/>
      <c r="K46" s="535">
        <f>SUM(K43+K41)</f>
        <v>11669970</v>
      </c>
      <c r="L46" s="513"/>
      <c r="M46" s="751" t="s">
        <v>94</v>
      </c>
      <c r="N46" s="751"/>
      <c r="O46" s="751"/>
      <c r="P46" s="752"/>
      <c r="Q46" s="535">
        <f>SUM(Q41:Q45)</f>
        <v>2576000</v>
      </c>
      <c r="R46" s="515"/>
      <c r="S46" s="751" t="s">
        <v>95</v>
      </c>
      <c r="T46" s="751"/>
      <c r="U46" s="751"/>
      <c r="V46" s="752"/>
      <c r="W46" s="536">
        <f>SUM(W41:W45)</f>
        <v>16229631</v>
      </c>
      <c r="X46" s="537">
        <f>SUM(X41:X45)</f>
        <v>30475601</v>
      </c>
      <c r="Y46" s="538">
        <f>SUM(Y41:Y45)</f>
        <v>0</v>
      </c>
      <c r="Z46" s="539">
        <f>SUM(X46:Y46)</f>
        <v>30475601</v>
      </c>
      <c r="AA46" s="540">
        <f>X46-D46</f>
        <v>-17201232</v>
      </c>
      <c r="AB46" s="541">
        <f>Y46-E46</f>
        <v>-1627000</v>
      </c>
      <c r="AC46" s="511">
        <f>SUM(AA46:AB46)</f>
        <v>-18828232</v>
      </c>
    </row>
    <row r="47" spans="1:29" ht="14.25" customHeight="1" thickBot="1" thickTop="1">
      <c r="A47" s="444"/>
      <c r="B47" s="445"/>
      <c r="C47" s="445"/>
      <c r="D47" s="446"/>
      <c r="E47" s="447"/>
      <c r="F47" s="448"/>
      <c r="G47" s="447"/>
      <c r="H47" s="447"/>
      <c r="I47" s="447"/>
      <c r="J47" s="447"/>
      <c r="K47" s="449"/>
      <c r="L47" s="450"/>
      <c r="M47" s="447"/>
      <c r="N47" s="447"/>
      <c r="O47" s="447"/>
      <c r="P47" s="447"/>
      <c r="Q47" s="449"/>
      <c r="R47" s="447"/>
      <c r="S47" s="447"/>
      <c r="T47" s="447"/>
      <c r="U47" s="447"/>
      <c r="V47" s="447"/>
      <c r="W47" s="451"/>
      <c r="X47" s="452"/>
      <c r="Y47" s="453"/>
      <c r="Z47" s="454"/>
      <c r="AA47" s="444"/>
      <c r="AB47" s="455"/>
      <c r="AC47" s="456"/>
    </row>
    <row r="48" spans="1:223" s="139" customFormat="1" ht="32.25" customHeight="1" thickBot="1" thickTop="1">
      <c r="A48" s="796" t="s">
        <v>746</v>
      </c>
      <c r="B48" s="797"/>
      <c r="C48" s="797"/>
      <c r="D48" s="1176" t="s">
        <v>362</v>
      </c>
      <c r="E48" s="1177"/>
      <c r="F48" s="1178"/>
      <c r="G48" s="803" t="s">
        <v>505</v>
      </c>
      <c r="H48" s="831"/>
      <c r="I48" s="831"/>
      <c r="J48" s="831"/>
      <c r="K48" s="832"/>
      <c r="L48" s="1179" t="s">
        <v>506</v>
      </c>
      <c r="M48" s="1180"/>
      <c r="N48" s="1180"/>
      <c r="O48" s="1180"/>
      <c r="P48" s="1180"/>
      <c r="Q48" s="1181"/>
      <c r="R48" s="1179" t="s">
        <v>507</v>
      </c>
      <c r="S48" s="1180"/>
      <c r="T48" s="1180"/>
      <c r="U48" s="1180"/>
      <c r="V48" s="1180"/>
      <c r="W48" s="1228"/>
      <c r="X48" s="1214" t="s">
        <v>508</v>
      </c>
      <c r="Y48" s="812"/>
      <c r="Z48" s="812"/>
      <c r="AA48" s="1183" t="s">
        <v>87</v>
      </c>
      <c r="AB48" s="813"/>
      <c r="AC48" s="81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  <c r="GF48" s="204"/>
      <c r="GG48" s="204"/>
      <c r="GH48" s="204"/>
      <c r="GI48" s="204"/>
      <c r="GJ48" s="204"/>
      <c r="GK48" s="204"/>
      <c r="GL48" s="204"/>
      <c r="GM48" s="204"/>
      <c r="GN48" s="204"/>
      <c r="GO48" s="204"/>
      <c r="GP48" s="204"/>
      <c r="GQ48" s="204"/>
      <c r="GR48" s="204"/>
      <c r="GS48" s="204"/>
      <c r="GT48" s="204"/>
      <c r="GU48" s="204"/>
      <c r="GV48" s="204"/>
      <c r="GW48" s="204"/>
      <c r="GX48" s="204"/>
      <c r="GY48" s="204"/>
      <c r="GZ48" s="204"/>
      <c r="HA48" s="204"/>
      <c r="HB48" s="204"/>
      <c r="HC48" s="204"/>
      <c r="HD48" s="204"/>
      <c r="HE48" s="204"/>
      <c r="HF48" s="204"/>
      <c r="HG48" s="204"/>
      <c r="HH48" s="204"/>
      <c r="HI48" s="204"/>
      <c r="HJ48" s="204"/>
      <c r="HK48" s="204"/>
      <c r="HL48" s="204"/>
      <c r="HM48" s="204"/>
      <c r="HN48" s="204"/>
      <c r="HO48" s="204"/>
    </row>
    <row r="49" spans="1:29" ht="25.5" customHeight="1" thickBot="1">
      <c r="A49" s="798"/>
      <c r="B49" s="799"/>
      <c r="C49" s="799"/>
      <c r="D49" s="506" t="s">
        <v>88</v>
      </c>
      <c r="E49" s="560" t="s">
        <v>85</v>
      </c>
      <c r="F49" s="1184" t="s">
        <v>89</v>
      </c>
      <c r="G49" s="833"/>
      <c r="H49" s="834"/>
      <c r="I49" s="834"/>
      <c r="J49" s="834"/>
      <c r="K49" s="835"/>
      <c r="L49" s="1185"/>
      <c r="M49" s="1186"/>
      <c r="N49" s="1186"/>
      <c r="O49" s="1186"/>
      <c r="P49" s="1186"/>
      <c r="Q49" s="1187"/>
      <c r="R49" s="1185"/>
      <c r="S49" s="1186"/>
      <c r="T49" s="1186"/>
      <c r="U49" s="1186"/>
      <c r="V49" s="1186"/>
      <c r="W49" s="1229"/>
      <c r="X49" s="547" t="s">
        <v>88</v>
      </c>
      <c r="Y49" s="506" t="s">
        <v>85</v>
      </c>
      <c r="Z49" s="1188" t="s">
        <v>89</v>
      </c>
      <c r="AA49" s="505" t="s">
        <v>88</v>
      </c>
      <c r="AB49" s="506" t="s">
        <v>85</v>
      </c>
      <c r="AC49" s="1184" t="s">
        <v>89</v>
      </c>
    </row>
    <row r="50" spans="1:29" ht="25.5" customHeight="1">
      <c r="A50" s="440"/>
      <c r="B50" s="457"/>
      <c r="C50" s="457"/>
      <c r="D50" s="430"/>
      <c r="E50" s="457"/>
      <c r="F50" s="407"/>
      <c r="G50" s="830" t="s">
        <v>475</v>
      </c>
      <c r="H50" s="1191"/>
      <c r="I50" s="1191"/>
      <c r="J50" s="520">
        <v>17434600</v>
      </c>
      <c r="K50" s="753">
        <f>SUM(J50:J58)</f>
        <v>195245548</v>
      </c>
      <c r="L50" s="800"/>
      <c r="M50" s="746"/>
      <c r="N50" s="746"/>
      <c r="O50" s="746"/>
      <c r="P50" s="520"/>
      <c r="Q50" s="742">
        <f>SUM(P50:P58)</f>
        <v>0</v>
      </c>
      <c r="R50" s="744" t="s">
        <v>513</v>
      </c>
      <c r="S50" s="1197"/>
      <c r="T50" s="1197"/>
      <c r="U50" s="1197"/>
      <c r="V50" s="1190">
        <v>1411725</v>
      </c>
      <c r="W50" s="756">
        <f>SUM(V50:V58)</f>
        <v>1411725</v>
      </c>
      <c r="X50" s="457"/>
      <c r="Y50" s="430"/>
      <c r="Z50" s="458"/>
      <c r="AA50" s="440"/>
      <c r="AB50" s="430"/>
      <c r="AC50" s="387"/>
    </row>
    <row r="51" spans="1:29" ht="30" customHeight="1">
      <c r="A51" s="440"/>
      <c r="B51" s="457"/>
      <c r="C51" s="429"/>
      <c r="D51" s="430"/>
      <c r="E51" s="457"/>
      <c r="F51" s="407"/>
      <c r="G51" s="829" t="s">
        <v>610</v>
      </c>
      <c r="H51" s="1197"/>
      <c r="I51" s="1197"/>
      <c r="J51" s="520">
        <v>94595400</v>
      </c>
      <c r="K51" s="760"/>
      <c r="L51" s="837"/>
      <c r="M51" s="1230"/>
      <c r="N51" s="1230"/>
      <c r="O51" s="1230"/>
      <c r="P51" s="1227"/>
      <c r="Q51" s="743"/>
      <c r="R51" s="744"/>
      <c r="S51" s="1197"/>
      <c r="T51" s="1197"/>
      <c r="U51" s="1197"/>
      <c r="V51" s="1231"/>
      <c r="W51" s="757"/>
      <c r="X51" s="1204"/>
      <c r="Y51" s="395"/>
      <c r="Z51" s="385"/>
      <c r="AA51" s="394"/>
      <c r="AB51" s="395"/>
      <c r="AC51" s="396"/>
    </row>
    <row r="52" spans="1:29" ht="26.25" customHeight="1">
      <c r="A52" s="440"/>
      <c r="B52" s="457"/>
      <c r="C52" s="429"/>
      <c r="D52" s="430"/>
      <c r="E52" s="457"/>
      <c r="F52" s="407"/>
      <c r="G52" s="829" t="s">
        <v>528</v>
      </c>
      <c r="H52" s="1197"/>
      <c r="I52" s="1197"/>
      <c r="J52" s="1190">
        <v>6068200</v>
      </c>
      <c r="K52" s="760"/>
      <c r="L52" s="508"/>
      <c r="M52" s="1232"/>
      <c r="N52" s="1232"/>
      <c r="O52" s="1232"/>
      <c r="P52" s="1227"/>
      <c r="Q52" s="743"/>
      <c r="R52" s="744"/>
      <c r="S52" s="1197"/>
      <c r="T52" s="1197"/>
      <c r="U52" s="1197"/>
      <c r="V52" s="1231"/>
      <c r="W52" s="757"/>
      <c r="X52" s="1204"/>
      <c r="Y52" s="395"/>
      <c r="Z52" s="385"/>
      <c r="AA52" s="394"/>
      <c r="AB52" s="395"/>
      <c r="AC52" s="396"/>
    </row>
    <row r="53" spans="1:29" ht="29.25" customHeight="1">
      <c r="A53" s="815" t="s">
        <v>484</v>
      </c>
      <c r="B53" s="1233"/>
      <c r="C53" s="836"/>
      <c r="D53" s="434">
        <f>SUM('[1]6. kiadások megbontása'!D66)</f>
        <v>241334476</v>
      </c>
      <c r="E53" s="503">
        <f>SUM('[1]6. kiadások megbontása'!E66)</f>
        <v>1618615</v>
      </c>
      <c r="F53" s="391">
        <f>SUM(D53:E53)</f>
        <v>242953091</v>
      </c>
      <c r="G53" s="829" t="s">
        <v>733</v>
      </c>
      <c r="H53" s="1197"/>
      <c r="I53" s="1197"/>
      <c r="J53" s="567">
        <v>23648884</v>
      </c>
      <c r="K53" s="760"/>
      <c r="L53" s="428"/>
      <c r="M53" s="457"/>
      <c r="N53" s="457"/>
      <c r="O53" s="457"/>
      <c r="P53" s="457"/>
      <c r="Q53" s="743"/>
      <c r="R53" s="758"/>
      <c r="S53" s="1196"/>
      <c r="T53" s="1196"/>
      <c r="U53" s="1196"/>
      <c r="V53" s="1204"/>
      <c r="W53" s="757"/>
      <c r="X53" s="1234">
        <f>SUM(W50+Q50+K50)</f>
        <v>196657273</v>
      </c>
      <c r="Y53" s="402">
        <v>0</v>
      </c>
      <c r="Z53" s="403">
        <f>SUM(X53:Y53)</f>
        <v>196657273</v>
      </c>
      <c r="AA53" s="460">
        <f>X53-D53</f>
        <v>-44677203</v>
      </c>
      <c r="AB53" s="402">
        <f>Y53-E53</f>
        <v>-1618615</v>
      </c>
      <c r="AC53" s="404">
        <f>SUM(AA53:AB53)</f>
        <v>-46295818</v>
      </c>
    </row>
    <row r="54" spans="1:29" ht="29.25" customHeight="1">
      <c r="A54" s="388"/>
      <c r="B54" s="1060"/>
      <c r="C54" s="274"/>
      <c r="D54" s="434"/>
      <c r="E54" s="503"/>
      <c r="F54" s="391"/>
      <c r="G54" s="829" t="s">
        <v>735</v>
      </c>
      <c r="H54" s="1197"/>
      <c r="I54" s="1197"/>
      <c r="J54" s="1190">
        <f>3740000+18150000+418000</f>
        <v>22308000</v>
      </c>
      <c r="K54" s="760"/>
      <c r="L54" s="428"/>
      <c r="M54" s="457"/>
      <c r="N54" s="457"/>
      <c r="O54" s="457"/>
      <c r="P54" s="461"/>
      <c r="Q54" s="743"/>
      <c r="R54" s="758"/>
      <c r="S54" s="1196"/>
      <c r="T54" s="1196"/>
      <c r="U54" s="1196"/>
      <c r="V54" s="459"/>
      <c r="W54" s="757"/>
      <c r="X54" s="1223"/>
      <c r="Y54" s="393"/>
      <c r="Z54" s="403"/>
      <c r="AA54" s="401"/>
      <c r="AB54" s="402"/>
      <c r="AC54" s="396"/>
    </row>
    <row r="55" spans="1:29" ht="29.25" customHeight="1">
      <c r="A55" s="388"/>
      <c r="B55" s="1060"/>
      <c r="C55" s="274"/>
      <c r="D55" s="434"/>
      <c r="E55" s="503"/>
      <c r="F55" s="391"/>
      <c r="G55" s="829" t="s">
        <v>811</v>
      </c>
      <c r="H55" s="1197"/>
      <c r="I55" s="1197"/>
      <c r="J55" s="1190">
        <v>7303142</v>
      </c>
      <c r="K55" s="760"/>
      <c r="L55" s="428"/>
      <c r="M55" s="457"/>
      <c r="N55" s="457"/>
      <c r="O55" s="457"/>
      <c r="P55" s="461"/>
      <c r="Q55" s="743"/>
      <c r="R55" s="507"/>
      <c r="S55" s="1212"/>
      <c r="T55" s="1212"/>
      <c r="U55" s="1212"/>
      <c r="V55" s="459"/>
      <c r="W55" s="757"/>
      <c r="X55" s="1223"/>
      <c r="Y55" s="393"/>
      <c r="Z55" s="403"/>
      <c r="AA55" s="401"/>
      <c r="AB55" s="402"/>
      <c r="AC55" s="396"/>
    </row>
    <row r="56" spans="1:29" ht="29.25" customHeight="1">
      <c r="A56" s="388"/>
      <c r="B56" s="1060"/>
      <c r="C56" s="274"/>
      <c r="D56" s="434"/>
      <c r="E56" s="503"/>
      <c r="F56" s="391"/>
      <c r="G56" s="829" t="s">
        <v>775</v>
      </c>
      <c r="H56" s="1197"/>
      <c r="I56" s="1197"/>
      <c r="J56" s="520">
        <v>11944000</v>
      </c>
      <c r="K56" s="760"/>
      <c r="L56" s="428"/>
      <c r="M56" s="457"/>
      <c r="N56" s="457"/>
      <c r="O56" s="457"/>
      <c r="P56" s="461"/>
      <c r="Q56" s="743"/>
      <c r="R56" s="507"/>
      <c r="S56" s="1212"/>
      <c r="T56" s="1212"/>
      <c r="U56" s="1212"/>
      <c r="V56" s="459"/>
      <c r="W56" s="757"/>
      <c r="X56" s="1223"/>
      <c r="Y56" s="393"/>
      <c r="Z56" s="403"/>
      <c r="AA56" s="401"/>
      <c r="AB56" s="402"/>
      <c r="AC56" s="396"/>
    </row>
    <row r="57" spans="1:29" ht="29.25" customHeight="1">
      <c r="A57" s="388"/>
      <c r="B57" s="1060"/>
      <c r="C57" s="274"/>
      <c r="D57" s="434"/>
      <c r="E57" s="503"/>
      <c r="F57" s="391"/>
      <c r="G57" s="790" t="s">
        <v>1021</v>
      </c>
      <c r="H57" s="1196"/>
      <c r="I57" s="1196"/>
      <c r="J57" s="520">
        <f>254623+9577+12631+10068391</f>
        <v>10345222</v>
      </c>
      <c r="K57" s="760"/>
      <c r="L57" s="428"/>
      <c r="M57" s="457"/>
      <c r="N57" s="457"/>
      <c r="O57" s="457"/>
      <c r="P57" s="461"/>
      <c r="Q57" s="743"/>
      <c r="R57" s="507"/>
      <c r="S57" s="1212"/>
      <c r="T57" s="1212"/>
      <c r="U57" s="1212"/>
      <c r="V57" s="459"/>
      <c r="W57" s="757"/>
      <c r="X57" s="1223"/>
      <c r="Y57" s="393"/>
      <c r="Z57" s="403"/>
      <c r="AA57" s="401"/>
      <c r="AB57" s="402"/>
      <c r="AC57" s="396"/>
    </row>
    <row r="58" spans="1:29" ht="27.75" customHeight="1" thickBot="1">
      <c r="A58" s="388"/>
      <c r="B58" s="1060"/>
      <c r="C58" s="274"/>
      <c r="D58" s="434"/>
      <c r="E58" s="503"/>
      <c r="F58" s="391"/>
      <c r="G58" s="829" t="s">
        <v>857</v>
      </c>
      <c r="H58" s="1197"/>
      <c r="I58" s="1197"/>
      <c r="J58" s="1231">
        <v>1598100</v>
      </c>
      <c r="K58" s="760"/>
      <c r="L58" s="428"/>
      <c r="M58" s="457"/>
      <c r="N58" s="457"/>
      <c r="O58" s="457"/>
      <c r="P58" s="461"/>
      <c r="Q58" s="743"/>
      <c r="R58" s="507"/>
      <c r="S58" s="1212"/>
      <c r="T58" s="1212"/>
      <c r="U58" s="1212"/>
      <c r="V58" s="459"/>
      <c r="W58" s="757"/>
      <c r="X58" s="1223"/>
      <c r="Y58" s="393"/>
      <c r="Z58" s="403"/>
      <c r="AA58" s="401"/>
      <c r="AB58" s="402"/>
      <c r="AC58" s="396"/>
    </row>
    <row r="59" spans="1:223" s="90" customFormat="1" ht="44.25" customHeight="1">
      <c r="A59" s="462"/>
      <c r="B59" s="463"/>
      <c r="C59" s="512"/>
      <c r="D59" s="464"/>
      <c r="E59" s="465"/>
      <c r="F59" s="466"/>
      <c r="G59" s="577"/>
      <c r="H59" s="576"/>
      <c r="I59" s="576"/>
      <c r="J59" s="1235"/>
      <c r="K59" s="562"/>
      <c r="L59" s="800" t="s">
        <v>1017</v>
      </c>
      <c r="M59" s="746"/>
      <c r="N59" s="746"/>
      <c r="O59" s="746"/>
      <c r="P59" s="412">
        <v>5354163</v>
      </c>
      <c r="Q59" s="749">
        <f>SUM(P59:P60)</f>
        <v>12765278</v>
      </c>
      <c r="R59" s="573"/>
      <c r="S59" s="574"/>
      <c r="T59" s="574"/>
      <c r="U59" s="574"/>
      <c r="V59" s="581"/>
      <c r="W59" s="563"/>
      <c r="X59" s="582"/>
      <c r="Y59" s="469"/>
      <c r="Z59" s="470"/>
      <c r="AA59" s="471"/>
      <c r="AB59" s="472"/>
      <c r="AC59" s="473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</row>
    <row r="60" spans="1:29" ht="21" customHeight="1" thickBot="1">
      <c r="A60" s="838" t="s">
        <v>485</v>
      </c>
      <c r="B60" s="1236"/>
      <c r="C60" s="839"/>
      <c r="D60" s="578">
        <f>SUM('[1]6. kiadások megbontása'!G66)</f>
        <v>24644277</v>
      </c>
      <c r="E60" s="578">
        <f>SUM('[1]6. kiadások megbontása'!H66)</f>
        <v>111425</v>
      </c>
      <c r="F60" s="579">
        <f>SUM(D60:E60)</f>
        <v>24755702</v>
      </c>
      <c r="G60" s="829"/>
      <c r="H60" s="1197"/>
      <c r="I60" s="1197"/>
      <c r="J60" s="520"/>
      <c r="K60" s="572">
        <f>SUM(J60:J60)</f>
        <v>0</v>
      </c>
      <c r="L60" s="846" t="s">
        <v>800</v>
      </c>
      <c r="M60" s="1202"/>
      <c r="N60" s="1202"/>
      <c r="O60" s="1202"/>
      <c r="P60" s="400">
        <v>7411115</v>
      </c>
      <c r="Q60" s="750"/>
      <c r="R60" s="747" t="s">
        <v>945</v>
      </c>
      <c r="S60" s="748"/>
      <c r="T60" s="748"/>
      <c r="U60" s="748"/>
      <c r="V60" s="400">
        <v>7760424</v>
      </c>
      <c r="W60" s="575">
        <f>SUM(V60:V60)</f>
        <v>7760424</v>
      </c>
      <c r="X60" s="580">
        <f>SUM(K60+Q59+W60)</f>
        <v>20525702</v>
      </c>
      <c r="Y60" s="393">
        <v>0</v>
      </c>
      <c r="Z60" s="396">
        <f>SUM(X60:Y60)</f>
        <v>20525702</v>
      </c>
      <c r="AA60" s="545">
        <f>X60-D60</f>
        <v>-4118575</v>
      </c>
      <c r="AB60" s="393">
        <f>Y60-E60</f>
        <v>-111425</v>
      </c>
      <c r="AC60" s="427">
        <f>SUM(AA60:AB60)</f>
        <v>-4230000</v>
      </c>
    </row>
    <row r="61" spans="1:29" ht="45.75" customHeight="1" thickBot="1" thickTop="1">
      <c r="A61" s="843" t="s">
        <v>801</v>
      </c>
      <c r="B61" s="844"/>
      <c r="C61" s="845"/>
      <c r="D61" s="564">
        <f>SUM(D51:D60)</f>
        <v>265978753</v>
      </c>
      <c r="E61" s="565">
        <f>SUM(E51:E60)</f>
        <v>1730040</v>
      </c>
      <c r="F61" s="566">
        <f>SUM(D61:E61)</f>
        <v>267708793</v>
      </c>
      <c r="G61" s="530"/>
      <c r="H61" s="791" t="s">
        <v>93</v>
      </c>
      <c r="I61" s="792"/>
      <c r="J61" s="793"/>
      <c r="K61" s="514">
        <f>SUM(K50:K60)</f>
        <v>195245548</v>
      </c>
      <c r="L61" s="513"/>
      <c r="M61" s="751" t="s">
        <v>94</v>
      </c>
      <c r="N61" s="751"/>
      <c r="O61" s="751"/>
      <c r="P61" s="752"/>
      <c r="Q61" s="514">
        <f>SUM(Q50:Q59)</f>
        <v>12765278</v>
      </c>
      <c r="R61" s="515"/>
      <c r="S61" s="751" t="s">
        <v>95</v>
      </c>
      <c r="T61" s="751"/>
      <c r="U61" s="751"/>
      <c r="V61" s="752"/>
      <c r="W61" s="514">
        <f>SUM(W50:W60)</f>
        <v>9172149</v>
      </c>
      <c r="X61" s="516">
        <f>SUM(X49:X60)</f>
        <v>217182975</v>
      </c>
      <c r="Y61" s="517">
        <f>SUM(Y49:Y60)</f>
        <v>0</v>
      </c>
      <c r="Z61" s="518">
        <f>SUM(X61:Y61)</f>
        <v>217182975</v>
      </c>
      <c r="AA61" s="516">
        <f>X61-D61</f>
        <v>-48795778</v>
      </c>
      <c r="AB61" s="519">
        <f>Y61-E61</f>
        <v>-1730040</v>
      </c>
      <c r="AC61" s="518">
        <f>SUM(AA61:AB61)</f>
        <v>-50525818</v>
      </c>
    </row>
    <row r="62" spans="1:29" ht="20.25" thickBot="1" thickTop="1">
      <c r="A62" s="840" t="s">
        <v>365</v>
      </c>
      <c r="B62" s="841"/>
      <c r="C62" s="842"/>
      <c r="D62" s="483">
        <f>SUM(D61,D38,D30,D46)</f>
        <v>1290188484</v>
      </c>
      <c r="E62" s="483">
        <f>SUM(E61,E38,E30,E46)</f>
        <v>925874629</v>
      </c>
      <c r="F62" s="484">
        <f>SUM(D62:E62)</f>
        <v>2216063113</v>
      </c>
      <c r="G62" s="485"/>
      <c r="H62" s="1237" t="s">
        <v>96</v>
      </c>
      <c r="I62" s="1238"/>
      <c r="J62" s="1239"/>
      <c r="K62" s="487">
        <f>SUM(K61,K38,K30,K46)</f>
        <v>525869524</v>
      </c>
      <c r="L62" s="486"/>
      <c r="M62" s="1240" t="s">
        <v>97</v>
      </c>
      <c r="N62" s="1240"/>
      <c r="O62" s="1240"/>
      <c r="P62" s="1241"/>
      <c r="Q62" s="487">
        <f>SUM(Q61,Q38,Q30,Q46)</f>
        <v>271425569</v>
      </c>
      <c r="R62" s="488"/>
      <c r="S62" s="1240" t="s">
        <v>98</v>
      </c>
      <c r="T62" s="1240"/>
      <c r="U62" s="1240"/>
      <c r="V62" s="1241"/>
      <c r="W62" s="543">
        <f>SUM(W61,W38,W30,W46)</f>
        <v>1418768020</v>
      </c>
      <c r="X62" s="544">
        <f>SUM(X61,X38,X30,X46)</f>
        <v>1255824018</v>
      </c>
      <c r="Y62" s="489">
        <f>SUM(Y61,Y38,Y30,Y46)</f>
        <v>960239095</v>
      </c>
      <c r="Z62" s="490">
        <f>SUM(W62+Q62+K62)</f>
        <v>2216063113</v>
      </c>
      <c r="AA62" s="489">
        <f>SUM(AA61,AA38,AA30,AA46)</f>
        <v>-34364466</v>
      </c>
      <c r="AB62" s="489">
        <f>SUM(AB61,AB38,AB30,AB46)</f>
        <v>34364466</v>
      </c>
      <c r="AC62" s="526">
        <f>SUM(AC61,AC38,AC30,AC46)</f>
        <v>0</v>
      </c>
    </row>
    <row r="63" spans="1:29" ht="19.5" thickTop="1">
      <c r="A63" s="852"/>
      <c r="B63" s="853"/>
      <c r="C63" s="853"/>
      <c r="D63" s="457"/>
      <c r="E63" s="457"/>
      <c r="F63" s="457"/>
      <c r="G63" s="417"/>
      <c r="H63" s="417"/>
      <c r="I63" s="417"/>
      <c r="J63" s="491"/>
      <c r="K63" s="1221"/>
      <c r="L63" s="415"/>
      <c r="M63" s="457"/>
      <c r="N63" s="457"/>
      <c r="O63" s="457"/>
      <c r="P63" s="457"/>
      <c r="Q63" s="457"/>
      <c r="R63" s="415"/>
      <c r="S63" s="457"/>
      <c r="T63" s="457"/>
      <c r="U63" s="457"/>
      <c r="V63" s="457"/>
      <c r="W63" s="457"/>
      <c r="X63" s="457"/>
      <c r="Y63" s="457"/>
      <c r="Z63" s="457"/>
      <c r="AA63" s="457"/>
      <c r="AB63" s="457"/>
      <c r="AC63" s="415"/>
    </row>
    <row r="64" spans="1:29" ht="15.75">
      <c r="A64" s="457"/>
      <c r="B64" s="457"/>
      <c r="C64" s="457"/>
      <c r="D64" s="741" t="s">
        <v>482</v>
      </c>
      <c r="E64" s="1217"/>
      <c r="F64" s="1217"/>
      <c r="G64" s="1205"/>
      <c r="H64" s="1205"/>
      <c r="I64" s="1205"/>
      <c r="J64" s="1189"/>
      <c r="K64" s="1221"/>
      <c r="L64" s="457"/>
      <c r="M64" s="457"/>
      <c r="N64" s="457"/>
      <c r="O64" s="457"/>
      <c r="P64" s="457"/>
      <c r="Q64" s="457"/>
      <c r="R64" s="457"/>
      <c r="S64" s="457"/>
      <c r="T64" s="457"/>
      <c r="U64" s="457"/>
      <c r="V64" s="457"/>
      <c r="W64" s="741" t="s">
        <v>99</v>
      </c>
      <c r="X64" s="1217"/>
      <c r="Y64" s="1217"/>
      <c r="Z64" s="492"/>
      <c r="AA64" s="741" t="s">
        <v>87</v>
      </c>
      <c r="AB64" s="1217"/>
      <c r="AC64" s="1217"/>
    </row>
    <row r="65" spans="1:29" ht="15.75">
      <c r="A65" s="457"/>
      <c r="B65" s="457"/>
      <c r="C65" s="457"/>
      <c r="D65" s="493" t="s">
        <v>88</v>
      </c>
      <c r="E65" s="493" t="s">
        <v>100</v>
      </c>
      <c r="F65" s="493" t="s">
        <v>89</v>
      </c>
      <c r="G65" s="1205"/>
      <c r="H65" s="1205"/>
      <c r="I65" s="1205"/>
      <c r="J65" s="1189"/>
      <c r="K65" s="1221"/>
      <c r="L65" s="457"/>
      <c r="M65" s="457"/>
      <c r="N65" s="457"/>
      <c r="O65" s="457"/>
      <c r="P65" s="457"/>
      <c r="Q65" s="457"/>
      <c r="R65" s="457"/>
      <c r="S65" s="847"/>
      <c r="T65" s="847"/>
      <c r="U65" s="847"/>
      <c r="V65" s="847"/>
      <c r="W65" s="493" t="s">
        <v>88</v>
      </c>
      <c r="X65" s="493" t="s">
        <v>100</v>
      </c>
      <c r="Y65" s="493" t="s">
        <v>89</v>
      </c>
      <c r="Z65" s="494"/>
      <c r="AA65" s="493" t="s">
        <v>88</v>
      </c>
      <c r="AB65" s="493" t="s">
        <v>100</v>
      </c>
      <c r="AC65" s="493" t="s">
        <v>89</v>
      </c>
    </row>
    <row r="66" spans="1:29" ht="15.75">
      <c r="A66" s="457"/>
      <c r="B66" s="457"/>
      <c r="C66" s="495" t="s">
        <v>101</v>
      </c>
      <c r="D66" s="457"/>
      <c r="E66" s="457"/>
      <c r="F66" s="457"/>
      <c r="G66" s="1205"/>
      <c r="H66" s="1205"/>
      <c r="I66" s="1205"/>
      <c r="J66" s="1189"/>
      <c r="K66" s="1221"/>
      <c r="L66" s="457"/>
      <c r="M66" s="457"/>
      <c r="N66" s="457"/>
      <c r="O66" s="457"/>
      <c r="P66" s="457"/>
      <c r="Q66" s="457"/>
      <c r="R66" s="457"/>
      <c r="S66" s="457"/>
      <c r="T66" s="495" t="s">
        <v>101</v>
      </c>
      <c r="U66" s="457"/>
      <c r="V66" s="741"/>
      <c r="W66" s="1217"/>
      <c r="X66" s="457"/>
      <c r="Y66" s="457"/>
      <c r="Z66" s="457"/>
      <c r="AA66" s="457"/>
      <c r="AB66" s="457"/>
      <c r="AC66" s="457"/>
    </row>
    <row r="67" spans="1:29" ht="15.75">
      <c r="A67" s="457"/>
      <c r="B67" s="457"/>
      <c r="C67" s="457" t="s">
        <v>102</v>
      </c>
      <c r="D67" s="496">
        <f>SUM(D10)</f>
        <v>549144418</v>
      </c>
      <c r="E67" s="496">
        <f>SUM(E10)</f>
        <v>287581998</v>
      </c>
      <c r="F67" s="496">
        <f>SUM(D67:E67)</f>
        <v>836726416</v>
      </c>
      <c r="G67" s="1205"/>
      <c r="H67" s="1205"/>
      <c r="I67" s="1205"/>
      <c r="J67" s="1189"/>
      <c r="K67" s="1221"/>
      <c r="L67" s="457"/>
      <c r="M67" s="457"/>
      <c r="N67" s="457"/>
      <c r="O67" s="457"/>
      <c r="P67" s="457"/>
      <c r="Q67" s="457"/>
      <c r="R67" s="457"/>
      <c r="S67" s="457"/>
      <c r="T67" s="457" t="s">
        <v>102</v>
      </c>
      <c r="U67" s="457"/>
      <c r="V67" s="457"/>
      <c r="W67" s="496">
        <f>SUM(X15)</f>
        <v>593126000</v>
      </c>
      <c r="X67" s="496">
        <f>Y15</f>
        <v>315473040</v>
      </c>
      <c r="Y67" s="496">
        <f>SUM(W67:X67)</f>
        <v>908599040</v>
      </c>
      <c r="Z67" s="496"/>
      <c r="AA67" s="496">
        <f aca="true" t="shared" si="0" ref="AA67:AB70">W67-D67</f>
        <v>43981582</v>
      </c>
      <c r="AB67" s="496">
        <f t="shared" si="0"/>
        <v>27891042</v>
      </c>
      <c r="AC67" s="496">
        <f>SUM(AA67:AB67)</f>
        <v>71872624</v>
      </c>
    </row>
    <row r="68" spans="1:29" ht="15.75">
      <c r="A68" s="457"/>
      <c r="B68" s="457"/>
      <c r="C68" s="457" t="s">
        <v>372</v>
      </c>
      <c r="D68" s="496">
        <f>SUM(D36)</f>
        <v>136378897</v>
      </c>
      <c r="E68" s="496">
        <f>SUM(E36)</f>
        <v>1934590</v>
      </c>
      <c r="F68" s="496">
        <f>SUM(D68:E68)</f>
        <v>138313487</v>
      </c>
      <c r="G68" s="1205"/>
      <c r="H68" s="1205"/>
      <c r="I68" s="1205"/>
      <c r="J68" s="1189"/>
      <c r="K68" s="1221"/>
      <c r="L68" s="457"/>
      <c r="M68" s="457"/>
      <c r="N68" s="457"/>
      <c r="O68" s="457"/>
      <c r="P68" s="457"/>
      <c r="Q68" s="457"/>
      <c r="R68" s="457"/>
      <c r="S68" s="457"/>
      <c r="T68" s="457" t="s">
        <v>372</v>
      </c>
      <c r="U68" s="457"/>
      <c r="V68" s="457"/>
      <c r="W68" s="496">
        <f>SUM(X36)</f>
        <v>150500144</v>
      </c>
      <c r="X68" s="496">
        <f>Y36</f>
        <v>0</v>
      </c>
      <c r="Y68" s="496">
        <f>SUM(W68:X68)</f>
        <v>150500144</v>
      </c>
      <c r="Z68" s="496"/>
      <c r="AA68" s="496">
        <f t="shared" si="0"/>
        <v>14121247</v>
      </c>
      <c r="AB68" s="496">
        <f t="shared" si="0"/>
        <v>-1934590</v>
      </c>
      <c r="AC68" s="496">
        <f>SUM(AA68:AB68)</f>
        <v>12186657</v>
      </c>
    </row>
    <row r="69" spans="1:29" ht="15.75">
      <c r="A69" s="457"/>
      <c r="B69" s="457"/>
      <c r="C69" s="457" t="s">
        <v>774</v>
      </c>
      <c r="D69" s="496">
        <f>SUM(D42)</f>
        <v>35814630</v>
      </c>
      <c r="E69" s="496">
        <f>SUM(E42)</f>
        <v>1627000</v>
      </c>
      <c r="F69" s="496">
        <f>SUM(D69:E69)</f>
        <v>37441630</v>
      </c>
      <c r="G69" s="1205"/>
      <c r="H69" s="1205"/>
      <c r="I69" s="1205"/>
      <c r="J69" s="1189"/>
      <c r="K69" s="1221"/>
      <c r="L69" s="457"/>
      <c r="M69" s="457"/>
      <c r="N69" s="457"/>
      <c r="O69" s="457"/>
      <c r="P69" s="457"/>
      <c r="Q69" s="457"/>
      <c r="R69" s="457"/>
      <c r="S69" s="457"/>
      <c r="T69" s="457" t="s">
        <v>798</v>
      </c>
      <c r="U69" s="457"/>
      <c r="V69" s="457"/>
      <c r="W69" s="496">
        <f>SUM(X42)</f>
        <v>24832920</v>
      </c>
      <c r="X69" s="496">
        <f>SUM(Y42)</f>
        <v>0</v>
      </c>
      <c r="Y69" s="496">
        <f>SUM(W69:X69)</f>
        <v>24832920</v>
      </c>
      <c r="Z69" s="496"/>
      <c r="AA69" s="496">
        <f>W69-D69</f>
        <v>-10981710</v>
      </c>
      <c r="AB69" s="496">
        <f>X69-E69</f>
        <v>-1627000</v>
      </c>
      <c r="AC69" s="496">
        <f>SUM(AA69:AB69)</f>
        <v>-12608710</v>
      </c>
    </row>
    <row r="70" spans="1:29" ht="12.75">
      <c r="A70" s="457"/>
      <c r="B70" s="457"/>
      <c r="C70" s="497" t="s">
        <v>103</v>
      </c>
      <c r="D70" s="498">
        <f>SUM(D53)</f>
        <v>241334476</v>
      </c>
      <c r="E70" s="498">
        <f>SUM(E53)</f>
        <v>1618615</v>
      </c>
      <c r="F70" s="498">
        <f>SUM(D70:E70)</f>
        <v>242953091</v>
      </c>
      <c r="G70" s="457"/>
      <c r="H70" s="457"/>
      <c r="I70" s="457"/>
      <c r="J70" s="457"/>
      <c r="K70" s="457"/>
      <c r="L70" s="457"/>
      <c r="M70" s="457"/>
      <c r="N70" s="457"/>
      <c r="O70" s="457"/>
      <c r="P70" s="457"/>
      <c r="Q70" s="457"/>
      <c r="R70" s="457"/>
      <c r="S70" s="457"/>
      <c r="T70" s="497" t="s">
        <v>103</v>
      </c>
      <c r="U70" s="499"/>
      <c r="V70" s="499"/>
      <c r="W70" s="498">
        <f>SUM(X53)</f>
        <v>196657273</v>
      </c>
      <c r="X70" s="498">
        <f>Y53</f>
        <v>0</v>
      </c>
      <c r="Y70" s="498">
        <f>SUM(W70:X70)</f>
        <v>196657273</v>
      </c>
      <c r="Z70" s="496"/>
      <c r="AA70" s="498">
        <f t="shared" si="0"/>
        <v>-44677203</v>
      </c>
      <c r="AB70" s="498">
        <f t="shared" si="0"/>
        <v>-1618615</v>
      </c>
      <c r="AC70" s="498">
        <f>SUM(AA70:AB70)</f>
        <v>-46295818</v>
      </c>
    </row>
    <row r="71" spans="1:29" ht="12.75">
      <c r="A71" s="457"/>
      <c r="B71" s="457"/>
      <c r="C71" s="500" t="s">
        <v>364</v>
      </c>
      <c r="D71" s="496">
        <f>SUM(D67:D70)</f>
        <v>962672421</v>
      </c>
      <c r="E71" s="496">
        <f>SUM(E67:E70)</f>
        <v>292762203</v>
      </c>
      <c r="F71" s="496">
        <f>SUM(F67:F70)</f>
        <v>1255434624</v>
      </c>
      <c r="G71" s="457"/>
      <c r="H71" s="457"/>
      <c r="I71" s="457"/>
      <c r="J71" s="457"/>
      <c r="K71" s="457"/>
      <c r="L71" s="457"/>
      <c r="M71" s="457"/>
      <c r="N71" s="457"/>
      <c r="O71" s="457"/>
      <c r="P71" s="457"/>
      <c r="Q71" s="457"/>
      <c r="R71" s="457"/>
      <c r="S71" s="457"/>
      <c r="T71" s="500" t="s">
        <v>364</v>
      </c>
      <c r="U71" s="457"/>
      <c r="V71" s="500"/>
      <c r="W71" s="496">
        <f>SUM(W67:W70)</f>
        <v>965116337</v>
      </c>
      <c r="X71" s="496">
        <f>SUM(X67:X70)</f>
        <v>315473040</v>
      </c>
      <c r="Y71" s="496">
        <f>SUM(Y67:Y70)</f>
        <v>1280589377</v>
      </c>
      <c r="Z71" s="496"/>
      <c r="AA71" s="496">
        <f>SUM(AA67:AA70)</f>
        <v>2443916</v>
      </c>
      <c r="AB71" s="496">
        <f>SUM(AB67:AB70)</f>
        <v>22710837</v>
      </c>
      <c r="AC71" s="496">
        <f>SUM(AC67:AC70)</f>
        <v>25154753</v>
      </c>
    </row>
    <row r="72" spans="1:29" ht="12.75">
      <c r="A72" s="457"/>
      <c r="B72" s="457"/>
      <c r="C72" s="500"/>
      <c r="D72" s="496"/>
      <c r="E72" s="496"/>
      <c r="F72" s="496"/>
      <c r="G72" s="457"/>
      <c r="H72" s="457"/>
      <c r="I72" s="457"/>
      <c r="J72" s="457"/>
      <c r="K72" s="457"/>
      <c r="L72" s="457"/>
      <c r="M72" s="457"/>
      <c r="N72" s="457"/>
      <c r="O72" s="457"/>
      <c r="P72" s="457"/>
      <c r="Q72" s="457"/>
      <c r="R72" s="457"/>
      <c r="S72" s="457"/>
      <c r="T72" s="457"/>
      <c r="U72" s="457"/>
      <c r="V72" s="457"/>
      <c r="W72" s="457"/>
      <c r="X72" s="457"/>
      <c r="Y72" s="457"/>
      <c r="Z72" s="457"/>
      <c r="AA72" s="457"/>
      <c r="AB72" s="457"/>
      <c r="AC72" s="457"/>
    </row>
    <row r="73" spans="1:29" ht="12.75">
      <c r="A73" s="457"/>
      <c r="B73" s="457"/>
      <c r="C73" s="495" t="s">
        <v>104</v>
      </c>
      <c r="D73" s="496"/>
      <c r="E73" s="496"/>
      <c r="F73" s="496"/>
      <c r="G73" s="457"/>
      <c r="H73" s="457"/>
      <c r="I73" s="457"/>
      <c r="J73" s="457"/>
      <c r="K73" s="457"/>
      <c r="L73" s="457"/>
      <c r="M73" s="457"/>
      <c r="N73" s="457"/>
      <c r="O73" s="457"/>
      <c r="P73" s="457"/>
      <c r="Q73" s="457"/>
      <c r="R73" s="457"/>
      <c r="S73" s="457"/>
      <c r="T73" s="495" t="s">
        <v>104</v>
      </c>
      <c r="U73" s="457"/>
      <c r="V73" s="495"/>
      <c r="W73" s="501"/>
      <c r="X73" s="501"/>
      <c r="Y73" s="457"/>
      <c r="Z73" s="457"/>
      <c r="AA73" s="457"/>
      <c r="AB73" s="457"/>
      <c r="AC73" s="457"/>
    </row>
    <row r="74" spans="1:29" ht="12.75">
      <c r="A74" s="457"/>
      <c r="B74" s="457"/>
      <c r="C74" s="457" t="s">
        <v>102</v>
      </c>
      <c r="D74" s="496">
        <f>SUM(D27)</f>
        <v>270247451</v>
      </c>
      <c r="E74" s="496">
        <f>SUM(E27)</f>
        <v>633001001</v>
      </c>
      <c r="F74" s="496">
        <f>SUM(D74:E74)</f>
        <v>903248452</v>
      </c>
      <c r="G74" s="457"/>
      <c r="H74" s="457"/>
      <c r="I74" s="457"/>
      <c r="J74" s="457"/>
      <c r="K74" s="457"/>
      <c r="L74" s="457"/>
      <c r="M74" s="457"/>
      <c r="N74" s="457"/>
      <c r="O74" s="457"/>
      <c r="P74" s="457"/>
      <c r="Q74" s="457"/>
      <c r="R74" s="457"/>
      <c r="S74" s="457"/>
      <c r="T74" s="457" t="s">
        <v>102</v>
      </c>
      <c r="U74" s="457"/>
      <c r="V74" s="457"/>
      <c r="W74" s="496">
        <f>SUM(X27)</f>
        <v>264539298</v>
      </c>
      <c r="X74" s="496">
        <f>Y27</f>
        <v>644766055</v>
      </c>
      <c r="Y74" s="496">
        <f>SUM(W74:X74)</f>
        <v>909305353</v>
      </c>
      <c r="Z74" s="496"/>
      <c r="AA74" s="496">
        <f aca="true" t="shared" si="1" ref="AA74:AB77">W74-D74</f>
        <v>-5708153</v>
      </c>
      <c r="AB74" s="496">
        <f t="shared" si="1"/>
        <v>11765054</v>
      </c>
      <c r="AC74" s="496">
        <f>SUM(AA74:AB74)</f>
        <v>6056901</v>
      </c>
    </row>
    <row r="75" spans="1:29" ht="12.75">
      <c r="A75" s="457"/>
      <c r="B75" s="457"/>
      <c r="C75" s="457" t="s">
        <v>372</v>
      </c>
      <c r="D75" s="496">
        <f>D37</f>
        <v>8450747</v>
      </c>
      <c r="E75" s="496">
        <v>0</v>
      </c>
      <c r="F75" s="496">
        <f>SUM(D75:E75)</f>
        <v>8450747</v>
      </c>
      <c r="G75" s="457"/>
      <c r="H75" s="457"/>
      <c r="I75" s="457"/>
      <c r="J75" s="457"/>
      <c r="K75" s="457"/>
      <c r="L75" s="457"/>
      <c r="M75" s="457"/>
      <c r="N75" s="457"/>
      <c r="O75" s="457"/>
      <c r="P75" s="457"/>
      <c r="Q75" s="457"/>
      <c r="R75" s="457"/>
      <c r="S75" s="457"/>
      <c r="T75" s="457" t="s">
        <v>372</v>
      </c>
      <c r="U75" s="457"/>
      <c r="V75" s="457"/>
      <c r="W75" s="496">
        <f>SUM(X37)</f>
        <v>0</v>
      </c>
      <c r="X75" s="496">
        <v>0</v>
      </c>
      <c r="Y75" s="496">
        <f>SUM(W75:X75)</f>
        <v>0</v>
      </c>
      <c r="Z75" s="496"/>
      <c r="AA75" s="496">
        <f t="shared" si="1"/>
        <v>-8450747</v>
      </c>
      <c r="AB75" s="496">
        <f t="shared" si="1"/>
        <v>0</v>
      </c>
      <c r="AC75" s="496">
        <f>SUM(AA75:AB75)</f>
        <v>-8450747</v>
      </c>
    </row>
    <row r="76" spans="1:29" ht="12.75">
      <c r="A76" s="457"/>
      <c r="B76" s="457"/>
      <c r="C76" s="457" t="s">
        <v>774</v>
      </c>
      <c r="D76" s="496">
        <f>SUM(D44)</f>
        <v>11862203</v>
      </c>
      <c r="E76" s="496">
        <f>SUM(E44)</f>
        <v>0</v>
      </c>
      <c r="F76" s="496">
        <f>SUM(D76:E76)</f>
        <v>11862203</v>
      </c>
      <c r="G76" s="457"/>
      <c r="H76" s="457"/>
      <c r="I76" s="457"/>
      <c r="J76" s="457"/>
      <c r="K76" s="457"/>
      <c r="L76" s="457"/>
      <c r="M76" s="457"/>
      <c r="N76" s="457"/>
      <c r="O76" s="457"/>
      <c r="P76" s="457"/>
      <c r="Q76" s="457"/>
      <c r="R76" s="457"/>
      <c r="S76" s="457"/>
      <c r="T76" s="457" t="s">
        <v>798</v>
      </c>
      <c r="U76" s="457"/>
      <c r="V76" s="457"/>
      <c r="W76" s="496">
        <f>X44</f>
        <v>5642681</v>
      </c>
      <c r="X76" s="496">
        <f>Y44</f>
        <v>0</v>
      </c>
      <c r="Y76" s="496">
        <f>SUM(W76:X76)</f>
        <v>5642681</v>
      </c>
      <c r="Z76" s="496"/>
      <c r="AA76" s="496">
        <f>W76-D76</f>
        <v>-6219522</v>
      </c>
      <c r="AB76" s="496">
        <f>X76-E76</f>
        <v>0</v>
      </c>
      <c r="AC76" s="496">
        <f>SUM(AA76:AB76)</f>
        <v>-6219522</v>
      </c>
    </row>
    <row r="77" spans="1:29" ht="12.75">
      <c r="A77" s="457"/>
      <c r="B77" s="457"/>
      <c r="C77" s="497" t="s">
        <v>103</v>
      </c>
      <c r="D77" s="498">
        <f>SUM(D60)</f>
        <v>24644277</v>
      </c>
      <c r="E77" s="498">
        <f>E60</f>
        <v>111425</v>
      </c>
      <c r="F77" s="498">
        <f>SUM(D77:E77)</f>
        <v>24755702</v>
      </c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Q77" s="457"/>
      <c r="R77" s="457"/>
      <c r="S77" s="457"/>
      <c r="T77" s="497" t="s">
        <v>103</v>
      </c>
      <c r="U77" s="499"/>
      <c r="V77" s="499"/>
      <c r="W77" s="498">
        <f>SUM(X60)</f>
        <v>20525702</v>
      </c>
      <c r="X77" s="498">
        <v>0</v>
      </c>
      <c r="Y77" s="498">
        <f>SUM(W77:X77)</f>
        <v>20525702</v>
      </c>
      <c r="Z77" s="496"/>
      <c r="AA77" s="498">
        <f t="shared" si="1"/>
        <v>-4118575</v>
      </c>
      <c r="AB77" s="498">
        <f t="shared" si="1"/>
        <v>-111425</v>
      </c>
      <c r="AC77" s="498">
        <f>SUM(AA77:AB77)</f>
        <v>-4230000</v>
      </c>
    </row>
    <row r="78" spans="1:29" ht="12.75">
      <c r="A78" s="457"/>
      <c r="B78" s="457"/>
      <c r="C78" s="500" t="s">
        <v>364</v>
      </c>
      <c r="D78" s="496">
        <f>SUM(D74:D77)</f>
        <v>315204678</v>
      </c>
      <c r="E78" s="496">
        <f>SUM(E74:E77)</f>
        <v>633112426</v>
      </c>
      <c r="F78" s="496">
        <f>SUM(F74:F77)</f>
        <v>948317104</v>
      </c>
      <c r="G78" s="457"/>
      <c r="H78" s="457"/>
      <c r="I78" s="457"/>
      <c r="J78" s="457"/>
      <c r="K78" s="457"/>
      <c r="L78" s="457"/>
      <c r="M78" s="457"/>
      <c r="N78" s="457"/>
      <c r="O78" s="457"/>
      <c r="P78" s="457"/>
      <c r="Q78" s="457"/>
      <c r="R78" s="457"/>
      <c r="S78" s="457"/>
      <c r="T78" s="500" t="s">
        <v>364</v>
      </c>
      <c r="U78" s="457"/>
      <c r="V78" s="500"/>
      <c r="W78" s="496">
        <f>SUM(W74:W77)</f>
        <v>290707681</v>
      </c>
      <c r="X78" s="496">
        <f>SUM(X74:X77)</f>
        <v>644766055</v>
      </c>
      <c r="Y78" s="496">
        <f>SUM(Y74:Y77)</f>
        <v>935473736</v>
      </c>
      <c r="Z78" s="496"/>
      <c r="AA78" s="496">
        <f>SUM(AA74:AA77)</f>
        <v>-24496997</v>
      </c>
      <c r="AB78" s="496">
        <f>SUM(AB74:AB77)</f>
        <v>11653629</v>
      </c>
      <c r="AC78" s="496">
        <f>SUM(AC74:AC77)</f>
        <v>-12843368</v>
      </c>
    </row>
    <row r="79" spans="1:29" ht="12.75">
      <c r="A79" s="457"/>
      <c r="B79" s="457"/>
      <c r="C79" s="500"/>
      <c r="D79" s="496"/>
      <c r="E79" s="496"/>
      <c r="F79" s="496"/>
      <c r="G79" s="457"/>
      <c r="H79" s="457"/>
      <c r="I79" s="457"/>
      <c r="J79" s="457"/>
      <c r="K79" s="457"/>
      <c r="L79" s="457"/>
      <c r="M79" s="457"/>
      <c r="N79" s="457"/>
      <c r="O79" s="457"/>
      <c r="P79" s="457"/>
      <c r="Q79" s="457"/>
      <c r="R79" s="457"/>
      <c r="S79" s="457"/>
      <c r="T79" s="457"/>
      <c r="U79" s="457"/>
      <c r="V79" s="457"/>
      <c r="W79" s="457"/>
      <c r="X79" s="457"/>
      <c r="Y79" s="457"/>
      <c r="Z79" s="457"/>
      <c r="AA79" s="496"/>
      <c r="AB79" s="496"/>
      <c r="AC79" s="457"/>
    </row>
    <row r="80" spans="1:29" ht="12.75">
      <c r="A80" s="457"/>
      <c r="B80" s="457"/>
      <c r="C80" s="495" t="s">
        <v>105</v>
      </c>
      <c r="D80" s="496"/>
      <c r="E80" s="496"/>
      <c r="F80" s="496"/>
      <c r="G80" s="457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95" t="s">
        <v>105</v>
      </c>
      <c r="U80" s="457"/>
      <c r="V80" s="495"/>
      <c r="W80" s="457"/>
      <c r="X80" s="457"/>
      <c r="Y80" s="457"/>
      <c r="Z80" s="457"/>
      <c r="AA80" s="496"/>
      <c r="AB80" s="496"/>
      <c r="AC80" s="457"/>
    </row>
    <row r="81" spans="1:29" ht="12.75">
      <c r="A81" s="457"/>
      <c r="B81" s="457"/>
      <c r="C81" s="457" t="s">
        <v>102</v>
      </c>
      <c r="D81" s="496">
        <f>SUM(D22)</f>
        <v>12311385</v>
      </c>
      <c r="E81" s="496">
        <f>SUM(E22)</f>
        <v>0</v>
      </c>
      <c r="F81" s="496">
        <f>SUM(D81:E81)</f>
        <v>12311385</v>
      </c>
      <c r="G81" s="457"/>
      <c r="H81" s="457"/>
      <c r="I81" s="457"/>
      <c r="J81" s="457"/>
      <c r="K81" s="457"/>
      <c r="L81" s="457"/>
      <c r="M81" s="457"/>
      <c r="N81" s="457"/>
      <c r="O81" s="457"/>
      <c r="P81" s="457"/>
      <c r="Q81" s="457"/>
      <c r="R81" s="457"/>
      <c r="S81" s="457"/>
      <c r="T81" s="457" t="s">
        <v>102</v>
      </c>
      <c r="U81" s="457"/>
      <c r="V81" s="457"/>
      <c r="W81" s="496">
        <f>SUM(X22)</f>
        <v>0</v>
      </c>
      <c r="X81" s="496">
        <v>0</v>
      </c>
      <c r="Y81" s="496">
        <f>SUM(W81:X81)</f>
        <v>0</v>
      </c>
      <c r="Z81" s="496"/>
      <c r="AA81" s="496">
        <f aca="true" t="shared" si="2" ref="AA81:AB84">W81-D81</f>
        <v>-12311385</v>
      </c>
      <c r="AB81" s="496">
        <f t="shared" si="2"/>
        <v>0</v>
      </c>
      <c r="AC81" s="496">
        <f>SUM(AA81:AB81)</f>
        <v>-12311385</v>
      </c>
    </row>
    <row r="82" spans="1:29" ht="12.75">
      <c r="A82" s="457"/>
      <c r="B82" s="457"/>
      <c r="C82" s="457" t="s">
        <v>372</v>
      </c>
      <c r="D82" s="496">
        <v>0</v>
      </c>
      <c r="E82" s="496">
        <v>0</v>
      </c>
      <c r="F82" s="496">
        <f>SUM(D82:E82)</f>
        <v>0</v>
      </c>
      <c r="G82" s="457"/>
      <c r="H82" s="457"/>
      <c r="I82" s="457"/>
      <c r="J82" s="457"/>
      <c r="K82" s="457"/>
      <c r="L82" s="457"/>
      <c r="M82" s="457"/>
      <c r="N82" s="457"/>
      <c r="O82" s="457"/>
      <c r="P82" s="457"/>
      <c r="Q82" s="457"/>
      <c r="R82" s="457"/>
      <c r="S82" s="457"/>
      <c r="T82" s="457" t="s">
        <v>372</v>
      </c>
      <c r="U82" s="457"/>
      <c r="V82" s="457"/>
      <c r="W82" s="496">
        <v>0</v>
      </c>
      <c r="X82" s="496">
        <v>0</v>
      </c>
      <c r="Y82" s="496">
        <f>SUM(W82:X82)</f>
        <v>0</v>
      </c>
      <c r="Z82" s="496"/>
      <c r="AA82" s="496">
        <f t="shared" si="2"/>
        <v>0</v>
      </c>
      <c r="AB82" s="496">
        <f t="shared" si="2"/>
        <v>0</v>
      </c>
      <c r="AC82" s="496">
        <f>SUM(AA82:AB82)</f>
        <v>0</v>
      </c>
    </row>
    <row r="83" spans="1:29" ht="12.75">
      <c r="A83" s="457"/>
      <c r="B83" s="457"/>
      <c r="C83" s="457" t="s">
        <v>774</v>
      </c>
      <c r="D83" s="496">
        <v>0</v>
      </c>
      <c r="E83" s="496">
        <v>0</v>
      </c>
      <c r="F83" s="496">
        <f>SUM(D83:E83)</f>
        <v>0</v>
      </c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 t="s">
        <v>798</v>
      </c>
      <c r="U83" s="457"/>
      <c r="V83" s="457"/>
      <c r="W83" s="496">
        <v>0</v>
      </c>
      <c r="X83" s="496">
        <v>0</v>
      </c>
      <c r="Y83" s="496">
        <f>SUM(W83:X83)</f>
        <v>0</v>
      </c>
      <c r="Z83" s="496"/>
      <c r="AA83" s="496">
        <f>W83-D83</f>
        <v>0</v>
      </c>
      <c r="AB83" s="496">
        <f>X83-E83</f>
        <v>0</v>
      </c>
      <c r="AC83" s="496">
        <f>SUM(AA83:AB83)</f>
        <v>0</v>
      </c>
    </row>
    <row r="84" spans="1:29" ht="12.75">
      <c r="A84" s="457"/>
      <c r="B84" s="457"/>
      <c r="C84" s="497" t="s">
        <v>103</v>
      </c>
      <c r="D84" s="498">
        <v>0</v>
      </c>
      <c r="E84" s="498">
        <v>0</v>
      </c>
      <c r="F84" s="498">
        <f>SUM(D84:E84)</f>
        <v>0</v>
      </c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97" t="s">
        <v>103</v>
      </c>
      <c r="U84" s="499"/>
      <c r="V84" s="499"/>
      <c r="W84" s="498">
        <v>0</v>
      </c>
      <c r="X84" s="498">
        <v>0</v>
      </c>
      <c r="Y84" s="498">
        <f>SUM(W84:X84)</f>
        <v>0</v>
      </c>
      <c r="Z84" s="496"/>
      <c r="AA84" s="498">
        <f t="shared" si="2"/>
        <v>0</v>
      </c>
      <c r="AB84" s="498">
        <f t="shared" si="2"/>
        <v>0</v>
      </c>
      <c r="AC84" s="498">
        <f>SUM(AA84:AB84)</f>
        <v>0</v>
      </c>
    </row>
    <row r="85" spans="1:29" ht="12.75">
      <c r="A85" s="457"/>
      <c r="B85" s="457"/>
      <c r="C85" s="500" t="s">
        <v>364</v>
      </c>
      <c r="D85" s="496">
        <f>SUM(D81:D84)</f>
        <v>12311385</v>
      </c>
      <c r="E85" s="496">
        <f>SUM(E81:E84)</f>
        <v>0</v>
      </c>
      <c r="F85" s="496">
        <f>SUM(F81:F84)</f>
        <v>12311385</v>
      </c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500" t="s">
        <v>364</v>
      </c>
      <c r="U85" s="457"/>
      <c r="V85" s="500"/>
      <c r="W85" s="496">
        <f>SUM(W81:W84)</f>
        <v>0</v>
      </c>
      <c r="X85" s="496">
        <f>SUM(X81:X84)</f>
        <v>0</v>
      </c>
      <c r="Y85" s="496">
        <f>SUM(Y81:Y84)</f>
        <v>0</v>
      </c>
      <c r="Z85" s="496"/>
      <c r="AA85" s="496">
        <f>SUM(AA81:AA84)</f>
        <v>-12311385</v>
      </c>
      <c r="AB85" s="496">
        <f>SUM(AB81:AB84)</f>
        <v>0</v>
      </c>
      <c r="AC85" s="496">
        <f>SUM(AC81:AC84)</f>
        <v>-12311385</v>
      </c>
    </row>
    <row r="86" spans="1:29" ht="12.75">
      <c r="A86" s="457"/>
      <c r="B86" s="457"/>
      <c r="C86" s="500"/>
      <c r="D86" s="457"/>
      <c r="E86" s="457"/>
      <c r="F86" s="457"/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57"/>
      <c r="R86" s="457"/>
      <c r="S86" s="457"/>
      <c r="T86" s="457"/>
      <c r="U86" s="457"/>
      <c r="V86" s="457"/>
      <c r="W86" s="457"/>
      <c r="X86" s="457"/>
      <c r="Y86" s="457"/>
      <c r="Z86" s="457"/>
      <c r="AA86" s="496"/>
      <c r="AB86" s="496"/>
      <c r="AC86" s="457"/>
    </row>
    <row r="87" spans="1:29" ht="12.75">
      <c r="A87" s="457"/>
      <c r="B87" s="457"/>
      <c r="C87" s="502" t="s">
        <v>106</v>
      </c>
      <c r="D87" s="503">
        <f>SUM(D85,D78,D71)</f>
        <v>1290188484</v>
      </c>
      <c r="E87" s="503">
        <f>SUM(E85,E78,E71)</f>
        <v>925874629</v>
      </c>
      <c r="F87" s="503">
        <f>SUM(F85,F78,F71)</f>
        <v>2216063113</v>
      </c>
      <c r="G87" s="502"/>
      <c r="H87" s="502"/>
      <c r="I87" s="502"/>
      <c r="J87" s="502"/>
      <c r="K87" s="502"/>
      <c r="L87" s="502"/>
      <c r="M87" s="502"/>
      <c r="N87" s="502"/>
      <c r="O87" s="502"/>
      <c r="P87" s="502"/>
      <c r="Q87" s="502"/>
      <c r="R87" s="502"/>
      <c r="S87" s="502"/>
      <c r="T87" s="502" t="s">
        <v>106</v>
      </c>
      <c r="U87" s="502"/>
      <c r="V87" s="502"/>
      <c r="W87" s="503">
        <f>SUM(W85,W78,W71)</f>
        <v>1255824018</v>
      </c>
      <c r="X87" s="503">
        <f>SUM(X85,X78,X71)</f>
        <v>960239095</v>
      </c>
      <c r="Y87" s="503">
        <f>SUM(Y85,Y78,Y71)</f>
        <v>2216063113</v>
      </c>
      <c r="Z87" s="503"/>
      <c r="AA87" s="503">
        <f>SUM(AA85,AA78,AA71)</f>
        <v>-34364466</v>
      </c>
      <c r="AB87" s="503">
        <f>SUM(AB85,AB78,AB71)</f>
        <v>34364466</v>
      </c>
      <c r="AC87" s="503">
        <f>SUM(AC85,AC78,AC71)</f>
        <v>0</v>
      </c>
    </row>
    <row r="88" spans="1:3" ht="12.75">
      <c r="A88" s="89"/>
      <c r="B88" s="89"/>
      <c r="C88" s="89"/>
    </row>
    <row r="89" spans="1:2" ht="12.75">
      <c r="A89" s="277">
        <v>24</v>
      </c>
      <c r="B89" s="277" t="s">
        <v>1020</v>
      </c>
    </row>
    <row r="90" spans="1:2" ht="12.75">
      <c r="A90" s="1061">
        <v>25</v>
      </c>
      <c r="B90" s="277" t="s">
        <v>1049</v>
      </c>
    </row>
    <row r="95" spans="20:21" ht="12.75">
      <c r="T95" s="277">
        <v>12</v>
      </c>
      <c r="U95" s="277" t="s">
        <v>1020</v>
      </c>
    </row>
  </sheetData>
  <sheetProtection/>
  <mergeCells count="177">
    <mergeCell ref="W64:Y64"/>
    <mergeCell ref="AA64:AC64"/>
    <mergeCell ref="S65:V65"/>
    <mergeCell ref="V66:W66"/>
    <mergeCell ref="R60:U60"/>
    <mergeCell ref="H62:J62"/>
    <mergeCell ref="M62:P62"/>
    <mergeCell ref="S62:V62"/>
    <mergeCell ref="A63:C63"/>
    <mergeCell ref="D64:F64"/>
    <mergeCell ref="AA48:AC48"/>
    <mergeCell ref="K50:K58"/>
    <mergeCell ref="Q50:Q58"/>
    <mergeCell ref="W50:W58"/>
    <mergeCell ref="L51:O51"/>
    <mergeCell ref="A53:C53"/>
    <mergeCell ref="R54:U54"/>
    <mergeCell ref="G58:I58"/>
    <mergeCell ref="A46:C46"/>
    <mergeCell ref="H46:J46"/>
    <mergeCell ref="M46:P46"/>
    <mergeCell ref="S46:V46"/>
    <mergeCell ref="A48:C49"/>
    <mergeCell ref="D48:F48"/>
    <mergeCell ref="G48:K49"/>
    <mergeCell ref="L48:Q49"/>
    <mergeCell ref="R48:W49"/>
    <mergeCell ref="G43:I43"/>
    <mergeCell ref="K43:K45"/>
    <mergeCell ref="L43:O44"/>
    <mergeCell ref="R43:U44"/>
    <mergeCell ref="W43:W45"/>
    <mergeCell ref="A44:C44"/>
    <mergeCell ref="L45:O45"/>
    <mergeCell ref="X39:Z39"/>
    <mergeCell ref="AA39:AC39"/>
    <mergeCell ref="K41:K42"/>
    <mergeCell ref="L41:O42"/>
    <mergeCell ref="P41:P42"/>
    <mergeCell ref="Q41:Q42"/>
    <mergeCell ref="W41:W42"/>
    <mergeCell ref="R42:U42"/>
    <mergeCell ref="B36:C36"/>
    <mergeCell ref="G36:I36"/>
    <mergeCell ref="L36:O36"/>
    <mergeCell ref="R37:U37"/>
    <mergeCell ref="A38:C38"/>
    <mergeCell ref="H38:J38"/>
    <mergeCell ref="M38:P38"/>
    <mergeCell ref="S38:V38"/>
    <mergeCell ref="X31:Z31"/>
    <mergeCell ref="AA31:AC31"/>
    <mergeCell ref="G33:I34"/>
    <mergeCell ref="J33:J34"/>
    <mergeCell ref="K33:K36"/>
    <mergeCell ref="L33:O34"/>
    <mergeCell ref="P33:P34"/>
    <mergeCell ref="Q33:Q36"/>
    <mergeCell ref="R33:U34"/>
    <mergeCell ref="V33:V34"/>
    <mergeCell ref="A30:C30"/>
    <mergeCell ref="H30:J30"/>
    <mergeCell ref="M30:P30"/>
    <mergeCell ref="S30:V30"/>
    <mergeCell ref="A31:C32"/>
    <mergeCell ref="D31:F31"/>
    <mergeCell ref="G31:K32"/>
    <mergeCell ref="L31:Q32"/>
    <mergeCell ref="R31:W32"/>
    <mergeCell ref="L13:O14"/>
    <mergeCell ref="P13:P14"/>
    <mergeCell ref="K23:K27"/>
    <mergeCell ref="Q23:Q27"/>
    <mergeCell ref="W23:W27"/>
    <mergeCell ref="K28:K29"/>
    <mergeCell ref="Q28:Q29"/>
    <mergeCell ref="G41:I41"/>
    <mergeCell ref="G42:I42"/>
    <mergeCell ref="A62:C62"/>
    <mergeCell ref="A39:C40"/>
    <mergeCell ref="D39:F39"/>
    <mergeCell ref="G39:K40"/>
    <mergeCell ref="B42:C42"/>
    <mergeCell ref="R41:U41"/>
    <mergeCell ref="L39:Q40"/>
    <mergeCell ref="R39:W40"/>
    <mergeCell ref="S61:V61"/>
    <mergeCell ref="M61:P61"/>
    <mergeCell ref="G56:I56"/>
    <mergeCell ref="Q59:Q60"/>
    <mergeCell ref="G60:I60"/>
    <mergeCell ref="L60:O60"/>
    <mergeCell ref="A61:C61"/>
    <mergeCell ref="A60:C60"/>
    <mergeCell ref="H61:J61"/>
    <mergeCell ref="L59:O59"/>
    <mergeCell ref="L50:O50"/>
    <mergeCell ref="R52:U52"/>
    <mergeCell ref="G57:I57"/>
    <mergeCell ref="R51:U51"/>
    <mergeCell ref="R53:U53"/>
    <mergeCell ref="G54:I54"/>
    <mergeCell ref="G55:I55"/>
    <mergeCell ref="X48:Z48"/>
    <mergeCell ref="G51:I51"/>
    <mergeCell ref="G50:I50"/>
    <mergeCell ref="G53:I53"/>
    <mergeCell ref="G52:I52"/>
    <mergeCell ref="A37:C37"/>
    <mergeCell ref="B22:C22"/>
    <mergeCell ref="A27:C27"/>
    <mergeCell ref="G6:K7"/>
    <mergeCell ref="G11:I11"/>
    <mergeCell ref="R8:U8"/>
    <mergeCell ref="T1:AB1"/>
    <mergeCell ref="R6:W7"/>
    <mergeCell ref="X6:Z6"/>
    <mergeCell ref="AA6:AC6"/>
    <mergeCell ref="A3:AC3"/>
    <mergeCell ref="A6:C7"/>
    <mergeCell ref="L12:O12"/>
    <mergeCell ref="L10:O10"/>
    <mergeCell ref="G8:I8"/>
    <mergeCell ref="G12:I12"/>
    <mergeCell ref="L8:O8"/>
    <mergeCell ref="G9:I9"/>
    <mergeCell ref="G10:I10"/>
    <mergeCell ref="L6:Q7"/>
    <mergeCell ref="D6:F6"/>
    <mergeCell ref="G17:I17"/>
    <mergeCell ref="G16:I16"/>
    <mergeCell ref="G21:I21"/>
    <mergeCell ref="G22:I22"/>
    <mergeCell ref="G15:I15"/>
    <mergeCell ref="K18:K20"/>
    <mergeCell ref="K21:K22"/>
    <mergeCell ref="G13:I13"/>
    <mergeCell ref="K8:K17"/>
    <mergeCell ref="W8:W17"/>
    <mergeCell ref="L9:O9"/>
    <mergeCell ref="R20:U20"/>
    <mergeCell ref="R14:U14"/>
    <mergeCell ref="R18:U18"/>
    <mergeCell ref="R28:U28"/>
    <mergeCell ref="W28:W29"/>
    <mergeCell ref="L29:O29"/>
    <mergeCell ref="W33:W36"/>
    <mergeCell ref="W18:W20"/>
    <mergeCell ref="R15:U15"/>
    <mergeCell ref="L17:O17"/>
    <mergeCell ref="L16:O16"/>
    <mergeCell ref="Q8:Q17"/>
    <mergeCell ref="L15:O15"/>
    <mergeCell ref="R9:U9"/>
    <mergeCell ref="R16:U16"/>
    <mergeCell ref="R17:U17"/>
    <mergeCell ref="R24:U24"/>
    <mergeCell ref="R25:U25"/>
    <mergeCell ref="L21:O21"/>
    <mergeCell ref="R36:U36"/>
    <mergeCell ref="R35:U35"/>
    <mergeCell ref="L18:O18"/>
    <mergeCell ref="L20:O20"/>
    <mergeCell ref="Q18:Q20"/>
    <mergeCell ref="R26:U26"/>
    <mergeCell ref="L27:O27"/>
    <mergeCell ref="R22:U22"/>
    <mergeCell ref="L26:O26"/>
    <mergeCell ref="L24:O24"/>
    <mergeCell ref="Q21:Q22"/>
    <mergeCell ref="L22:O22"/>
    <mergeCell ref="L23:O23"/>
    <mergeCell ref="R23:U23"/>
    <mergeCell ref="L28:O28"/>
    <mergeCell ref="R27:U27"/>
    <mergeCell ref="L25:O25"/>
    <mergeCell ref="R50:U5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11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10" sqref="B110"/>
    </sheetView>
  </sheetViews>
  <sheetFormatPr defaultColWidth="9.00390625" defaultRowHeight="12.75"/>
  <cols>
    <col min="1" max="1" width="64.375" style="0" bestFit="1" customWidth="1"/>
    <col min="14" max="14" width="9.125" style="55" customWidth="1"/>
  </cols>
  <sheetData>
    <row r="1" spans="8:13" ht="18">
      <c r="H1" s="1"/>
      <c r="I1" s="1"/>
      <c r="J1" s="1"/>
      <c r="K1" s="1"/>
      <c r="L1" s="1"/>
      <c r="M1" s="4" t="s">
        <v>1066</v>
      </c>
    </row>
    <row r="2" spans="8:13" ht="12.75">
      <c r="H2" s="1"/>
      <c r="I2" s="1"/>
      <c r="J2" s="1"/>
      <c r="K2" s="1"/>
      <c r="L2" s="1"/>
      <c r="M2" s="2"/>
    </row>
    <row r="3" spans="8:13" ht="12.75">
      <c r="H3" s="1"/>
      <c r="I3" s="1"/>
      <c r="J3" s="1"/>
      <c r="K3" s="1"/>
      <c r="L3" s="1"/>
      <c r="M3" s="2"/>
    </row>
    <row r="4" spans="1:14" s="31" customFormat="1" ht="14.25" customHeight="1">
      <c r="A4" s="854" t="s">
        <v>515</v>
      </c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56"/>
    </row>
    <row r="5" spans="1:14" s="31" customFormat="1" ht="14.25" customHeight="1">
      <c r="A5" s="854" t="s">
        <v>452</v>
      </c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854"/>
      <c r="N5" s="56"/>
    </row>
    <row r="6" spans="1:14" s="31" customFormat="1" ht="18" customHeight="1">
      <c r="A6" s="854"/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56"/>
    </row>
    <row r="7" spans="1:14" s="30" customFormat="1" ht="12.75">
      <c r="A7" s="604" t="s">
        <v>361</v>
      </c>
      <c r="B7" s="600" t="s">
        <v>346</v>
      </c>
      <c r="C7" s="600" t="s">
        <v>347</v>
      </c>
      <c r="D7" s="600" t="s">
        <v>348</v>
      </c>
      <c r="E7" s="600" t="s">
        <v>349</v>
      </c>
      <c r="F7" s="600" t="s">
        <v>350</v>
      </c>
      <c r="G7" s="600" t="s">
        <v>351</v>
      </c>
      <c r="H7" s="600" t="s">
        <v>352</v>
      </c>
      <c r="I7" s="600" t="s">
        <v>353</v>
      </c>
      <c r="J7" s="600" t="s">
        <v>354</v>
      </c>
      <c r="K7" s="600" t="s">
        <v>355</v>
      </c>
      <c r="L7" s="600" t="s">
        <v>356</v>
      </c>
      <c r="M7" s="600" t="s">
        <v>357</v>
      </c>
      <c r="N7" s="57"/>
    </row>
    <row r="8" spans="1:14" s="33" customFormat="1" ht="22.5" customHeight="1">
      <c r="A8" s="610" t="s">
        <v>746</v>
      </c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50"/>
    </row>
    <row r="9" spans="1:14" s="115" customFormat="1" ht="20.25" customHeight="1">
      <c r="A9" s="616" t="s">
        <v>817</v>
      </c>
      <c r="B9" s="617"/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114"/>
    </row>
    <row r="10" spans="1:14" s="32" customFormat="1" ht="14.25" customHeight="1">
      <c r="A10" s="608" t="s">
        <v>900</v>
      </c>
      <c r="B10" s="602">
        <v>15</v>
      </c>
      <c r="C10" s="602">
        <v>15</v>
      </c>
      <c r="D10" s="602">
        <v>15</v>
      </c>
      <c r="E10" s="602">
        <v>15</v>
      </c>
      <c r="F10" s="602">
        <v>15</v>
      </c>
      <c r="G10" s="602">
        <v>15</v>
      </c>
      <c r="H10" s="602">
        <v>15</v>
      </c>
      <c r="I10" s="602">
        <v>15</v>
      </c>
      <c r="J10" s="602">
        <v>15</v>
      </c>
      <c r="K10" s="602">
        <v>15</v>
      </c>
      <c r="L10" s="602">
        <v>15</v>
      </c>
      <c r="M10" s="602">
        <v>15</v>
      </c>
      <c r="N10" s="60"/>
    </row>
    <row r="11" spans="1:14" s="32" customFormat="1" ht="14.25" customHeight="1">
      <c r="A11" s="608" t="s">
        <v>901</v>
      </c>
      <c r="B11" s="602">
        <v>1</v>
      </c>
      <c r="C11" s="602">
        <v>1</v>
      </c>
      <c r="D11" s="602">
        <v>1</v>
      </c>
      <c r="E11" s="602">
        <v>1</v>
      </c>
      <c r="F11" s="602">
        <v>1</v>
      </c>
      <c r="G11" s="602">
        <v>1</v>
      </c>
      <c r="H11" s="602">
        <v>1</v>
      </c>
      <c r="I11" s="602">
        <v>1</v>
      </c>
      <c r="J11" s="602">
        <v>1</v>
      </c>
      <c r="K11" s="602">
        <v>1</v>
      </c>
      <c r="L11" s="602">
        <v>1</v>
      </c>
      <c r="M11" s="602">
        <v>1</v>
      </c>
      <c r="N11" s="60"/>
    </row>
    <row r="12" spans="1:14" s="32" customFormat="1" ht="12.75">
      <c r="A12" s="608" t="s">
        <v>615</v>
      </c>
      <c r="B12" s="602">
        <v>1</v>
      </c>
      <c r="C12" s="602">
        <v>1</v>
      </c>
      <c r="D12" s="602">
        <v>1</v>
      </c>
      <c r="E12" s="602">
        <v>1</v>
      </c>
      <c r="F12" s="602">
        <v>1</v>
      </c>
      <c r="G12" s="602">
        <v>1</v>
      </c>
      <c r="H12" s="602">
        <v>1</v>
      </c>
      <c r="I12" s="602">
        <v>1</v>
      </c>
      <c r="J12" s="602">
        <v>1</v>
      </c>
      <c r="K12" s="602">
        <v>1</v>
      </c>
      <c r="L12" s="602">
        <v>1</v>
      </c>
      <c r="M12" s="602">
        <v>1</v>
      </c>
      <c r="N12" s="60"/>
    </row>
    <row r="13" spans="1:14" s="32" customFormat="1" ht="12.75" customHeight="1">
      <c r="A13" s="608" t="s">
        <v>613</v>
      </c>
      <c r="B13" s="602">
        <v>2</v>
      </c>
      <c r="C13" s="602">
        <v>2</v>
      </c>
      <c r="D13" s="602">
        <v>2</v>
      </c>
      <c r="E13" s="602">
        <v>2</v>
      </c>
      <c r="F13" s="602">
        <v>2</v>
      </c>
      <c r="G13" s="602">
        <v>2</v>
      </c>
      <c r="H13" s="602">
        <v>2</v>
      </c>
      <c r="I13" s="602">
        <v>2</v>
      </c>
      <c r="J13" s="602">
        <v>2</v>
      </c>
      <c r="K13" s="602">
        <v>2</v>
      </c>
      <c r="L13" s="602">
        <v>2</v>
      </c>
      <c r="M13" s="602">
        <v>2</v>
      </c>
      <c r="N13" s="60"/>
    </row>
    <row r="14" spans="1:14" s="32" customFormat="1" ht="12.75">
      <c r="A14" s="607" t="s">
        <v>614</v>
      </c>
      <c r="B14" s="602">
        <v>8</v>
      </c>
      <c r="C14" s="602">
        <v>8</v>
      </c>
      <c r="D14" s="602">
        <v>8</v>
      </c>
      <c r="E14" s="602">
        <v>8</v>
      </c>
      <c r="F14" s="602">
        <v>8</v>
      </c>
      <c r="G14" s="602">
        <v>8</v>
      </c>
      <c r="H14" s="602">
        <v>8</v>
      </c>
      <c r="I14" s="602">
        <v>8</v>
      </c>
      <c r="J14" s="602">
        <v>8</v>
      </c>
      <c r="K14" s="602">
        <v>8</v>
      </c>
      <c r="L14" s="602">
        <v>8</v>
      </c>
      <c r="M14" s="602">
        <v>8</v>
      </c>
      <c r="N14" s="60"/>
    </row>
    <row r="15" spans="1:14" s="32" customFormat="1" ht="15" customHeight="1">
      <c r="A15" s="608" t="s">
        <v>971</v>
      </c>
      <c r="B15" s="602">
        <v>1</v>
      </c>
      <c r="C15" s="602">
        <v>1</v>
      </c>
      <c r="D15" s="602">
        <v>1</v>
      </c>
      <c r="E15" s="602">
        <v>1</v>
      </c>
      <c r="F15" s="602">
        <v>1</v>
      </c>
      <c r="G15" s="602">
        <v>1</v>
      </c>
      <c r="H15" s="602">
        <v>1</v>
      </c>
      <c r="I15" s="602">
        <v>1</v>
      </c>
      <c r="J15" s="602">
        <v>1</v>
      </c>
      <c r="K15" s="602">
        <v>1</v>
      </c>
      <c r="L15" s="602">
        <v>1</v>
      </c>
      <c r="M15" s="602">
        <v>1</v>
      </c>
      <c r="N15" s="60"/>
    </row>
    <row r="16" spans="1:14" s="115" customFormat="1" ht="20.25" customHeight="1">
      <c r="A16" s="616" t="s">
        <v>747</v>
      </c>
      <c r="B16" s="617"/>
      <c r="C16" s="617"/>
      <c r="D16" s="617"/>
      <c r="E16" s="617"/>
      <c r="F16" s="617"/>
      <c r="G16" s="617"/>
      <c r="H16" s="617"/>
      <c r="I16" s="617"/>
      <c r="J16" s="617"/>
      <c r="K16" s="617"/>
      <c r="L16" s="617"/>
      <c r="M16" s="617"/>
      <c r="N16" s="114"/>
    </row>
    <row r="17" spans="1:14" s="32" customFormat="1" ht="12.75">
      <c r="A17" s="608" t="s">
        <v>748</v>
      </c>
      <c r="B17" s="602">
        <v>1</v>
      </c>
      <c r="C17" s="602">
        <v>1</v>
      </c>
      <c r="D17" s="602">
        <v>1</v>
      </c>
      <c r="E17" s="602">
        <v>1</v>
      </c>
      <c r="F17" s="602">
        <v>1</v>
      </c>
      <c r="G17" s="602">
        <v>1</v>
      </c>
      <c r="H17" s="602">
        <v>1</v>
      </c>
      <c r="I17" s="602">
        <v>1</v>
      </c>
      <c r="J17" s="602">
        <v>1</v>
      </c>
      <c r="K17" s="602">
        <v>1</v>
      </c>
      <c r="L17" s="602">
        <v>1</v>
      </c>
      <c r="M17" s="602">
        <v>1</v>
      </c>
      <c r="N17" s="60"/>
    </row>
    <row r="18" spans="1:14" s="32" customFormat="1" ht="12.75">
      <c r="A18" s="608" t="s">
        <v>749</v>
      </c>
      <c r="B18" s="602">
        <v>1</v>
      </c>
      <c r="C18" s="602">
        <v>1</v>
      </c>
      <c r="D18" s="602">
        <v>1</v>
      </c>
      <c r="E18" s="602">
        <v>1</v>
      </c>
      <c r="F18" s="602">
        <v>1</v>
      </c>
      <c r="G18" s="602">
        <v>1</v>
      </c>
      <c r="H18" s="602">
        <v>1</v>
      </c>
      <c r="I18" s="602">
        <v>1</v>
      </c>
      <c r="J18" s="602">
        <v>1</v>
      </c>
      <c r="K18" s="602">
        <v>1</v>
      </c>
      <c r="L18" s="602">
        <v>1</v>
      </c>
      <c r="M18" s="602">
        <v>1</v>
      </c>
      <c r="N18" s="60"/>
    </row>
    <row r="19" spans="1:14" s="32" customFormat="1" ht="12.75">
      <c r="A19" s="608" t="s">
        <v>750</v>
      </c>
      <c r="B19" s="602">
        <v>1</v>
      </c>
      <c r="C19" s="602">
        <v>1</v>
      </c>
      <c r="D19" s="602">
        <v>1</v>
      </c>
      <c r="E19" s="602">
        <v>1</v>
      </c>
      <c r="F19" s="602">
        <v>1</v>
      </c>
      <c r="G19" s="602">
        <v>1</v>
      </c>
      <c r="H19" s="602">
        <v>1</v>
      </c>
      <c r="I19" s="602">
        <v>1</v>
      </c>
      <c r="J19" s="602">
        <v>1</v>
      </c>
      <c r="K19" s="602">
        <v>1</v>
      </c>
      <c r="L19" s="602">
        <v>1</v>
      </c>
      <c r="M19" s="602">
        <v>1</v>
      </c>
      <c r="N19" s="60"/>
    </row>
    <row r="20" spans="1:14" s="115" customFormat="1" ht="20.25" customHeight="1">
      <c r="A20" s="616" t="s">
        <v>618</v>
      </c>
      <c r="B20" s="617"/>
      <c r="C20" s="617"/>
      <c r="D20" s="617"/>
      <c r="E20" s="617"/>
      <c r="F20" s="617"/>
      <c r="G20" s="617"/>
      <c r="H20" s="617"/>
      <c r="I20" s="617"/>
      <c r="J20" s="617"/>
      <c r="K20" s="617"/>
      <c r="L20" s="617"/>
      <c r="M20" s="617"/>
      <c r="N20" s="114"/>
    </row>
    <row r="21" spans="1:14" s="32" customFormat="1" ht="12.75">
      <c r="A21" s="608" t="s">
        <v>751</v>
      </c>
      <c r="B21" s="602">
        <v>1</v>
      </c>
      <c r="C21" s="602">
        <v>1</v>
      </c>
      <c r="D21" s="602">
        <v>1</v>
      </c>
      <c r="E21" s="602">
        <v>1</v>
      </c>
      <c r="F21" s="602">
        <v>1</v>
      </c>
      <c r="G21" s="602">
        <v>1</v>
      </c>
      <c r="H21" s="602">
        <v>1</v>
      </c>
      <c r="I21" s="602">
        <v>1</v>
      </c>
      <c r="J21" s="602">
        <v>1</v>
      </c>
      <c r="K21" s="602">
        <v>1</v>
      </c>
      <c r="L21" s="602">
        <v>1</v>
      </c>
      <c r="M21" s="602">
        <v>1</v>
      </c>
      <c r="N21" s="60"/>
    </row>
    <row r="22" spans="1:14" s="32" customFormat="1" ht="12.75">
      <c r="A22" s="608" t="s">
        <v>752</v>
      </c>
      <c r="B22" s="602">
        <v>1</v>
      </c>
      <c r="C22" s="602">
        <v>1</v>
      </c>
      <c r="D22" s="602">
        <v>1</v>
      </c>
      <c r="E22" s="602">
        <v>1</v>
      </c>
      <c r="F22" s="602">
        <v>1</v>
      </c>
      <c r="G22" s="602">
        <v>1</v>
      </c>
      <c r="H22" s="602">
        <v>1</v>
      </c>
      <c r="I22" s="602">
        <v>1</v>
      </c>
      <c r="J22" s="602">
        <v>1</v>
      </c>
      <c r="K22" s="602">
        <v>1</v>
      </c>
      <c r="L22" s="602">
        <v>1</v>
      </c>
      <c r="M22" s="602">
        <v>1</v>
      </c>
      <c r="N22" s="60"/>
    </row>
    <row r="23" spans="1:14" s="115" customFormat="1" ht="27" customHeight="1">
      <c r="A23" s="616" t="s">
        <v>579</v>
      </c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114"/>
    </row>
    <row r="24" spans="1:14" s="32" customFormat="1" ht="12.75">
      <c r="A24" s="608" t="s">
        <v>616</v>
      </c>
      <c r="B24" s="602">
        <v>1</v>
      </c>
      <c r="C24" s="602">
        <v>1</v>
      </c>
      <c r="D24" s="602">
        <v>1</v>
      </c>
      <c r="E24" s="602">
        <v>1</v>
      </c>
      <c r="F24" s="602">
        <v>1</v>
      </c>
      <c r="G24" s="602">
        <v>1</v>
      </c>
      <c r="H24" s="602">
        <v>1</v>
      </c>
      <c r="I24" s="602">
        <v>1</v>
      </c>
      <c r="J24" s="602">
        <v>1</v>
      </c>
      <c r="K24" s="602">
        <v>1</v>
      </c>
      <c r="L24" s="602">
        <v>1</v>
      </c>
      <c r="M24" s="602">
        <v>1</v>
      </c>
      <c r="N24" s="60"/>
    </row>
    <row r="25" spans="1:14" s="32" customFormat="1" ht="12.75">
      <c r="A25" s="608" t="s">
        <v>972</v>
      </c>
      <c r="B25" s="602">
        <v>3</v>
      </c>
      <c r="C25" s="602">
        <v>3</v>
      </c>
      <c r="D25" s="602">
        <v>3</v>
      </c>
      <c r="E25" s="602">
        <v>3</v>
      </c>
      <c r="F25" s="602">
        <v>3</v>
      </c>
      <c r="G25" s="602">
        <v>3</v>
      </c>
      <c r="H25" s="602">
        <v>3</v>
      </c>
      <c r="I25" s="602">
        <v>4</v>
      </c>
      <c r="J25" s="602">
        <v>4</v>
      </c>
      <c r="K25" s="602">
        <v>4</v>
      </c>
      <c r="L25" s="602">
        <v>4</v>
      </c>
      <c r="M25" s="602">
        <v>4</v>
      </c>
      <c r="N25" s="60"/>
    </row>
    <row r="26" spans="1:14" s="32" customFormat="1" ht="12.75">
      <c r="A26" s="608" t="s">
        <v>973</v>
      </c>
      <c r="B26" s="602">
        <v>2</v>
      </c>
      <c r="C26" s="602">
        <v>2</v>
      </c>
      <c r="D26" s="602">
        <v>2</v>
      </c>
      <c r="E26" s="602">
        <v>2</v>
      </c>
      <c r="F26" s="602">
        <v>2</v>
      </c>
      <c r="G26" s="602">
        <v>2</v>
      </c>
      <c r="H26" s="602">
        <v>2</v>
      </c>
      <c r="I26" s="602">
        <v>2</v>
      </c>
      <c r="J26" s="602">
        <v>2</v>
      </c>
      <c r="K26" s="602">
        <v>2</v>
      </c>
      <c r="L26" s="602">
        <v>2</v>
      </c>
      <c r="M26" s="602">
        <v>2</v>
      </c>
      <c r="N26" s="60"/>
    </row>
    <row r="27" spans="1:14" s="115" customFormat="1" ht="29.25" customHeight="1">
      <c r="A27" s="616" t="s">
        <v>701</v>
      </c>
      <c r="B27" s="617"/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114"/>
    </row>
    <row r="28" spans="1:14" s="32" customFormat="1" ht="15" customHeight="1">
      <c r="A28" s="608" t="s">
        <v>616</v>
      </c>
      <c r="B28" s="602">
        <v>1</v>
      </c>
      <c r="C28" s="602">
        <v>1</v>
      </c>
      <c r="D28" s="602">
        <v>1</v>
      </c>
      <c r="E28" s="602">
        <v>1</v>
      </c>
      <c r="F28" s="602">
        <v>1</v>
      </c>
      <c r="G28" s="602">
        <v>1</v>
      </c>
      <c r="H28" s="602">
        <v>1</v>
      </c>
      <c r="I28" s="602">
        <v>1</v>
      </c>
      <c r="J28" s="602">
        <v>1</v>
      </c>
      <c r="K28" s="602">
        <v>1</v>
      </c>
      <c r="L28" s="602">
        <v>1</v>
      </c>
      <c r="M28" s="602">
        <v>1</v>
      </c>
      <c r="N28" s="60"/>
    </row>
    <row r="29" spans="1:14" s="32" customFormat="1" ht="15.75" customHeight="1">
      <c r="A29" s="608" t="s">
        <v>617</v>
      </c>
      <c r="B29" s="602">
        <v>2</v>
      </c>
      <c r="C29" s="602">
        <v>2</v>
      </c>
      <c r="D29" s="602">
        <v>2</v>
      </c>
      <c r="E29" s="602">
        <v>2</v>
      </c>
      <c r="F29" s="602">
        <v>2</v>
      </c>
      <c r="G29" s="602">
        <v>2</v>
      </c>
      <c r="H29" s="602">
        <v>2</v>
      </c>
      <c r="I29" s="602">
        <v>3</v>
      </c>
      <c r="J29" s="602">
        <v>3</v>
      </c>
      <c r="K29" s="602">
        <v>3</v>
      </c>
      <c r="L29" s="602">
        <v>3</v>
      </c>
      <c r="M29" s="602">
        <v>3</v>
      </c>
      <c r="N29" s="60"/>
    </row>
    <row r="30" spans="1:14" s="32" customFormat="1" ht="12.75">
      <c r="A30" s="608" t="s">
        <v>974</v>
      </c>
      <c r="B30" s="602">
        <v>0.5</v>
      </c>
      <c r="C30" s="602">
        <v>0.5</v>
      </c>
      <c r="D30" s="602">
        <v>0.5</v>
      </c>
      <c r="E30" s="602">
        <v>0.5</v>
      </c>
      <c r="F30" s="602">
        <v>0.5</v>
      </c>
      <c r="G30" s="602">
        <v>0.5</v>
      </c>
      <c r="H30" s="602">
        <v>0.5</v>
      </c>
      <c r="I30" s="602">
        <v>0.5</v>
      </c>
      <c r="J30" s="602">
        <v>0.5</v>
      </c>
      <c r="K30" s="602">
        <v>0.5</v>
      </c>
      <c r="L30" s="602">
        <v>0.5</v>
      </c>
      <c r="M30" s="602">
        <v>0.5</v>
      </c>
      <c r="N30" s="60"/>
    </row>
    <row r="31" spans="1:14" s="270" customFormat="1" ht="25.5">
      <c r="A31" s="613" t="s">
        <v>882</v>
      </c>
      <c r="B31" s="614">
        <v>2</v>
      </c>
      <c r="C31" s="614">
        <v>2</v>
      </c>
      <c r="D31" s="614">
        <v>2</v>
      </c>
      <c r="E31" s="614">
        <v>2</v>
      </c>
      <c r="F31" s="614">
        <v>2</v>
      </c>
      <c r="G31" s="614">
        <v>2</v>
      </c>
      <c r="H31" s="614">
        <v>2</v>
      </c>
      <c r="I31" s="614">
        <v>0</v>
      </c>
      <c r="J31" s="614">
        <v>0</v>
      </c>
      <c r="K31" s="614">
        <v>0</v>
      </c>
      <c r="L31" s="614">
        <v>0</v>
      </c>
      <c r="M31" s="614">
        <v>0</v>
      </c>
      <c r="N31" s="269"/>
    </row>
    <row r="32" spans="1:14" ht="25.5">
      <c r="A32" s="611" t="s">
        <v>879</v>
      </c>
      <c r="B32" s="612"/>
      <c r="C32" s="612"/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/>
    </row>
    <row r="33" spans="1:14" ht="12.75">
      <c r="A33" s="607" t="s">
        <v>1012</v>
      </c>
      <c r="B33" s="602">
        <v>2</v>
      </c>
      <c r="C33" s="602">
        <v>2</v>
      </c>
      <c r="D33" s="602">
        <v>2</v>
      </c>
      <c r="E33" s="602">
        <v>2</v>
      </c>
      <c r="F33" s="602">
        <v>2</v>
      </c>
      <c r="G33" s="602">
        <v>2</v>
      </c>
      <c r="H33" s="602">
        <v>2</v>
      </c>
      <c r="I33" s="602">
        <v>2</v>
      </c>
      <c r="J33" s="602">
        <v>2</v>
      </c>
      <c r="K33" s="602">
        <v>2</v>
      </c>
      <c r="L33" s="602">
        <v>2</v>
      </c>
      <c r="M33" s="602">
        <v>2</v>
      </c>
      <c r="N33"/>
    </row>
    <row r="34" spans="1:14" ht="12.75">
      <c r="A34" s="607" t="s">
        <v>1015</v>
      </c>
      <c r="B34" s="602">
        <v>0.2</v>
      </c>
      <c r="C34" s="602">
        <v>0.2</v>
      </c>
      <c r="D34" s="602">
        <v>0.2</v>
      </c>
      <c r="E34" s="602">
        <v>0.2</v>
      </c>
      <c r="F34" s="602">
        <v>0.2</v>
      </c>
      <c r="G34" s="602">
        <v>0.2</v>
      </c>
      <c r="H34" s="602">
        <v>0.2</v>
      </c>
      <c r="I34" s="602">
        <v>0.2</v>
      </c>
      <c r="J34" s="602">
        <v>0.2</v>
      </c>
      <c r="K34" s="602">
        <v>0.2</v>
      </c>
      <c r="L34" s="602">
        <v>0.2</v>
      </c>
      <c r="M34" s="602">
        <v>0.2</v>
      </c>
      <c r="N34"/>
    </row>
    <row r="35" spans="1:17" ht="12.75">
      <c r="A35" s="607" t="s">
        <v>1016</v>
      </c>
      <c r="B35" s="602">
        <v>0.05</v>
      </c>
      <c r="C35" s="602">
        <v>0.05</v>
      </c>
      <c r="D35" s="602">
        <v>0.05</v>
      </c>
      <c r="E35" s="602">
        <v>0.05</v>
      </c>
      <c r="F35" s="602">
        <v>0.05</v>
      </c>
      <c r="G35" s="602">
        <v>0.05</v>
      </c>
      <c r="H35" s="602">
        <v>0.05</v>
      </c>
      <c r="I35" s="602">
        <v>0.05</v>
      </c>
      <c r="J35" s="602">
        <v>0.05</v>
      </c>
      <c r="K35" s="602">
        <v>0.05</v>
      </c>
      <c r="L35" s="602">
        <v>0.05</v>
      </c>
      <c r="M35" s="602">
        <v>0.05</v>
      </c>
      <c r="N35"/>
      <c r="Q35">
        <f>SUM(M33:M41)</f>
        <v>3.8249999999999997</v>
      </c>
    </row>
    <row r="36" spans="1:14" ht="12.75">
      <c r="A36" s="607" t="s">
        <v>1008</v>
      </c>
      <c r="B36" s="602">
        <v>0.15</v>
      </c>
      <c r="C36" s="602">
        <v>0.15</v>
      </c>
      <c r="D36" s="602">
        <v>0.15</v>
      </c>
      <c r="E36" s="602">
        <v>0.15</v>
      </c>
      <c r="F36" s="602">
        <v>0.15</v>
      </c>
      <c r="G36" s="602">
        <v>0.15</v>
      </c>
      <c r="H36" s="602">
        <v>0.15</v>
      </c>
      <c r="I36" s="602">
        <v>0.15</v>
      </c>
      <c r="J36" s="602">
        <v>0.15</v>
      </c>
      <c r="K36" s="602">
        <v>0.15</v>
      </c>
      <c r="L36" s="602">
        <v>0.15</v>
      </c>
      <c r="M36" s="602">
        <v>0.15</v>
      </c>
      <c r="N36"/>
    </row>
    <row r="37" spans="1:14" ht="12.75">
      <c r="A37" s="607" t="s">
        <v>1009</v>
      </c>
      <c r="B37" s="602">
        <v>0.15</v>
      </c>
      <c r="C37" s="602">
        <v>0.15</v>
      </c>
      <c r="D37" s="602">
        <v>0.15</v>
      </c>
      <c r="E37" s="602">
        <v>0.15</v>
      </c>
      <c r="F37" s="602">
        <v>0.15</v>
      </c>
      <c r="G37" s="602">
        <v>0.15</v>
      </c>
      <c r="H37" s="602">
        <v>0.15</v>
      </c>
      <c r="I37" s="602">
        <v>0.15</v>
      </c>
      <c r="J37" s="602">
        <v>0.15</v>
      </c>
      <c r="K37" s="602">
        <v>0.15</v>
      </c>
      <c r="L37" s="602">
        <v>0.15</v>
      </c>
      <c r="M37" s="602">
        <v>0.15</v>
      </c>
      <c r="N37"/>
    </row>
    <row r="38" spans="1:14" ht="12.75">
      <c r="A38" s="607" t="s">
        <v>1010</v>
      </c>
      <c r="B38" s="602">
        <v>0.5</v>
      </c>
      <c r="C38" s="602">
        <v>0.5</v>
      </c>
      <c r="D38" s="602">
        <v>0.5</v>
      </c>
      <c r="E38" s="602">
        <v>0.5</v>
      </c>
      <c r="F38" s="602">
        <v>0.5</v>
      </c>
      <c r="G38" s="602">
        <v>0.5</v>
      </c>
      <c r="H38" s="602">
        <v>0.5</v>
      </c>
      <c r="I38" s="602">
        <v>0.5</v>
      </c>
      <c r="J38" s="602">
        <v>0.5</v>
      </c>
      <c r="K38" s="602">
        <v>0.5</v>
      </c>
      <c r="L38" s="602">
        <v>0.5</v>
      </c>
      <c r="M38" s="602">
        <v>0.5</v>
      </c>
      <c r="N38"/>
    </row>
    <row r="39" spans="1:14" ht="12.75">
      <c r="A39" s="607" t="s">
        <v>1011</v>
      </c>
      <c r="B39" s="602">
        <v>0.025</v>
      </c>
      <c r="C39" s="602">
        <v>0.025</v>
      </c>
      <c r="D39" s="602">
        <v>0.025</v>
      </c>
      <c r="E39" s="602">
        <v>0.025</v>
      </c>
      <c r="F39" s="602">
        <v>0.025</v>
      </c>
      <c r="G39" s="602">
        <v>0.025</v>
      </c>
      <c r="H39" s="602">
        <v>0.025</v>
      </c>
      <c r="I39" s="602">
        <v>0.025</v>
      </c>
      <c r="J39" s="602">
        <v>0.025</v>
      </c>
      <c r="K39" s="602">
        <v>0.025</v>
      </c>
      <c r="L39" s="602">
        <v>0.025</v>
      </c>
      <c r="M39" s="602">
        <v>0.025</v>
      </c>
      <c r="N39"/>
    </row>
    <row r="40" spans="1:14" ht="12.75">
      <c r="A40" s="607" t="s">
        <v>1013</v>
      </c>
      <c r="B40" s="602">
        <v>0.25</v>
      </c>
      <c r="C40" s="602">
        <v>0.25</v>
      </c>
      <c r="D40" s="602">
        <v>0.25</v>
      </c>
      <c r="E40" s="602">
        <v>0.25</v>
      </c>
      <c r="F40" s="602">
        <v>0.25</v>
      </c>
      <c r="G40" s="602">
        <v>0.25</v>
      </c>
      <c r="H40" s="602">
        <v>0.25</v>
      </c>
      <c r="I40" s="602">
        <v>0.25</v>
      </c>
      <c r="J40" s="602">
        <v>0.25</v>
      </c>
      <c r="K40" s="602">
        <v>0.25</v>
      </c>
      <c r="L40" s="602">
        <v>0.25</v>
      </c>
      <c r="M40" s="602">
        <v>0.25</v>
      </c>
      <c r="N40"/>
    </row>
    <row r="41" spans="1:14" ht="12.75">
      <c r="A41" s="607" t="s">
        <v>1014</v>
      </c>
      <c r="B41" s="602">
        <v>0.5</v>
      </c>
      <c r="C41" s="602">
        <v>0.5</v>
      </c>
      <c r="D41" s="602">
        <v>0.5</v>
      </c>
      <c r="E41" s="602">
        <v>0.5</v>
      </c>
      <c r="F41" s="602">
        <v>0.5</v>
      </c>
      <c r="G41" s="602">
        <v>0.5</v>
      </c>
      <c r="H41" s="602">
        <v>0.5</v>
      </c>
      <c r="I41" s="602">
        <v>0.5</v>
      </c>
      <c r="J41" s="602">
        <v>0.5</v>
      </c>
      <c r="K41" s="602">
        <v>0.5</v>
      </c>
      <c r="L41" s="602">
        <v>0.5</v>
      </c>
      <c r="M41" s="602">
        <v>0.5</v>
      </c>
      <c r="N41"/>
    </row>
    <row r="42" spans="1:14" s="53" customFormat="1" ht="25.5">
      <c r="A42" s="606" t="s">
        <v>773</v>
      </c>
      <c r="B42" s="603">
        <f aca="true" t="shared" si="0" ref="B42:M42">SUM(B10:B41)</f>
        <v>48.324999999999996</v>
      </c>
      <c r="C42" s="603">
        <f t="shared" si="0"/>
        <v>48.324999999999996</v>
      </c>
      <c r="D42" s="603">
        <f t="shared" si="0"/>
        <v>48.324999999999996</v>
      </c>
      <c r="E42" s="603">
        <f t="shared" si="0"/>
        <v>48.324999999999996</v>
      </c>
      <c r="F42" s="603">
        <f t="shared" si="0"/>
        <v>48.324999999999996</v>
      </c>
      <c r="G42" s="603">
        <f t="shared" si="0"/>
        <v>48.324999999999996</v>
      </c>
      <c r="H42" s="603">
        <f t="shared" si="0"/>
        <v>48.324999999999996</v>
      </c>
      <c r="I42" s="603">
        <f t="shared" si="0"/>
        <v>48.324999999999996</v>
      </c>
      <c r="J42" s="603">
        <f t="shared" si="0"/>
        <v>48.324999999999996</v>
      </c>
      <c r="K42" s="603">
        <f t="shared" si="0"/>
        <v>48.324999999999996</v>
      </c>
      <c r="L42" s="603">
        <f t="shared" si="0"/>
        <v>48.324999999999996</v>
      </c>
      <c r="M42" s="603">
        <f t="shared" si="0"/>
        <v>48.324999999999996</v>
      </c>
      <c r="N42" s="61"/>
    </row>
    <row r="43" spans="1:14" s="32" customFormat="1" ht="14.25" customHeight="1">
      <c r="A43" s="605"/>
      <c r="B43" s="602"/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"/>
    </row>
    <row r="44" spans="1:14" s="33" customFormat="1" ht="22.5" customHeight="1">
      <c r="A44" s="610" t="s">
        <v>372</v>
      </c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50"/>
    </row>
    <row r="45" spans="1:14" s="32" customFormat="1" ht="12.75">
      <c r="A45" s="608" t="s">
        <v>426</v>
      </c>
      <c r="B45" s="602">
        <v>19</v>
      </c>
      <c r="C45" s="602">
        <v>19</v>
      </c>
      <c r="D45" s="602">
        <v>20</v>
      </c>
      <c r="E45" s="602">
        <v>19</v>
      </c>
      <c r="F45" s="602">
        <v>19</v>
      </c>
      <c r="G45" s="602">
        <v>19</v>
      </c>
      <c r="H45" s="602">
        <v>19</v>
      </c>
      <c r="I45" s="602">
        <v>19</v>
      </c>
      <c r="J45" s="602">
        <v>19</v>
      </c>
      <c r="K45" s="602">
        <v>20</v>
      </c>
      <c r="L45" s="602">
        <v>20</v>
      </c>
      <c r="M45" s="602">
        <v>20</v>
      </c>
      <c r="N45" s="60"/>
    </row>
    <row r="46" spans="1:14" s="32" customFormat="1" ht="12.75">
      <c r="A46" s="608" t="s">
        <v>753</v>
      </c>
      <c r="B46" s="602">
        <v>1</v>
      </c>
      <c r="C46" s="602">
        <v>1</v>
      </c>
      <c r="D46" s="602">
        <v>1</v>
      </c>
      <c r="E46" s="602">
        <v>2</v>
      </c>
      <c r="F46" s="602">
        <v>2</v>
      </c>
      <c r="G46" s="602">
        <v>2</v>
      </c>
      <c r="H46" s="602">
        <v>2</v>
      </c>
      <c r="I46" s="602">
        <v>2</v>
      </c>
      <c r="J46" s="602">
        <v>2</v>
      </c>
      <c r="K46" s="602">
        <v>1</v>
      </c>
      <c r="L46" s="602">
        <v>1</v>
      </c>
      <c r="M46" s="602">
        <v>1</v>
      </c>
      <c r="N46" s="60"/>
    </row>
    <row r="47" spans="1:14" s="33" customFormat="1" ht="21" customHeight="1">
      <c r="A47" s="606" t="s">
        <v>494</v>
      </c>
      <c r="B47" s="603">
        <f>SUM(B45:B46)</f>
        <v>20</v>
      </c>
      <c r="C47" s="603">
        <f aca="true" t="shared" si="1" ref="C47:M47">SUM(C45:C46)</f>
        <v>20</v>
      </c>
      <c r="D47" s="603">
        <f t="shared" si="1"/>
        <v>21</v>
      </c>
      <c r="E47" s="603">
        <f t="shared" si="1"/>
        <v>21</v>
      </c>
      <c r="F47" s="603">
        <f t="shared" si="1"/>
        <v>21</v>
      </c>
      <c r="G47" s="603">
        <f t="shared" si="1"/>
        <v>21</v>
      </c>
      <c r="H47" s="603">
        <f t="shared" si="1"/>
        <v>21</v>
      </c>
      <c r="I47" s="603">
        <f t="shared" si="1"/>
        <v>21</v>
      </c>
      <c r="J47" s="603">
        <f t="shared" si="1"/>
        <v>21</v>
      </c>
      <c r="K47" s="603">
        <f t="shared" si="1"/>
        <v>21</v>
      </c>
      <c r="L47" s="603">
        <f t="shared" si="1"/>
        <v>21</v>
      </c>
      <c r="M47" s="603">
        <f t="shared" si="1"/>
        <v>21</v>
      </c>
      <c r="N47" s="50"/>
    </row>
    <row r="48" spans="1:13" s="50" customFormat="1" ht="14.25" customHeight="1">
      <c r="A48" s="1242"/>
      <c r="B48" s="1243"/>
      <c r="C48" s="1243"/>
      <c r="D48" s="1243"/>
      <c r="E48" s="1243"/>
      <c r="F48" s="1243"/>
      <c r="G48" s="1243"/>
      <c r="H48" s="1243"/>
      <c r="I48" s="1243"/>
      <c r="J48" s="1243"/>
      <c r="K48" s="1243"/>
      <c r="L48" s="1243"/>
      <c r="M48" s="1243"/>
    </row>
    <row r="49" spans="1:14" s="33" customFormat="1" ht="22.5" customHeight="1">
      <c r="A49" s="610" t="s">
        <v>448</v>
      </c>
      <c r="B49" s="601"/>
      <c r="C49" s="601"/>
      <c r="D49" s="601"/>
      <c r="E49" s="601"/>
      <c r="F49" s="601"/>
      <c r="G49" s="601"/>
      <c r="H49" s="601"/>
      <c r="I49" s="601"/>
      <c r="J49" s="601"/>
      <c r="K49" s="601"/>
      <c r="L49" s="601"/>
      <c r="M49" s="601"/>
      <c r="N49" s="50"/>
    </row>
    <row r="50" spans="1:14" s="59" customFormat="1" ht="22.5" customHeight="1">
      <c r="A50" s="611" t="s">
        <v>754</v>
      </c>
      <c r="B50" s="612"/>
      <c r="C50" s="612"/>
      <c r="D50" s="612"/>
      <c r="E50" s="612"/>
      <c r="F50" s="612"/>
      <c r="G50" s="612"/>
      <c r="H50" s="612"/>
      <c r="I50" s="612"/>
      <c r="J50" s="612"/>
      <c r="K50" s="612"/>
      <c r="L50" s="612"/>
      <c r="M50" s="612"/>
      <c r="N50" s="58"/>
    </row>
    <row r="51" spans="1:14" s="32" customFormat="1" ht="12.75">
      <c r="A51" s="608" t="s">
        <v>619</v>
      </c>
      <c r="B51" s="602">
        <v>1</v>
      </c>
      <c r="C51" s="602">
        <v>1</v>
      </c>
      <c r="D51" s="602">
        <v>1</v>
      </c>
      <c r="E51" s="602">
        <v>1</v>
      </c>
      <c r="F51" s="602">
        <v>1</v>
      </c>
      <c r="G51" s="602">
        <v>1</v>
      </c>
      <c r="H51" s="602">
        <v>1</v>
      </c>
      <c r="I51" s="602">
        <v>1</v>
      </c>
      <c r="J51" s="602">
        <v>1</v>
      </c>
      <c r="K51" s="602">
        <v>1</v>
      </c>
      <c r="L51" s="602">
        <v>1</v>
      </c>
      <c r="M51" s="602">
        <v>1</v>
      </c>
      <c r="N51" s="60"/>
    </row>
    <row r="52" spans="1:14" s="32" customFormat="1" ht="12.75">
      <c r="A52" s="609" t="s">
        <v>620</v>
      </c>
      <c r="B52" s="602">
        <v>1</v>
      </c>
      <c r="C52" s="602">
        <v>1</v>
      </c>
      <c r="D52" s="602">
        <v>1</v>
      </c>
      <c r="E52" s="602">
        <v>1</v>
      </c>
      <c r="F52" s="602">
        <v>1</v>
      </c>
      <c r="G52" s="602">
        <v>1</v>
      </c>
      <c r="H52" s="602">
        <v>1</v>
      </c>
      <c r="I52" s="602">
        <v>1</v>
      </c>
      <c r="J52" s="602">
        <v>1</v>
      </c>
      <c r="K52" s="602">
        <v>1</v>
      </c>
      <c r="L52" s="602">
        <v>1</v>
      </c>
      <c r="M52" s="602">
        <v>1</v>
      </c>
      <c r="N52" s="60"/>
    </row>
    <row r="53" spans="1:14" s="59" customFormat="1" ht="22.5" customHeight="1">
      <c r="A53" s="611" t="s">
        <v>758</v>
      </c>
      <c r="B53" s="612"/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58"/>
    </row>
    <row r="54" spans="1:14" s="32" customFormat="1" ht="15" customHeight="1">
      <c r="A54" s="608" t="s">
        <v>802</v>
      </c>
      <c r="B54" s="602">
        <v>1</v>
      </c>
      <c r="C54" s="602">
        <v>1</v>
      </c>
      <c r="D54" s="602">
        <v>1</v>
      </c>
      <c r="E54" s="602">
        <v>1</v>
      </c>
      <c r="F54" s="602">
        <v>1</v>
      </c>
      <c r="G54" s="602">
        <v>1</v>
      </c>
      <c r="H54" s="602">
        <v>1</v>
      </c>
      <c r="I54" s="602">
        <v>1</v>
      </c>
      <c r="J54" s="602">
        <v>1</v>
      </c>
      <c r="K54" s="602">
        <v>1</v>
      </c>
      <c r="L54" s="602">
        <v>1</v>
      </c>
      <c r="M54" s="602">
        <v>1</v>
      </c>
      <c r="N54" s="60"/>
    </row>
    <row r="55" spans="1:14" s="59" customFormat="1" ht="22.5" customHeight="1">
      <c r="A55" s="611" t="s">
        <v>755</v>
      </c>
      <c r="B55" s="612"/>
      <c r="C55" s="612"/>
      <c r="D55" s="612"/>
      <c r="E55" s="612"/>
      <c r="F55" s="612"/>
      <c r="G55" s="612"/>
      <c r="H55" s="612"/>
      <c r="I55" s="612"/>
      <c r="J55" s="612"/>
      <c r="K55" s="612"/>
      <c r="L55" s="612"/>
      <c r="M55" s="612"/>
      <c r="N55" s="58"/>
    </row>
    <row r="56" spans="1:14" s="32" customFormat="1" ht="12.75">
      <c r="A56" s="608" t="s">
        <v>756</v>
      </c>
      <c r="B56" s="602">
        <v>1</v>
      </c>
      <c r="C56" s="602">
        <v>1</v>
      </c>
      <c r="D56" s="602">
        <v>1</v>
      </c>
      <c r="E56" s="602">
        <v>1</v>
      </c>
      <c r="F56" s="602">
        <v>1</v>
      </c>
      <c r="G56" s="602">
        <v>1</v>
      </c>
      <c r="H56" s="602">
        <v>1</v>
      </c>
      <c r="I56" s="602">
        <v>1</v>
      </c>
      <c r="J56" s="602">
        <v>1</v>
      </c>
      <c r="K56" s="602">
        <v>1</v>
      </c>
      <c r="L56" s="602">
        <v>1</v>
      </c>
      <c r="M56" s="602">
        <v>1</v>
      </c>
      <c r="N56" s="60"/>
    </row>
    <row r="57" spans="1:14" s="32" customFormat="1" ht="12.75">
      <c r="A57" s="608" t="s">
        <v>757</v>
      </c>
      <c r="B57" s="602">
        <v>1</v>
      </c>
      <c r="C57" s="602">
        <v>1</v>
      </c>
      <c r="D57" s="602">
        <v>1</v>
      </c>
      <c r="E57" s="602">
        <v>1</v>
      </c>
      <c r="F57" s="602">
        <v>1</v>
      </c>
      <c r="G57" s="602">
        <v>1</v>
      </c>
      <c r="H57" s="602">
        <v>1</v>
      </c>
      <c r="I57" s="602">
        <v>1</v>
      </c>
      <c r="J57" s="602">
        <v>1</v>
      </c>
      <c r="K57" s="602">
        <v>1</v>
      </c>
      <c r="L57" s="602">
        <v>1</v>
      </c>
      <c r="M57" s="602">
        <v>1</v>
      </c>
      <c r="N57" s="60"/>
    </row>
    <row r="58" spans="1:14" s="32" customFormat="1" ht="12.75">
      <c r="A58" s="608" t="s">
        <v>975</v>
      </c>
      <c r="B58" s="602">
        <v>1</v>
      </c>
      <c r="C58" s="602">
        <v>1</v>
      </c>
      <c r="D58" s="602">
        <v>1</v>
      </c>
      <c r="E58" s="602">
        <v>1</v>
      </c>
      <c r="F58" s="602">
        <v>1</v>
      </c>
      <c r="G58" s="602">
        <v>1</v>
      </c>
      <c r="H58" s="602">
        <v>1</v>
      </c>
      <c r="I58" s="602">
        <v>1</v>
      </c>
      <c r="J58" s="602">
        <v>1</v>
      </c>
      <c r="K58" s="602">
        <v>1</v>
      </c>
      <c r="L58" s="602">
        <v>1</v>
      </c>
      <c r="M58" s="602">
        <v>1</v>
      </c>
      <c r="N58" s="60"/>
    </row>
    <row r="59" spans="1:14" s="59" customFormat="1" ht="22.5" customHeight="1">
      <c r="A59" s="611" t="s">
        <v>359</v>
      </c>
      <c r="B59" s="612"/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58"/>
    </row>
    <row r="60" spans="1:14" s="32" customFormat="1" ht="12.75">
      <c r="A60" s="607" t="s">
        <v>360</v>
      </c>
      <c r="B60" s="602">
        <v>5</v>
      </c>
      <c r="C60" s="602">
        <v>5</v>
      </c>
      <c r="D60" s="602">
        <v>5</v>
      </c>
      <c r="E60" s="602">
        <v>5</v>
      </c>
      <c r="F60" s="602">
        <v>5</v>
      </c>
      <c r="G60" s="602">
        <v>5</v>
      </c>
      <c r="H60" s="602">
        <v>5</v>
      </c>
      <c r="I60" s="602">
        <v>5</v>
      </c>
      <c r="J60" s="602">
        <v>5</v>
      </c>
      <c r="K60" s="602">
        <v>5</v>
      </c>
      <c r="L60" s="602">
        <v>5</v>
      </c>
      <c r="M60" s="602">
        <v>5</v>
      </c>
      <c r="N60" s="60"/>
    </row>
    <row r="61" spans="1:14" ht="25.5">
      <c r="A61" s="611" t="s">
        <v>875</v>
      </c>
      <c r="B61" s="612"/>
      <c r="C61" s="612"/>
      <c r="D61" s="612"/>
      <c r="E61" s="612"/>
      <c r="F61" s="612"/>
      <c r="G61" s="612"/>
      <c r="H61" s="612"/>
      <c r="I61" s="612"/>
      <c r="J61" s="612"/>
      <c r="K61" s="612"/>
      <c r="L61" s="612"/>
      <c r="M61" s="612"/>
      <c r="N61"/>
    </row>
    <row r="62" spans="1:14" ht="12.75">
      <c r="A62" s="608" t="s">
        <v>976</v>
      </c>
      <c r="B62" s="602">
        <v>0.375</v>
      </c>
      <c r="C62" s="602">
        <v>0.375</v>
      </c>
      <c r="D62" s="602">
        <v>0.375</v>
      </c>
      <c r="E62" s="602">
        <v>0.375</v>
      </c>
      <c r="F62" s="602">
        <v>0.375</v>
      </c>
      <c r="G62" s="602">
        <v>0.375</v>
      </c>
      <c r="H62" s="602">
        <v>0.375</v>
      </c>
      <c r="I62" s="602">
        <v>0.375</v>
      </c>
      <c r="J62" s="602">
        <v>0.375</v>
      </c>
      <c r="K62" s="602">
        <v>0.375</v>
      </c>
      <c r="L62" s="602">
        <v>0.375</v>
      </c>
      <c r="M62" s="602">
        <v>0.375</v>
      </c>
      <c r="N62"/>
    </row>
    <row r="63" spans="1:14" ht="12.75">
      <c r="A63" s="608" t="s">
        <v>977</v>
      </c>
      <c r="B63" s="602">
        <v>0.375</v>
      </c>
      <c r="C63" s="602">
        <v>0.375</v>
      </c>
      <c r="D63" s="602">
        <v>0.375</v>
      </c>
      <c r="E63" s="602">
        <v>0.375</v>
      </c>
      <c r="F63" s="602">
        <v>0.375</v>
      </c>
      <c r="G63" s="602">
        <v>0.375</v>
      </c>
      <c r="H63" s="602">
        <v>0.375</v>
      </c>
      <c r="I63" s="602">
        <v>0.375</v>
      </c>
      <c r="J63" s="602">
        <v>0.375</v>
      </c>
      <c r="K63" s="602">
        <v>0.375</v>
      </c>
      <c r="L63" s="602">
        <v>0.375</v>
      </c>
      <c r="M63" s="602">
        <v>0.375</v>
      </c>
      <c r="N63"/>
    </row>
    <row r="64" spans="1:14" ht="12.75">
      <c r="A64" s="608" t="s">
        <v>616</v>
      </c>
      <c r="B64" s="602">
        <v>1</v>
      </c>
      <c r="C64" s="602">
        <v>1</v>
      </c>
      <c r="D64" s="602">
        <v>1</v>
      </c>
      <c r="E64" s="602">
        <v>1</v>
      </c>
      <c r="F64" s="602">
        <v>1</v>
      </c>
      <c r="G64" s="602">
        <v>1</v>
      </c>
      <c r="H64" s="602">
        <v>1</v>
      </c>
      <c r="I64" s="602">
        <v>1</v>
      </c>
      <c r="J64" s="602">
        <v>1</v>
      </c>
      <c r="K64" s="602">
        <v>1</v>
      </c>
      <c r="L64" s="602">
        <v>1</v>
      </c>
      <c r="M64" s="602">
        <v>1</v>
      </c>
      <c r="N64"/>
    </row>
    <row r="65" spans="1:14" ht="12.75">
      <c r="A65" s="608" t="s">
        <v>978</v>
      </c>
      <c r="B65" s="602">
        <v>0.5</v>
      </c>
      <c r="C65" s="602">
        <v>0.5</v>
      </c>
      <c r="D65" s="602">
        <v>0.5</v>
      </c>
      <c r="E65" s="602">
        <v>0.5</v>
      </c>
      <c r="F65" s="602">
        <v>0.5</v>
      </c>
      <c r="G65" s="602">
        <v>0.5</v>
      </c>
      <c r="H65" s="602">
        <v>0.5</v>
      </c>
      <c r="I65" s="602">
        <v>0.5</v>
      </c>
      <c r="J65" s="602">
        <v>0.5</v>
      </c>
      <c r="K65" s="602">
        <v>0.5</v>
      </c>
      <c r="L65" s="602">
        <v>0.5</v>
      </c>
      <c r="M65" s="602">
        <v>0.5</v>
      </c>
      <c r="N65"/>
    </row>
    <row r="66" spans="1:14" ht="12.75">
      <c r="A66" s="608" t="s">
        <v>905</v>
      </c>
      <c r="B66" s="602">
        <v>1</v>
      </c>
      <c r="C66" s="602">
        <v>1</v>
      </c>
      <c r="D66" s="602">
        <v>1</v>
      </c>
      <c r="E66" s="602">
        <v>1</v>
      </c>
      <c r="F66" s="602">
        <v>1</v>
      </c>
      <c r="G66" s="602">
        <v>1</v>
      </c>
      <c r="H66" s="602">
        <v>1</v>
      </c>
      <c r="I66" s="602">
        <v>1</v>
      </c>
      <c r="J66" s="602">
        <v>1</v>
      </c>
      <c r="K66" s="602">
        <v>1</v>
      </c>
      <c r="L66" s="602">
        <v>1</v>
      </c>
      <c r="M66" s="602">
        <v>1</v>
      </c>
      <c r="N66"/>
    </row>
    <row r="67" spans="1:14" ht="12.75">
      <c r="A67" s="608" t="s">
        <v>725</v>
      </c>
      <c r="B67" s="602">
        <v>2</v>
      </c>
      <c r="C67" s="602">
        <v>2</v>
      </c>
      <c r="D67" s="602">
        <v>2</v>
      </c>
      <c r="E67" s="602">
        <v>2</v>
      </c>
      <c r="F67" s="602">
        <v>2</v>
      </c>
      <c r="G67" s="602">
        <v>2</v>
      </c>
      <c r="H67" s="602">
        <v>2</v>
      </c>
      <c r="I67" s="602">
        <v>2</v>
      </c>
      <c r="J67" s="602">
        <v>2</v>
      </c>
      <c r="K67" s="602">
        <v>2</v>
      </c>
      <c r="L67" s="602">
        <v>2</v>
      </c>
      <c r="M67" s="602">
        <v>2</v>
      </c>
      <c r="N67"/>
    </row>
    <row r="68" spans="1:14" ht="12.75">
      <c r="A68" s="608" t="s">
        <v>883</v>
      </c>
      <c r="B68" s="602">
        <v>1</v>
      </c>
      <c r="C68" s="602">
        <v>1</v>
      </c>
      <c r="D68" s="602">
        <v>1</v>
      </c>
      <c r="E68" s="602">
        <v>1</v>
      </c>
      <c r="F68" s="602">
        <v>1</v>
      </c>
      <c r="G68" s="602">
        <v>1</v>
      </c>
      <c r="H68" s="602">
        <v>1</v>
      </c>
      <c r="I68" s="602">
        <v>1</v>
      </c>
      <c r="J68" s="602">
        <v>1</v>
      </c>
      <c r="K68" s="602">
        <v>1</v>
      </c>
      <c r="L68" s="602">
        <v>1</v>
      </c>
      <c r="M68" s="602">
        <v>1</v>
      </c>
      <c r="N68"/>
    </row>
    <row r="69" spans="1:14" ht="15.75" customHeight="1">
      <c r="A69" s="608" t="s">
        <v>876</v>
      </c>
      <c r="B69" s="602">
        <v>0.5</v>
      </c>
      <c r="C69" s="602">
        <v>0.5</v>
      </c>
      <c r="D69" s="602">
        <v>0.5</v>
      </c>
      <c r="E69" s="602">
        <v>0.5</v>
      </c>
      <c r="F69" s="602">
        <v>0.5</v>
      </c>
      <c r="G69" s="602">
        <v>0.5</v>
      </c>
      <c r="H69" s="602">
        <v>0.5</v>
      </c>
      <c r="I69" s="602">
        <v>0.5</v>
      </c>
      <c r="J69" s="602">
        <v>0.5</v>
      </c>
      <c r="K69" s="602">
        <v>0.5</v>
      </c>
      <c r="L69" s="602">
        <v>0.5</v>
      </c>
      <c r="M69" s="602">
        <v>0.5</v>
      </c>
      <c r="N69"/>
    </row>
    <row r="70" spans="1:14" ht="25.5">
      <c r="A70" s="611" t="s">
        <v>877</v>
      </c>
      <c r="B70" s="612"/>
      <c r="C70" s="612"/>
      <c r="D70" s="612"/>
      <c r="E70" s="612"/>
      <c r="F70" s="612"/>
      <c r="G70" s="612"/>
      <c r="H70" s="612"/>
      <c r="I70" s="612"/>
      <c r="J70" s="612"/>
      <c r="K70" s="612"/>
      <c r="L70" s="612"/>
      <c r="M70" s="612"/>
      <c r="N70"/>
    </row>
    <row r="71" spans="1:14" ht="12.75">
      <c r="A71" s="607" t="s">
        <v>616</v>
      </c>
      <c r="B71" s="602">
        <v>1</v>
      </c>
      <c r="C71" s="602">
        <v>1</v>
      </c>
      <c r="D71" s="602">
        <v>1</v>
      </c>
      <c r="E71" s="602">
        <v>1</v>
      </c>
      <c r="F71" s="602">
        <v>1</v>
      </c>
      <c r="G71" s="602">
        <v>1</v>
      </c>
      <c r="H71" s="602">
        <v>1</v>
      </c>
      <c r="I71" s="602">
        <v>0</v>
      </c>
      <c r="J71" s="602">
        <v>0</v>
      </c>
      <c r="K71" s="602">
        <v>0</v>
      </c>
      <c r="L71" s="602">
        <v>0</v>
      </c>
      <c r="M71" s="602">
        <v>0</v>
      </c>
      <c r="N71"/>
    </row>
    <row r="72" spans="1:14" ht="12.75">
      <c r="A72" s="607" t="s">
        <v>979</v>
      </c>
      <c r="B72" s="602">
        <v>1</v>
      </c>
      <c r="C72" s="602">
        <v>1</v>
      </c>
      <c r="D72" s="602">
        <v>1</v>
      </c>
      <c r="E72" s="602">
        <v>1</v>
      </c>
      <c r="F72" s="602">
        <v>1</v>
      </c>
      <c r="G72" s="602">
        <v>1</v>
      </c>
      <c r="H72" s="602">
        <v>1</v>
      </c>
      <c r="I72" s="602">
        <v>1</v>
      </c>
      <c r="J72" s="602">
        <v>1</v>
      </c>
      <c r="K72" s="602">
        <v>1</v>
      </c>
      <c r="L72" s="602">
        <v>1</v>
      </c>
      <c r="M72" s="602">
        <v>1</v>
      </c>
      <c r="N72"/>
    </row>
    <row r="73" spans="1:14" ht="12.75">
      <c r="A73" s="607" t="s">
        <v>980</v>
      </c>
      <c r="B73" s="602">
        <v>0.5</v>
      </c>
      <c r="C73" s="602">
        <v>0.5</v>
      </c>
      <c r="D73" s="602">
        <v>0.5</v>
      </c>
      <c r="E73" s="602">
        <v>0.5</v>
      </c>
      <c r="F73" s="602">
        <v>0.5</v>
      </c>
      <c r="G73" s="602">
        <v>0.5</v>
      </c>
      <c r="H73" s="602">
        <v>0.5</v>
      </c>
      <c r="I73" s="602">
        <v>0</v>
      </c>
      <c r="J73" s="602">
        <v>0</v>
      </c>
      <c r="K73" s="602">
        <v>0</v>
      </c>
      <c r="L73" s="602">
        <v>0</v>
      </c>
      <c r="M73" s="602">
        <v>0</v>
      </c>
      <c r="N73"/>
    </row>
    <row r="74" spans="1:14" ht="12.75">
      <c r="A74" s="607" t="s">
        <v>981</v>
      </c>
      <c r="B74" s="602">
        <v>2.25</v>
      </c>
      <c r="C74" s="602">
        <v>2.25</v>
      </c>
      <c r="D74" s="602">
        <v>2.25</v>
      </c>
      <c r="E74" s="602">
        <v>2.25</v>
      </c>
      <c r="F74" s="602">
        <v>2.25</v>
      </c>
      <c r="G74" s="602">
        <v>2.25</v>
      </c>
      <c r="H74" s="602">
        <v>2.25</v>
      </c>
      <c r="I74" s="602">
        <v>0</v>
      </c>
      <c r="J74" s="602">
        <v>0</v>
      </c>
      <c r="K74" s="602">
        <v>0</v>
      </c>
      <c r="L74" s="602">
        <v>0</v>
      </c>
      <c r="M74" s="602">
        <v>0</v>
      </c>
      <c r="N74"/>
    </row>
    <row r="75" spans="1:13" s="255" customFormat="1" ht="12.75">
      <c r="A75" s="618" t="s">
        <v>982</v>
      </c>
      <c r="B75" s="619">
        <v>1</v>
      </c>
      <c r="C75" s="619">
        <v>1</v>
      </c>
      <c r="D75" s="619">
        <v>1</v>
      </c>
      <c r="E75" s="619">
        <v>1</v>
      </c>
      <c r="F75" s="619">
        <v>1</v>
      </c>
      <c r="G75" s="619">
        <v>1</v>
      </c>
      <c r="H75" s="619">
        <v>1</v>
      </c>
      <c r="I75" s="619">
        <v>1</v>
      </c>
      <c r="J75" s="619">
        <v>1</v>
      </c>
      <c r="K75" s="619">
        <v>1</v>
      </c>
      <c r="L75" s="619">
        <v>1</v>
      </c>
      <c r="M75" s="619">
        <v>1</v>
      </c>
    </row>
    <row r="76" spans="1:13" s="255" customFormat="1" ht="12.75">
      <c r="A76" s="618" t="s">
        <v>983</v>
      </c>
      <c r="B76" s="619">
        <v>2</v>
      </c>
      <c r="C76" s="619">
        <v>2</v>
      </c>
      <c r="D76" s="619">
        <v>2</v>
      </c>
      <c r="E76" s="619">
        <v>2</v>
      </c>
      <c r="F76" s="619">
        <v>2</v>
      </c>
      <c r="G76" s="619">
        <v>2</v>
      </c>
      <c r="H76" s="619">
        <v>2</v>
      </c>
      <c r="I76" s="602">
        <v>0</v>
      </c>
      <c r="J76" s="602">
        <v>0</v>
      </c>
      <c r="K76" s="602">
        <v>0</v>
      </c>
      <c r="L76" s="602">
        <v>0</v>
      </c>
      <c r="M76" s="602">
        <v>0</v>
      </c>
    </row>
    <row r="77" spans="1:14" ht="12.75">
      <c r="A77" s="611" t="s">
        <v>878</v>
      </c>
      <c r="B77" s="612"/>
      <c r="C77" s="612"/>
      <c r="D77" s="612"/>
      <c r="E77" s="612"/>
      <c r="F77" s="612"/>
      <c r="G77" s="612"/>
      <c r="H77" s="612"/>
      <c r="I77" s="612"/>
      <c r="J77" s="612"/>
      <c r="K77" s="612"/>
      <c r="L77" s="612"/>
      <c r="M77" s="612"/>
      <c r="N77"/>
    </row>
    <row r="78" spans="1:13" s="254" customFormat="1" ht="12.75">
      <c r="A78" s="607" t="s">
        <v>984</v>
      </c>
      <c r="B78" s="602">
        <v>1</v>
      </c>
      <c r="C78" s="602">
        <v>1</v>
      </c>
      <c r="D78" s="602">
        <v>1</v>
      </c>
      <c r="E78" s="602">
        <v>1</v>
      </c>
      <c r="F78" s="602">
        <v>1</v>
      </c>
      <c r="G78" s="602">
        <v>1</v>
      </c>
      <c r="H78" s="602">
        <v>1</v>
      </c>
      <c r="I78" s="602">
        <v>1</v>
      </c>
      <c r="J78" s="602">
        <v>1</v>
      </c>
      <c r="K78" s="602">
        <v>1</v>
      </c>
      <c r="L78" s="602">
        <v>1</v>
      </c>
      <c r="M78" s="602">
        <v>1</v>
      </c>
    </row>
    <row r="79" spans="1:14" ht="25.5">
      <c r="A79" s="611" t="s">
        <v>879</v>
      </c>
      <c r="B79" s="612"/>
      <c r="C79" s="612"/>
      <c r="D79" s="612"/>
      <c r="E79" s="612"/>
      <c r="F79" s="612"/>
      <c r="G79" s="612"/>
      <c r="H79" s="612"/>
      <c r="I79" s="612"/>
      <c r="J79" s="612"/>
      <c r="K79" s="612"/>
      <c r="L79" s="612"/>
      <c r="M79" s="612"/>
      <c r="N79"/>
    </row>
    <row r="80" spans="1:13" s="254" customFormat="1" ht="12.75">
      <c r="A80" s="607" t="s">
        <v>986</v>
      </c>
      <c r="B80" s="602">
        <v>0.25</v>
      </c>
      <c r="C80" s="602">
        <v>0.25</v>
      </c>
      <c r="D80" s="602">
        <v>0.25</v>
      </c>
      <c r="E80" s="602">
        <v>0.25</v>
      </c>
      <c r="F80" s="602">
        <v>0.25</v>
      </c>
      <c r="G80" s="602">
        <v>0.25</v>
      </c>
      <c r="H80" s="602">
        <v>0.25</v>
      </c>
      <c r="I80" s="602">
        <v>0.25</v>
      </c>
      <c r="J80" s="602">
        <v>0.25</v>
      </c>
      <c r="K80" s="602">
        <v>0.25</v>
      </c>
      <c r="L80" s="602">
        <v>0.25</v>
      </c>
      <c r="M80" s="602">
        <v>0.25</v>
      </c>
    </row>
    <row r="81" spans="1:13" s="254" customFormat="1" ht="12.75">
      <c r="A81" s="607" t="s">
        <v>985</v>
      </c>
      <c r="B81" s="602">
        <v>0.5</v>
      </c>
      <c r="C81" s="602">
        <v>0.5</v>
      </c>
      <c r="D81" s="602">
        <v>0.5</v>
      </c>
      <c r="E81" s="602">
        <v>0.5</v>
      </c>
      <c r="F81" s="602">
        <v>0.5</v>
      </c>
      <c r="G81" s="602">
        <v>0.5</v>
      </c>
      <c r="H81" s="602">
        <v>0.5</v>
      </c>
      <c r="I81" s="602">
        <v>0.5</v>
      </c>
      <c r="J81" s="602">
        <v>0.5</v>
      </c>
      <c r="K81" s="602">
        <v>0.5</v>
      </c>
      <c r="L81" s="602">
        <v>0.5</v>
      </c>
      <c r="M81" s="602">
        <v>0.5</v>
      </c>
    </row>
    <row r="82" spans="1:14" s="33" customFormat="1" ht="21" customHeight="1">
      <c r="A82" s="606" t="s">
        <v>391</v>
      </c>
      <c r="B82" s="603">
        <f aca="true" t="shared" si="2" ref="B82:M82">SUM(B51:B81)</f>
        <v>27.25</v>
      </c>
      <c r="C82" s="603">
        <f t="shared" si="2"/>
        <v>27.25</v>
      </c>
      <c r="D82" s="603">
        <f t="shared" si="2"/>
        <v>27.25</v>
      </c>
      <c r="E82" s="603">
        <f t="shared" si="2"/>
        <v>27.25</v>
      </c>
      <c r="F82" s="603">
        <f t="shared" si="2"/>
        <v>27.25</v>
      </c>
      <c r="G82" s="603">
        <f t="shared" si="2"/>
        <v>27.25</v>
      </c>
      <c r="H82" s="603">
        <f t="shared" si="2"/>
        <v>27.25</v>
      </c>
      <c r="I82" s="603">
        <f t="shared" si="2"/>
        <v>21.5</v>
      </c>
      <c r="J82" s="603">
        <f t="shared" si="2"/>
        <v>21.5</v>
      </c>
      <c r="K82" s="603">
        <f t="shared" si="2"/>
        <v>21.5</v>
      </c>
      <c r="L82" s="603">
        <f t="shared" si="2"/>
        <v>21.5</v>
      </c>
      <c r="M82" s="603">
        <f t="shared" si="2"/>
        <v>21.5</v>
      </c>
      <c r="N82" s="50"/>
    </row>
    <row r="83" spans="1:14" s="32" customFormat="1" ht="14.25" customHeight="1">
      <c r="A83" s="605"/>
      <c r="B83" s="602"/>
      <c r="C83" s="602"/>
      <c r="D83" s="602"/>
      <c r="E83" s="602"/>
      <c r="F83" s="602"/>
      <c r="G83" s="602"/>
      <c r="H83" s="602"/>
      <c r="I83" s="602"/>
      <c r="J83" s="602"/>
      <c r="K83" s="602"/>
      <c r="L83" s="602"/>
      <c r="M83" s="602"/>
      <c r="N83" s="60"/>
    </row>
    <row r="84" spans="1:14" s="33" customFormat="1" ht="22.5" customHeight="1">
      <c r="A84" s="610" t="s">
        <v>796</v>
      </c>
      <c r="B84" s="601"/>
      <c r="C84" s="601"/>
      <c r="D84" s="601"/>
      <c r="E84" s="601"/>
      <c r="F84" s="601"/>
      <c r="G84" s="601"/>
      <c r="H84" s="601"/>
      <c r="I84" s="601"/>
      <c r="J84" s="601"/>
      <c r="K84" s="601"/>
      <c r="L84" s="601"/>
      <c r="M84" s="601"/>
      <c r="N84" s="50"/>
    </row>
    <row r="85" spans="1:14" s="32" customFormat="1" ht="12.75">
      <c r="A85" s="608" t="s">
        <v>906</v>
      </c>
      <c r="B85" s="602">
        <v>1</v>
      </c>
      <c r="C85" s="602">
        <v>1</v>
      </c>
      <c r="D85" s="602">
        <v>1</v>
      </c>
      <c r="E85" s="602">
        <v>1</v>
      </c>
      <c r="F85" s="602">
        <v>1</v>
      </c>
      <c r="G85" s="602">
        <v>1</v>
      </c>
      <c r="H85" s="602">
        <v>1</v>
      </c>
      <c r="I85" s="602">
        <v>1</v>
      </c>
      <c r="J85" s="602">
        <v>1</v>
      </c>
      <c r="K85" s="602">
        <v>1</v>
      </c>
      <c r="L85" s="602">
        <v>1</v>
      </c>
      <c r="M85" s="602">
        <v>1</v>
      </c>
      <c r="N85" s="60"/>
    </row>
    <row r="86" spans="1:14" s="32" customFormat="1" ht="12.75">
      <c r="A86" s="608" t="s">
        <v>759</v>
      </c>
      <c r="B86" s="602">
        <v>1</v>
      </c>
      <c r="C86" s="602">
        <v>1</v>
      </c>
      <c r="D86" s="602">
        <v>1</v>
      </c>
      <c r="E86" s="602">
        <v>1</v>
      </c>
      <c r="F86" s="602">
        <v>1</v>
      </c>
      <c r="G86" s="602">
        <v>1</v>
      </c>
      <c r="H86" s="602">
        <v>1</v>
      </c>
      <c r="I86" s="602">
        <v>1</v>
      </c>
      <c r="J86" s="602">
        <v>1</v>
      </c>
      <c r="K86" s="602">
        <v>1</v>
      </c>
      <c r="L86" s="602">
        <v>1</v>
      </c>
      <c r="M86" s="602">
        <v>1</v>
      </c>
      <c r="N86" s="60"/>
    </row>
    <row r="87" spans="1:14" s="32" customFormat="1" ht="12.75">
      <c r="A87" s="608" t="s">
        <v>907</v>
      </c>
      <c r="B87" s="602">
        <v>1</v>
      </c>
      <c r="C87" s="602">
        <v>1</v>
      </c>
      <c r="D87" s="602">
        <v>1</v>
      </c>
      <c r="E87" s="602">
        <v>1</v>
      </c>
      <c r="F87" s="602">
        <v>1</v>
      </c>
      <c r="G87" s="602">
        <v>1</v>
      </c>
      <c r="H87" s="602">
        <v>1</v>
      </c>
      <c r="I87" s="602">
        <v>1</v>
      </c>
      <c r="J87" s="602">
        <v>1</v>
      </c>
      <c r="K87" s="602">
        <v>1</v>
      </c>
      <c r="L87" s="602">
        <v>1</v>
      </c>
      <c r="M87" s="602">
        <v>1</v>
      </c>
      <c r="N87" s="60"/>
    </row>
    <row r="88" spans="1:14" s="32" customFormat="1" ht="12.75">
      <c r="A88" s="608" t="s">
        <v>908</v>
      </c>
      <c r="B88" s="602">
        <v>1</v>
      </c>
      <c r="C88" s="602">
        <v>1</v>
      </c>
      <c r="D88" s="602">
        <v>1</v>
      </c>
      <c r="E88" s="602">
        <v>1</v>
      </c>
      <c r="F88" s="602">
        <v>1</v>
      </c>
      <c r="G88" s="602">
        <v>1</v>
      </c>
      <c r="H88" s="602">
        <v>1</v>
      </c>
      <c r="I88" s="602">
        <v>1</v>
      </c>
      <c r="J88" s="602">
        <v>1</v>
      </c>
      <c r="K88" s="602">
        <v>1</v>
      </c>
      <c r="L88" s="602">
        <v>1</v>
      </c>
      <c r="M88" s="602">
        <v>1</v>
      </c>
      <c r="N88" s="60"/>
    </row>
    <row r="89" spans="1:14" s="32" customFormat="1" ht="12.75">
      <c r="A89" s="608" t="s">
        <v>909</v>
      </c>
      <c r="B89" s="602">
        <v>0</v>
      </c>
      <c r="C89" s="602">
        <v>0</v>
      </c>
      <c r="D89" s="602">
        <v>2</v>
      </c>
      <c r="E89" s="602">
        <v>2</v>
      </c>
      <c r="F89" s="602">
        <v>2</v>
      </c>
      <c r="G89" s="602">
        <v>2</v>
      </c>
      <c r="H89" s="602">
        <v>2</v>
      </c>
      <c r="I89" s="602">
        <v>2</v>
      </c>
      <c r="J89" s="602">
        <v>2</v>
      </c>
      <c r="K89" s="602">
        <v>2</v>
      </c>
      <c r="L89" s="602">
        <v>2</v>
      </c>
      <c r="M89" s="602">
        <v>2</v>
      </c>
      <c r="N89" s="60"/>
    </row>
    <row r="90" spans="1:14" ht="12.75">
      <c r="A90" s="611" t="s">
        <v>880</v>
      </c>
      <c r="B90" s="612"/>
      <c r="C90" s="612"/>
      <c r="D90" s="612"/>
      <c r="E90" s="612"/>
      <c r="F90" s="612"/>
      <c r="G90" s="612"/>
      <c r="H90" s="612"/>
      <c r="I90" s="612"/>
      <c r="J90" s="612"/>
      <c r="K90" s="612"/>
      <c r="L90" s="612"/>
      <c r="M90" s="612"/>
      <c r="N90"/>
    </row>
    <row r="91" spans="1:14" ht="12.75">
      <c r="A91" s="607" t="s">
        <v>987</v>
      </c>
      <c r="B91" s="602">
        <v>0.5</v>
      </c>
      <c r="C91" s="602">
        <v>0.5</v>
      </c>
      <c r="D91" s="602">
        <v>0.5</v>
      </c>
      <c r="E91" s="602">
        <v>0.5</v>
      </c>
      <c r="F91" s="602">
        <v>0.5</v>
      </c>
      <c r="G91" s="602">
        <v>0</v>
      </c>
      <c r="H91" s="602">
        <v>0</v>
      </c>
      <c r="I91" s="602">
        <v>0</v>
      </c>
      <c r="J91" s="602">
        <v>0</v>
      </c>
      <c r="K91" s="602">
        <v>0</v>
      </c>
      <c r="L91" s="602">
        <v>0</v>
      </c>
      <c r="M91" s="602">
        <v>0</v>
      </c>
      <c r="N91"/>
    </row>
    <row r="92" spans="1:14" s="33" customFormat="1" ht="21" customHeight="1">
      <c r="A92" s="606" t="s">
        <v>797</v>
      </c>
      <c r="B92" s="603">
        <f>SUM(B86:B91)</f>
        <v>3.5</v>
      </c>
      <c r="C92" s="603">
        <f aca="true" t="shared" si="3" ref="C92:M92">SUM(C86:C91)</f>
        <v>3.5</v>
      </c>
      <c r="D92" s="603">
        <f t="shared" si="3"/>
        <v>5.5</v>
      </c>
      <c r="E92" s="603">
        <f t="shared" si="3"/>
        <v>5.5</v>
      </c>
      <c r="F92" s="603">
        <f t="shared" si="3"/>
        <v>5.5</v>
      </c>
      <c r="G92" s="603">
        <f t="shared" si="3"/>
        <v>5</v>
      </c>
      <c r="H92" s="603">
        <f t="shared" si="3"/>
        <v>5</v>
      </c>
      <c r="I92" s="603">
        <f t="shared" si="3"/>
        <v>5</v>
      </c>
      <c r="J92" s="603">
        <f t="shared" si="3"/>
        <v>5</v>
      </c>
      <c r="K92" s="603">
        <f t="shared" si="3"/>
        <v>5</v>
      </c>
      <c r="L92" s="603">
        <f t="shared" si="3"/>
        <v>5</v>
      </c>
      <c r="M92" s="603">
        <f t="shared" si="3"/>
        <v>5</v>
      </c>
      <c r="N92" s="50"/>
    </row>
    <row r="93" spans="1:14" s="53" customFormat="1" ht="30.75" customHeight="1">
      <c r="A93" s="620" t="s">
        <v>427</v>
      </c>
      <c r="B93" s="615">
        <f>SUM(B92,B82,B47,B42)</f>
        <v>99.07499999999999</v>
      </c>
      <c r="C93" s="615">
        <f aca="true" t="shared" si="4" ref="C93:M93">SUM(C92,C82,C47,C42)</f>
        <v>99.07499999999999</v>
      </c>
      <c r="D93" s="615">
        <f t="shared" si="4"/>
        <v>102.07499999999999</v>
      </c>
      <c r="E93" s="615">
        <f t="shared" si="4"/>
        <v>102.07499999999999</v>
      </c>
      <c r="F93" s="615">
        <f t="shared" si="4"/>
        <v>102.07499999999999</v>
      </c>
      <c r="G93" s="615">
        <f t="shared" si="4"/>
        <v>101.57499999999999</v>
      </c>
      <c r="H93" s="615">
        <f t="shared" si="4"/>
        <v>101.57499999999999</v>
      </c>
      <c r="I93" s="615">
        <f t="shared" si="4"/>
        <v>95.82499999999999</v>
      </c>
      <c r="J93" s="615">
        <f t="shared" si="4"/>
        <v>95.82499999999999</v>
      </c>
      <c r="K93" s="615">
        <f t="shared" si="4"/>
        <v>95.82499999999999</v>
      </c>
      <c r="L93" s="615">
        <f t="shared" si="4"/>
        <v>95.82499999999999</v>
      </c>
      <c r="M93" s="615">
        <f t="shared" si="4"/>
        <v>95.82499999999999</v>
      </c>
      <c r="N93" s="61"/>
    </row>
    <row r="94" spans="1:14" s="32" customFormat="1" ht="12.75">
      <c r="A94" s="605"/>
      <c r="B94" s="602"/>
      <c r="C94" s="602"/>
      <c r="D94" s="602"/>
      <c r="E94" s="602"/>
      <c r="F94" s="602"/>
      <c r="G94" s="602"/>
      <c r="H94" s="602"/>
      <c r="I94" s="602"/>
      <c r="J94" s="602"/>
      <c r="K94" s="602"/>
      <c r="L94" s="602"/>
      <c r="M94" s="602"/>
      <c r="N94" s="60"/>
    </row>
    <row r="95" spans="1:14" s="33" customFormat="1" ht="25.5" customHeight="1">
      <c r="A95" s="610" t="s">
        <v>358</v>
      </c>
      <c r="B95" s="601"/>
      <c r="C95" s="601"/>
      <c r="D95" s="601"/>
      <c r="E95" s="601"/>
      <c r="F95" s="601"/>
      <c r="G95" s="601"/>
      <c r="H95" s="601"/>
      <c r="I95" s="601"/>
      <c r="J95" s="601"/>
      <c r="K95" s="601"/>
      <c r="L95" s="601"/>
      <c r="M95" s="601"/>
      <c r="N95" s="50"/>
    </row>
    <row r="96" spans="1:14" s="115" customFormat="1" ht="37.5" customHeight="1">
      <c r="A96" s="616" t="s">
        <v>1024</v>
      </c>
      <c r="B96" s="617"/>
      <c r="C96" s="617"/>
      <c r="D96" s="617"/>
      <c r="E96" s="617"/>
      <c r="F96" s="617"/>
      <c r="G96" s="617"/>
      <c r="H96" s="617"/>
      <c r="I96" s="617"/>
      <c r="J96" s="617"/>
      <c r="K96" s="617"/>
      <c r="L96" s="617"/>
      <c r="M96" s="617"/>
      <c r="N96" s="114"/>
    </row>
    <row r="97" spans="1:14" s="32" customFormat="1" ht="27" customHeight="1">
      <c r="A97" s="613" t="s">
        <v>902</v>
      </c>
      <c r="B97" s="614">
        <v>15</v>
      </c>
      <c r="C97" s="614">
        <v>15</v>
      </c>
      <c r="D97" s="614">
        <v>0</v>
      </c>
      <c r="E97" s="614">
        <v>0</v>
      </c>
      <c r="F97" s="614">
        <v>0</v>
      </c>
      <c r="G97" s="614">
        <v>0</v>
      </c>
      <c r="H97" s="614">
        <v>0</v>
      </c>
      <c r="I97" s="614">
        <v>0</v>
      </c>
      <c r="J97" s="614">
        <v>0</v>
      </c>
      <c r="K97" s="614">
        <v>0</v>
      </c>
      <c r="L97" s="614">
        <v>0</v>
      </c>
      <c r="M97" s="614">
        <v>0</v>
      </c>
      <c r="N97" s="60"/>
    </row>
    <row r="98" spans="1:14" s="115" customFormat="1" ht="36" customHeight="1">
      <c r="A98" s="616" t="s">
        <v>903</v>
      </c>
      <c r="B98" s="617"/>
      <c r="C98" s="617"/>
      <c r="D98" s="617"/>
      <c r="E98" s="617"/>
      <c r="F98" s="617"/>
      <c r="G98" s="617"/>
      <c r="H98" s="617"/>
      <c r="I98" s="617"/>
      <c r="J98" s="617"/>
      <c r="K98" s="617"/>
      <c r="L98" s="617"/>
      <c r="M98" s="617"/>
      <c r="N98" s="114"/>
    </row>
    <row r="99" spans="1:14" s="32" customFormat="1" ht="38.25" customHeight="1">
      <c r="A99" s="613" t="s">
        <v>904</v>
      </c>
      <c r="B99" s="614">
        <v>48</v>
      </c>
      <c r="C99" s="614">
        <v>48</v>
      </c>
      <c r="D99" s="614">
        <v>0</v>
      </c>
      <c r="E99" s="614">
        <v>0</v>
      </c>
      <c r="F99" s="614">
        <v>0</v>
      </c>
      <c r="G99" s="614">
        <v>0</v>
      </c>
      <c r="H99" s="614">
        <v>0</v>
      </c>
      <c r="I99" s="614">
        <v>0</v>
      </c>
      <c r="J99" s="614">
        <v>0</v>
      </c>
      <c r="K99" s="614">
        <v>0</v>
      </c>
      <c r="L99" s="614">
        <v>0</v>
      </c>
      <c r="M99" s="614">
        <v>0</v>
      </c>
      <c r="N99" s="60"/>
    </row>
    <row r="100" spans="1:14" s="53" customFormat="1" ht="32.25" customHeight="1">
      <c r="A100" s="616" t="s">
        <v>1025</v>
      </c>
      <c r="B100" s="617"/>
      <c r="C100" s="617"/>
      <c r="D100" s="617"/>
      <c r="E100" s="617"/>
      <c r="F100" s="617"/>
      <c r="G100" s="617"/>
      <c r="H100" s="617"/>
      <c r="I100" s="617"/>
      <c r="J100" s="617"/>
      <c r="K100" s="617"/>
      <c r="L100" s="617"/>
      <c r="M100" s="617"/>
      <c r="N100" s="61"/>
    </row>
    <row r="101" spans="1:13" ht="12.75">
      <c r="A101" s="613" t="s">
        <v>902</v>
      </c>
      <c r="B101" s="614">
        <v>0</v>
      </c>
      <c r="C101" s="614">
        <v>0</v>
      </c>
      <c r="D101" s="614">
        <v>15</v>
      </c>
      <c r="E101" s="614">
        <v>15</v>
      </c>
      <c r="F101" s="614">
        <v>15</v>
      </c>
      <c r="G101" s="614">
        <v>15</v>
      </c>
      <c r="H101" s="614">
        <v>15</v>
      </c>
      <c r="I101" s="614">
        <v>15</v>
      </c>
      <c r="J101" s="614">
        <v>15</v>
      </c>
      <c r="K101" s="614">
        <v>15</v>
      </c>
      <c r="L101" s="614">
        <v>15</v>
      </c>
      <c r="M101" s="614">
        <v>15</v>
      </c>
    </row>
    <row r="102" spans="1:13" ht="25.5">
      <c r="A102" s="616" t="s">
        <v>1026</v>
      </c>
      <c r="B102" s="617"/>
      <c r="C102" s="617"/>
      <c r="D102" s="617"/>
      <c r="E102" s="617"/>
      <c r="F102" s="617"/>
      <c r="G102" s="617"/>
      <c r="H102" s="617"/>
      <c r="I102" s="617"/>
      <c r="J102" s="617"/>
      <c r="K102" s="617"/>
      <c r="L102" s="617"/>
      <c r="M102" s="617"/>
    </row>
    <row r="103" spans="1:13" ht="12.75">
      <c r="A103" s="613" t="s">
        <v>1027</v>
      </c>
      <c r="B103" s="614">
        <v>0</v>
      </c>
      <c r="C103" s="614">
        <v>0</v>
      </c>
      <c r="D103" s="614">
        <v>31</v>
      </c>
      <c r="E103" s="614">
        <v>31</v>
      </c>
      <c r="F103" s="614">
        <v>31</v>
      </c>
      <c r="G103" s="614">
        <v>31</v>
      </c>
      <c r="H103" s="614">
        <v>31</v>
      </c>
      <c r="I103" s="614">
        <v>31</v>
      </c>
      <c r="J103" s="614">
        <v>31</v>
      </c>
      <c r="K103" s="614">
        <v>31</v>
      </c>
      <c r="L103" s="614">
        <v>31</v>
      </c>
      <c r="M103" s="614">
        <v>31</v>
      </c>
    </row>
    <row r="104" spans="1:13" ht="12.75">
      <c r="A104" s="620" t="s">
        <v>514</v>
      </c>
      <c r="B104" s="615">
        <f>SUM(B96:B103)</f>
        <v>63</v>
      </c>
      <c r="C104" s="615">
        <f aca="true" t="shared" si="5" ref="C104:M104">SUM(C96:C103)</f>
        <v>63</v>
      </c>
      <c r="D104" s="615">
        <f t="shared" si="5"/>
        <v>46</v>
      </c>
      <c r="E104" s="615">
        <f t="shared" si="5"/>
        <v>46</v>
      </c>
      <c r="F104" s="615">
        <f t="shared" si="5"/>
        <v>46</v>
      </c>
      <c r="G104" s="615">
        <f t="shared" si="5"/>
        <v>46</v>
      </c>
      <c r="H104" s="615">
        <f t="shared" si="5"/>
        <v>46</v>
      </c>
      <c r="I104" s="615">
        <f t="shared" si="5"/>
        <v>46</v>
      </c>
      <c r="J104" s="615">
        <f t="shared" si="5"/>
        <v>46</v>
      </c>
      <c r="K104" s="615">
        <f t="shared" si="5"/>
        <v>46</v>
      </c>
      <c r="L104" s="615">
        <f t="shared" si="5"/>
        <v>46</v>
      </c>
      <c r="M104" s="615">
        <f t="shared" si="5"/>
        <v>46</v>
      </c>
    </row>
    <row r="109" spans="1:2" ht="12.75">
      <c r="A109" s="277">
        <v>26</v>
      </c>
      <c r="B109" s="277" t="s">
        <v>1020</v>
      </c>
    </row>
    <row r="110" spans="1:2" ht="12.75">
      <c r="A110" s="277">
        <v>27</v>
      </c>
      <c r="B110" s="277" t="s">
        <v>1049</v>
      </c>
    </row>
  </sheetData>
  <sheetProtection/>
  <mergeCells count="3">
    <mergeCell ref="A4:M4"/>
    <mergeCell ref="A5:M5"/>
    <mergeCell ref="A6:M6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6" r:id="rId1"/>
  <rowBreaks count="2" manualBreakCount="2">
    <brk id="42" max="12" man="1"/>
    <brk id="7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87"/>
  <sheetViews>
    <sheetView zoomScaleSheetLayoutView="100" zoomScalePageLayoutView="0" workbookViewId="0" topLeftCell="A1">
      <selection activeCell="B86" sqref="B86:H87"/>
    </sheetView>
  </sheetViews>
  <sheetFormatPr defaultColWidth="8.875" defaultRowHeight="12.75"/>
  <cols>
    <col min="1" max="1" width="4.125" style="35" bestFit="1" customWidth="1"/>
    <col min="2" max="2" width="2.375" style="3" customWidth="1"/>
    <col min="3" max="3" width="88.625" style="3" customWidth="1"/>
    <col min="4" max="4" width="17.25390625" style="3" bestFit="1" customWidth="1"/>
    <col min="5" max="16384" width="8.875" style="3" customWidth="1"/>
  </cols>
  <sheetData>
    <row r="1" spans="3:5" ht="18">
      <c r="C1" s="723" t="s">
        <v>1067</v>
      </c>
      <c r="D1" s="855"/>
      <c r="E1" s="34"/>
    </row>
    <row r="2" spans="3:5" ht="15">
      <c r="C2" s="4"/>
      <c r="D2" s="54"/>
      <c r="E2" s="34"/>
    </row>
    <row r="3" spans="1:4" ht="15.75">
      <c r="A3" s="1244"/>
      <c r="B3" s="1245" t="s">
        <v>924</v>
      </c>
      <c r="C3" s="1245"/>
      <c r="D3" s="1245"/>
    </row>
    <row r="4" spans="1:4" ht="15">
      <c r="A4" s="1244"/>
      <c r="B4" s="1246"/>
      <c r="C4" s="1246"/>
      <c r="D4" s="1246"/>
    </row>
    <row r="5" spans="1:4" ht="15.75" thickBot="1">
      <c r="A5" s="1244"/>
      <c r="B5" s="1247"/>
      <c r="C5" s="1247"/>
      <c r="D5" s="276"/>
    </row>
    <row r="6" spans="1:4" ht="15">
      <c r="A6" s="1248" t="s">
        <v>439</v>
      </c>
      <c r="B6" s="1249" t="s">
        <v>361</v>
      </c>
      <c r="C6" s="1250"/>
      <c r="D6" s="1251" t="s">
        <v>374</v>
      </c>
    </row>
    <row r="7" spans="1:4" ht="15">
      <c r="A7" s="1252"/>
      <c r="B7" s="1253" t="s">
        <v>433</v>
      </c>
      <c r="C7" s="1253"/>
      <c r="D7" s="1254" t="s">
        <v>434</v>
      </c>
    </row>
    <row r="8" spans="1:4" ht="15">
      <c r="A8" s="1255">
        <v>1</v>
      </c>
      <c r="B8" s="1256" t="s">
        <v>367</v>
      </c>
      <c r="C8" s="1257"/>
      <c r="D8" s="1258"/>
    </row>
    <row r="9" spans="1:4" ht="15">
      <c r="A9" s="1255">
        <v>2</v>
      </c>
      <c r="B9" s="1259" t="s">
        <v>448</v>
      </c>
      <c r="C9" s="1260"/>
      <c r="D9" s="1261"/>
    </row>
    <row r="10" spans="1:4" ht="15">
      <c r="A10" s="1255">
        <v>3</v>
      </c>
      <c r="B10" s="1262" t="s">
        <v>375</v>
      </c>
      <c r="C10" s="1263" t="s">
        <v>848</v>
      </c>
      <c r="D10" s="621">
        <f>42654146+1-13005804</f>
        <v>29648343</v>
      </c>
    </row>
    <row r="11" spans="1:8" ht="30">
      <c r="A11" s="1255">
        <v>4</v>
      </c>
      <c r="B11" s="1262" t="s">
        <v>375</v>
      </c>
      <c r="C11" s="1263" t="s">
        <v>849</v>
      </c>
      <c r="D11" s="1264">
        <v>187978206</v>
      </c>
      <c r="H11" s="36"/>
    </row>
    <row r="12" spans="1:4" ht="15">
      <c r="A12" s="1255">
        <v>5</v>
      </c>
      <c r="B12" s="1262" t="s">
        <v>375</v>
      </c>
      <c r="C12" s="1263" t="s">
        <v>850</v>
      </c>
      <c r="D12" s="1264">
        <v>404687022</v>
      </c>
    </row>
    <row r="13" spans="1:4" ht="15">
      <c r="A13" s="1255">
        <v>6</v>
      </c>
      <c r="B13" s="1262" t="s">
        <v>375</v>
      </c>
      <c r="C13" s="1263" t="s">
        <v>988</v>
      </c>
      <c r="D13" s="1264">
        <f>25000000-20000000</f>
        <v>5000000</v>
      </c>
    </row>
    <row r="14" spans="1:4" ht="15">
      <c r="A14" s="1255">
        <v>7</v>
      </c>
      <c r="B14" s="1262" t="s">
        <v>375</v>
      </c>
      <c r="C14" s="1263" t="s">
        <v>989</v>
      </c>
      <c r="D14" s="1264">
        <v>363120</v>
      </c>
    </row>
    <row r="15" spans="1:4" ht="15">
      <c r="A15" s="1255">
        <v>8</v>
      </c>
      <c r="B15" s="1262" t="s">
        <v>375</v>
      </c>
      <c r="C15" s="1263" t="s">
        <v>990</v>
      </c>
      <c r="D15" s="1264">
        <v>5000000</v>
      </c>
    </row>
    <row r="16" spans="1:4" ht="15">
      <c r="A16" s="1255">
        <v>9</v>
      </c>
      <c r="B16" s="1262" t="s">
        <v>375</v>
      </c>
      <c r="C16" s="1263" t="s">
        <v>851</v>
      </c>
      <c r="D16" s="1264">
        <f>100932090-3817843</f>
        <v>97114247</v>
      </c>
    </row>
    <row r="17" spans="1:4" ht="15">
      <c r="A17" s="1255">
        <v>10</v>
      </c>
      <c r="B17" s="1262" t="s">
        <v>375</v>
      </c>
      <c r="C17" s="1263" t="s">
        <v>991</v>
      </c>
      <c r="D17" s="1264">
        <v>750000</v>
      </c>
    </row>
    <row r="18" spans="1:4" ht="15">
      <c r="A18" s="1255">
        <v>11</v>
      </c>
      <c r="B18" s="1262" t="s">
        <v>375</v>
      </c>
      <c r="C18" s="1263" t="s">
        <v>925</v>
      </c>
      <c r="D18" s="1264">
        <v>1940000</v>
      </c>
    </row>
    <row r="19" spans="1:4" ht="15">
      <c r="A19" s="1255">
        <v>12</v>
      </c>
      <c r="B19" s="1262" t="s">
        <v>375</v>
      </c>
      <c r="C19" s="1263" t="s">
        <v>1068</v>
      </c>
      <c r="D19" s="1264">
        <f>400000+100000</f>
        <v>500000</v>
      </c>
    </row>
    <row r="20" spans="1:4" ht="30">
      <c r="A20" s="1255">
        <v>13</v>
      </c>
      <c r="B20" s="1262" t="s">
        <v>375</v>
      </c>
      <c r="C20" s="1263" t="s">
        <v>929</v>
      </c>
      <c r="D20" s="1264">
        <v>541020</v>
      </c>
    </row>
    <row r="21" spans="1:4" ht="30">
      <c r="A21" s="1255">
        <v>14</v>
      </c>
      <c r="B21" s="1262" t="s">
        <v>375</v>
      </c>
      <c r="C21" s="1263" t="s">
        <v>930</v>
      </c>
      <c r="D21" s="1264">
        <v>457200</v>
      </c>
    </row>
    <row r="22" spans="1:4" ht="15">
      <c r="A22" s="1255">
        <v>15</v>
      </c>
      <c r="B22" s="1262" t="s">
        <v>375</v>
      </c>
      <c r="C22" s="1263" t="s">
        <v>992</v>
      </c>
      <c r="D22" s="1264">
        <v>600000</v>
      </c>
    </row>
    <row r="23" spans="1:4" ht="15">
      <c r="A23" s="1255">
        <v>16</v>
      </c>
      <c r="B23" s="1262" t="s">
        <v>375</v>
      </c>
      <c r="C23" s="1263" t="s">
        <v>931</v>
      </c>
      <c r="D23" s="1264">
        <v>600000</v>
      </c>
    </row>
    <row r="24" spans="1:4" ht="15">
      <c r="A24" s="1255">
        <v>17</v>
      </c>
      <c r="B24" s="1262" t="s">
        <v>375</v>
      </c>
      <c r="C24" s="1263" t="s">
        <v>932</v>
      </c>
      <c r="D24" s="1264">
        <v>500000</v>
      </c>
    </row>
    <row r="25" spans="1:4" ht="15">
      <c r="A25" s="1255">
        <v>18</v>
      </c>
      <c r="B25" s="1262" t="s">
        <v>375</v>
      </c>
      <c r="C25" s="1263" t="s">
        <v>933</v>
      </c>
      <c r="D25" s="1264">
        <v>650000</v>
      </c>
    </row>
    <row r="26" spans="1:4" ht="30">
      <c r="A26" s="1255">
        <v>19</v>
      </c>
      <c r="B26" s="1262" t="s">
        <v>375</v>
      </c>
      <c r="C26" s="1263" t="s">
        <v>994</v>
      </c>
      <c r="D26" s="1264">
        <v>190500</v>
      </c>
    </row>
    <row r="27" spans="1:4" ht="15">
      <c r="A27" s="1255">
        <v>20</v>
      </c>
      <c r="B27" s="1262" t="s">
        <v>375</v>
      </c>
      <c r="C27" s="1263" t="s">
        <v>993</v>
      </c>
      <c r="D27" s="1264">
        <v>730250</v>
      </c>
    </row>
    <row r="28" spans="1:4" ht="15">
      <c r="A28" s="1255">
        <v>21</v>
      </c>
      <c r="B28" s="1262" t="s">
        <v>375</v>
      </c>
      <c r="C28" s="1263" t="s">
        <v>995</v>
      </c>
      <c r="D28" s="1264">
        <v>74930</v>
      </c>
    </row>
    <row r="29" spans="1:4" ht="15">
      <c r="A29" s="1255">
        <v>22</v>
      </c>
      <c r="B29" s="1262" t="s">
        <v>375</v>
      </c>
      <c r="C29" s="1263" t="s">
        <v>1019</v>
      </c>
      <c r="D29" s="1264">
        <v>1000000</v>
      </c>
    </row>
    <row r="30" spans="1:4" ht="30">
      <c r="A30" s="1255">
        <v>23</v>
      </c>
      <c r="B30" s="1262" t="s">
        <v>375</v>
      </c>
      <c r="C30" s="1263" t="s">
        <v>996</v>
      </c>
      <c r="D30" s="1264">
        <v>2460790</v>
      </c>
    </row>
    <row r="31" spans="1:4" ht="15">
      <c r="A31" s="1255">
        <v>24</v>
      </c>
      <c r="B31" s="1262" t="s">
        <v>375</v>
      </c>
      <c r="C31" s="1263" t="s">
        <v>1069</v>
      </c>
      <c r="D31" s="1264">
        <v>6000000</v>
      </c>
    </row>
    <row r="32" spans="1:4" ht="15">
      <c r="A32" s="1255">
        <v>25</v>
      </c>
      <c r="B32" s="1262" t="s">
        <v>375</v>
      </c>
      <c r="C32" s="1263" t="s">
        <v>997</v>
      </c>
      <c r="D32" s="1264">
        <v>973100</v>
      </c>
    </row>
    <row r="33" spans="1:4" ht="15">
      <c r="A33" s="1255">
        <v>26</v>
      </c>
      <c r="B33" s="1262" t="s">
        <v>375</v>
      </c>
      <c r="C33" s="1263" t="s">
        <v>1070</v>
      </c>
      <c r="D33" s="1264">
        <v>4790554</v>
      </c>
    </row>
    <row r="34" spans="1:4" ht="15">
      <c r="A34" s="1255">
        <v>27</v>
      </c>
      <c r="B34" s="1262" t="s">
        <v>375</v>
      </c>
      <c r="C34" s="1263" t="s">
        <v>1028</v>
      </c>
      <c r="D34" s="1264">
        <v>74295</v>
      </c>
    </row>
    <row r="35" spans="1:4" ht="15">
      <c r="A35" s="1255">
        <v>28</v>
      </c>
      <c r="B35" s="1262" t="s">
        <v>375</v>
      </c>
      <c r="C35" s="1263" t="s">
        <v>1029</v>
      </c>
      <c r="D35" s="1264">
        <v>190500</v>
      </c>
    </row>
    <row r="36" spans="1:4" ht="30">
      <c r="A36" s="1255">
        <v>29</v>
      </c>
      <c r="B36" s="1265" t="s">
        <v>375</v>
      </c>
      <c r="C36" s="1266" t="s">
        <v>1071</v>
      </c>
      <c r="D36" s="1264">
        <v>810000</v>
      </c>
    </row>
    <row r="37" spans="1:4" ht="15">
      <c r="A37" s="1255">
        <v>30</v>
      </c>
      <c r="B37" s="1262"/>
      <c r="C37" s="1267" t="s">
        <v>391</v>
      </c>
      <c r="D37" s="1268">
        <f>SUM(D10:D36)</f>
        <v>753624077</v>
      </c>
    </row>
    <row r="38" spans="1:4" ht="15">
      <c r="A38" s="1255">
        <v>31</v>
      </c>
      <c r="B38" s="1269" t="s">
        <v>372</v>
      </c>
      <c r="C38" s="1270"/>
      <c r="D38" s="1271"/>
    </row>
    <row r="39" spans="1:4" ht="15">
      <c r="A39" s="1255">
        <v>32</v>
      </c>
      <c r="B39" s="1262" t="s">
        <v>375</v>
      </c>
      <c r="C39" s="1263" t="s">
        <v>995</v>
      </c>
      <c r="D39" s="1264">
        <v>1101090</v>
      </c>
    </row>
    <row r="40" spans="1:4" ht="15">
      <c r="A40" s="1255">
        <v>33</v>
      </c>
      <c r="B40" s="1262" t="s">
        <v>375</v>
      </c>
      <c r="C40" s="1263" t="s">
        <v>998</v>
      </c>
      <c r="D40" s="1264">
        <v>706500</v>
      </c>
    </row>
    <row r="41" spans="1:4" ht="15">
      <c r="A41" s="1255">
        <v>34</v>
      </c>
      <c r="B41" s="1262" t="s">
        <v>375</v>
      </c>
      <c r="C41" s="1263" t="s">
        <v>934</v>
      </c>
      <c r="D41" s="1264">
        <v>127000</v>
      </c>
    </row>
    <row r="42" spans="1:4" ht="15">
      <c r="A42" s="1255">
        <v>35</v>
      </c>
      <c r="B42" s="1247"/>
      <c r="C42" s="1267" t="s">
        <v>494</v>
      </c>
      <c r="D42" s="1268">
        <f>SUM(D39:D41)</f>
        <v>1934590</v>
      </c>
    </row>
    <row r="43" spans="1:4" ht="15">
      <c r="A43" s="1255">
        <v>36</v>
      </c>
      <c r="B43" s="1269" t="s">
        <v>796</v>
      </c>
      <c r="C43" s="1270"/>
      <c r="D43" s="1271"/>
    </row>
    <row r="44" spans="1:4" ht="15">
      <c r="A44" s="1255">
        <v>37</v>
      </c>
      <c r="B44" s="1262" t="s">
        <v>375</v>
      </c>
      <c r="C44" s="1263" t="s">
        <v>999</v>
      </c>
      <c r="D44" s="1264">
        <v>127000</v>
      </c>
    </row>
    <row r="45" spans="1:4" ht="15">
      <c r="A45" s="1255">
        <v>38</v>
      </c>
      <c r="B45" s="1262" t="s">
        <v>375</v>
      </c>
      <c r="C45" s="1263" t="s">
        <v>1030</v>
      </c>
      <c r="D45" s="1264">
        <v>800000</v>
      </c>
    </row>
    <row r="46" spans="1:4" ht="30">
      <c r="A46" s="1255">
        <v>39</v>
      </c>
      <c r="B46" s="1262" t="s">
        <v>375</v>
      </c>
      <c r="C46" s="1263" t="s">
        <v>1072</v>
      </c>
      <c r="D46" s="1264">
        <v>700000</v>
      </c>
    </row>
    <row r="47" spans="1:4" ht="15">
      <c r="A47" s="1255">
        <v>40</v>
      </c>
      <c r="B47" s="1247"/>
      <c r="C47" s="1267" t="s">
        <v>797</v>
      </c>
      <c r="D47" s="1268">
        <f>SUM(D44:D46)</f>
        <v>1627000</v>
      </c>
    </row>
    <row r="48" spans="1:4" ht="15">
      <c r="A48" s="1255">
        <v>41</v>
      </c>
      <c r="B48" s="1269" t="s">
        <v>746</v>
      </c>
      <c r="C48" s="1270"/>
      <c r="D48" s="1271"/>
    </row>
    <row r="49" spans="1:4" ht="30">
      <c r="A49" s="1255">
        <v>42</v>
      </c>
      <c r="B49" s="1262" t="s">
        <v>375</v>
      </c>
      <c r="C49" s="1263" t="s">
        <v>1002</v>
      </c>
      <c r="D49" s="1264">
        <v>309245</v>
      </c>
    </row>
    <row r="50" spans="1:4" ht="15">
      <c r="A50" s="1255">
        <v>43</v>
      </c>
      <c r="B50" s="1262" t="s">
        <v>375</v>
      </c>
      <c r="C50" s="1263" t="s">
        <v>1003</v>
      </c>
      <c r="D50" s="1264">
        <v>95250</v>
      </c>
    </row>
    <row r="51" spans="1:4" ht="30">
      <c r="A51" s="1255">
        <v>44</v>
      </c>
      <c r="B51" s="1262" t="s">
        <v>375</v>
      </c>
      <c r="C51" s="1263" t="s">
        <v>1004</v>
      </c>
      <c r="D51" s="1264">
        <v>304800</v>
      </c>
    </row>
    <row r="52" spans="1:4" ht="30">
      <c r="A52" s="1255">
        <v>45</v>
      </c>
      <c r="B52" s="1262" t="s">
        <v>375</v>
      </c>
      <c r="C52" s="1263" t="s">
        <v>1005</v>
      </c>
      <c r="D52" s="1264">
        <v>401320</v>
      </c>
    </row>
    <row r="53" spans="1:4" ht="30">
      <c r="A53" s="1255">
        <v>46</v>
      </c>
      <c r="B53" s="1262" t="s">
        <v>375</v>
      </c>
      <c r="C53" s="1263" t="s">
        <v>1073</v>
      </c>
      <c r="D53" s="1264">
        <f>63500+47925</f>
        <v>111425</v>
      </c>
    </row>
    <row r="54" spans="1:4" ht="15">
      <c r="A54" s="1255">
        <v>47</v>
      </c>
      <c r="B54" s="1247"/>
      <c r="C54" s="1267" t="s">
        <v>884</v>
      </c>
      <c r="D54" s="1268">
        <f>SUM(D49:D53)</f>
        <v>1222040</v>
      </c>
    </row>
    <row r="55" spans="1:4" ht="15.75" thickBot="1">
      <c r="A55" s="1272">
        <v>48</v>
      </c>
      <c r="B55" s="1273" t="s">
        <v>364</v>
      </c>
      <c r="C55" s="1273"/>
      <c r="D55" s="1274">
        <f>SUM(D54+D47+D42+D37)</f>
        <v>758407707</v>
      </c>
    </row>
    <row r="56" spans="1:4" ht="15">
      <c r="A56" s="1275">
        <v>49</v>
      </c>
      <c r="B56" s="1276" t="s">
        <v>373</v>
      </c>
      <c r="C56" s="1276"/>
      <c r="D56" s="1277"/>
    </row>
    <row r="57" spans="1:4" ht="15">
      <c r="A57" s="1255">
        <v>50</v>
      </c>
      <c r="B57" s="1278" t="s">
        <v>448</v>
      </c>
      <c r="C57" s="1279"/>
      <c r="D57" s="1280"/>
    </row>
    <row r="58" spans="1:4" ht="15">
      <c r="A58" s="1255">
        <v>51</v>
      </c>
      <c r="B58" s="1262" t="s">
        <v>375</v>
      </c>
      <c r="C58" s="1263" t="s">
        <v>602</v>
      </c>
      <c r="D58" s="1264">
        <v>500000</v>
      </c>
    </row>
    <row r="59" spans="1:4" ht="15">
      <c r="A59" s="1255">
        <v>52</v>
      </c>
      <c r="B59" s="1262" t="s">
        <v>375</v>
      </c>
      <c r="C59" s="1263" t="s">
        <v>1006</v>
      </c>
      <c r="D59" s="1264">
        <f>8294813-5098639</f>
        <v>3196174</v>
      </c>
    </row>
    <row r="60" spans="1:4" ht="30">
      <c r="A60" s="1255">
        <v>53</v>
      </c>
      <c r="B60" s="1262" t="s">
        <v>375</v>
      </c>
      <c r="C60" s="1263" t="s">
        <v>847</v>
      </c>
      <c r="D60" s="1264">
        <v>21830061</v>
      </c>
    </row>
    <row r="61" spans="1:4" ht="15">
      <c r="A61" s="1255">
        <v>54</v>
      </c>
      <c r="B61" s="1262" t="s">
        <v>375</v>
      </c>
      <c r="C61" s="1263" t="s">
        <v>927</v>
      </c>
      <c r="D61" s="1264">
        <v>2794000</v>
      </c>
    </row>
    <row r="62" spans="1:4" ht="15">
      <c r="A62" s="1255">
        <v>55</v>
      </c>
      <c r="B62" s="1262" t="s">
        <v>375</v>
      </c>
      <c r="C62" s="1263" t="s">
        <v>928</v>
      </c>
      <c r="D62" s="1264">
        <v>2000000</v>
      </c>
    </row>
    <row r="63" spans="1:4" ht="15">
      <c r="A63" s="1255">
        <v>56</v>
      </c>
      <c r="B63" s="1262" t="s">
        <v>375</v>
      </c>
      <c r="C63" s="1263" t="s">
        <v>1007</v>
      </c>
      <c r="D63" s="1264">
        <f>91442680+863600</f>
        <v>92306280</v>
      </c>
    </row>
    <row r="64" spans="1:4" ht="30">
      <c r="A64" s="1255">
        <v>57</v>
      </c>
      <c r="B64" s="1262" t="s">
        <v>375</v>
      </c>
      <c r="C64" s="1263" t="s">
        <v>852</v>
      </c>
      <c r="D64" s="1264">
        <v>523290</v>
      </c>
    </row>
    <row r="65" spans="1:4" ht="30">
      <c r="A65" s="1255">
        <v>58</v>
      </c>
      <c r="B65" s="1262" t="s">
        <v>375</v>
      </c>
      <c r="C65" s="1263" t="s">
        <v>926</v>
      </c>
      <c r="D65" s="1264">
        <v>6759599</v>
      </c>
    </row>
    <row r="66" spans="1:4" ht="15">
      <c r="A66" s="1255">
        <v>59</v>
      </c>
      <c r="B66" s="1262" t="s">
        <v>375</v>
      </c>
      <c r="C66" s="1263" t="s">
        <v>1001</v>
      </c>
      <c r="D66" s="1264">
        <v>31599998</v>
      </c>
    </row>
    <row r="67" spans="1:4" ht="15">
      <c r="A67" s="1255">
        <v>60</v>
      </c>
      <c r="B67" s="1281"/>
      <c r="C67" s="1282" t="s">
        <v>391</v>
      </c>
      <c r="D67" s="1283">
        <f>SUM(D56:D66)</f>
        <v>161509402</v>
      </c>
    </row>
    <row r="68" spans="1:4" ht="15">
      <c r="A68" s="1255">
        <v>61</v>
      </c>
      <c r="B68" s="1269" t="s">
        <v>746</v>
      </c>
      <c r="C68" s="1270"/>
      <c r="D68" s="1271"/>
    </row>
    <row r="69" spans="1:4" ht="15">
      <c r="A69" s="1255">
        <v>62</v>
      </c>
      <c r="B69" s="1262" t="s">
        <v>375</v>
      </c>
      <c r="C69" s="1263" t="s">
        <v>1000</v>
      </c>
      <c r="D69" s="1264">
        <v>508000</v>
      </c>
    </row>
    <row r="70" spans="1:4" ht="15">
      <c r="A70" s="1255">
        <v>63</v>
      </c>
      <c r="B70" s="1247"/>
      <c r="C70" s="1267" t="s">
        <v>884</v>
      </c>
      <c r="D70" s="1268">
        <f>SUM(D69)</f>
        <v>508000</v>
      </c>
    </row>
    <row r="71" spans="1:4" ht="15.75" thickBot="1">
      <c r="A71" s="1272">
        <v>64</v>
      </c>
      <c r="B71" s="1284" t="s">
        <v>364</v>
      </c>
      <c r="C71" s="1273"/>
      <c r="D71" s="1285">
        <f>SUM(D67+D70)</f>
        <v>162017402</v>
      </c>
    </row>
    <row r="72" spans="1:4" ht="15">
      <c r="A72" s="1255">
        <v>65</v>
      </c>
      <c r="B72" s="1276" t="s">
        <v>109</v>
      </c>
      <c r="C72" s="1276"/>
      <c r="D72" s="1277"/>
    </row>
    <row r="73" spans="1:4" ht="15">
      <c r="A73" s="1255">
        <v>66</v>
      </c>
      <c r="B73" s="1286" t="s">
        <v>448</v>
      </c>
      <c r="C73" s="1279"/>
      <c r="D73" s="1287"/>
    </row>
    <row r="74" spans="1:4" ht="15">
      <c r="A74" s="1255">
        <v>67</v>
      </c>
      <c r="B74" s="1262" t="s">
        <v>375</v>
      </c>
      <c r="C74" s="1263" t="s">
        <v>429</v>
      </c>
      <c r="D74" s="1288">
        <v>449520</v>
      </c>
    </row>
    <row r="75" spans="1:4" ht="15">
      <c r="A75" s="1255">
        <v>68</v>
      </c>
      <c r="B75" s="1262" t="s">
        <v>375</v>
      </c>
      <c r="C75" s="1263" t="s">
        <v>846</v>
      </c>
      <c r="D75" s="1264">
        <v>5000000</v>
      </c>
    </row>
    <row r="76" spans="1:4" ht="12" customHeight="1" thickBot="1">
      <c r="A76" s="1272">
        <v>69</v>
      </c>
      <c r="B76" s="1289" t="s">
        <v>364</v>
      </c>
      <c r="C76" s="1273"/>
      <c r="D76" s="1290">
        <f>SUM(D74:D75)</f>
        <v>5449520</v>
      </c>
    </row>
    <row r="77" spans="1:4" ht="2.25" customHeight="1" hidden="1">
      <c r="A77" s="1275">
        <v>45</v>
      </c>
      <c r="B77" s="1315" t="s">
        <v>430</v>
      </c>
      <c r="C77" s="1316"/>
      <c r="D77" s="1317"/>
    </row>
    <row r="78" spans="1:4" ht="15" hidden="1">
      <c r="A78" s="1255">
        <v>46</v>
      </c>
      <c r="B78" s="1262"/>
      <c r="C78" s="1291"/>
      <c r="D78" s="1292"/>
    </row>
    <row r="79" spans="1:4" ht="15.75" hidden="1" thickBot="1">
      <c r="A79" s="1255">
        <v>47</v>
      </c>
      <c r="B79" s="1289" t="s">
        <v>364</v>
      </c>
      <c r="C79" s="1273"/>
      <c r="D79" s="1293">
        <f>SUM(D78:D78)</f>
        <v>0</v>
      </c>
    </row>
    <row r="80" spans="1:4" ht="15" hidden="1">
      <c r="A80" s="1255">
        <v>64</v>
      </c>
      <c r="B80" s="1315" t="s">
        <v>431</v>
      </c>
      <c r="C80" s="1316"/>
      <c r="D80" s="1317"/>
    </row>
    <row r="81" spans="1:4" ht="15" hidden="1">
      <c r="A81" s="1255">
        <v>65</v>
      </c>
      <c r="B81" s="1286"/>
      <c r="C81" s="1294"/>
      <c r="D81" s="1295"/>
    </row>
    <row r="82" spans="1:4" ht="15.75" hidden="1" thickBot="1">
      <c r="A82" s="1272">
        <v>66</v>
      </c>
      <c r="B82" s="1289" t="s">
        <v>364</v>
      </c>
      <c r="C82" s="1273"/>
      <c r="D82" s="1290">
        <v>0</v>
      </c>
    </row>
    <row r="83" spans="1:4" ht="15.75" thickBot="1">
      <c r="A83" s="1272">
        <v>70</v>
      </c>
      <c r="B83" s="1296" t="s">
        <v>365</v>
      </c>
      <c r="C83" s="1289"/>
      <c r="D83" s="1290">
        <f>SUM(D82+D76+D71+D55)</f>
        <v>925874629</v>
      </c>
    </row>
    <row r="84" spans="1:4" ht="15">
      <c r="A84" s="1244"/>
      <c r="B84" s="1247"/>
      <c r="C84" s="1247"/>
      <c r="D84" s="1247"/>
    </row>
    <row r="86" spans="2:3" ht="15">
      <c r="B86" s="277">
        <v>28</v>
      </c>
      <c r="C86" s="277" t="s">
        <v>1020</v>
      </c>
    </row>
    <row r="87" spans="2:3" ht="15">
      <c r="B87" s="277">
        <v>29</v>
      </c>
      <c r="C87" s="277" t="s">
        <v>1049</v>
      </c>
    </row>
  </sheetData>
  <sheetProtection/>
  <mergeCells count="13">
    <mergeCell ref="B68:D68"/>
    <mergeCell ref="B72:D72"/>
    <mergeCell ref="B77:D77"/>
    <mergeCell ref="B80:D80"/>
    <mergeCell ref="B7:C7"/>
    <mergeCell ref="A6:A7"/>
    <mergeCell ref="B38:D38"/>
    <mergeCell ref="B43:D43"/>
    <mergeCell ref="B48:D48"/>
    <mergeCell ref="B56:D56"/>
    <mergeCell ref="C1:D1"/>
    <mergeCell ref="B3:D3"/>
    <mergeCell ref="B6:C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2020-02-28T09:49:01Z</cp:lastPrinted>
  <dcterms:created xsi:type="dcterms:W3CDTF">2001-11-30T10:27:10Z</dcterms:created>
  <dcterms:modified xsi:type="dcterms:W3CDTF">2020-06-30T14:01:49Z</dcterms:modified>
  <cp:category/>
  <cp:version/>
  <cp:contentType/>
  <cp:contentStatus/>
</cp:coreProperties>
</file>